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omments4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ntabilidad\Desktop\DOCUMENTACION PORTAL DE TRANSPARENCIA\LIBROS DE BANCOS\AÑO 2025\ABRIL 2025\"/>
    </mc:Choice>
  </mc:AlternateContent>
  <bookViews>
    <workbookView xWindow="0" yWindow="0" windowWidth="20490" windowHeight="7155" tabRatio="975" firstSheet="3" activeTab="15"/>
  </bookViews>
  <sheets>
    <sheet name="Estado de Situación" sheetId="2" r:id="rId1"/>
    <sheet name="Est. de Rendimiento Fin" sheetId="3" r:id="rId2"/>
    <sheet name="Cambio del Patrimonio" sheetId="4" state="hidden" r:id="rId3"/>
    <sheet name="cambio en el patr." sheetId="26" r:id="rId4"/>
    <sheet name="Flujo de Efectivo" sheetId="5" r:id="rId5"/>
    <sheet name=" estado comp. presup." sheetId="27" r:id="rId6"/>
    <sheet name="Estado Comparativo" sheetId="7" state="hidden" r:id="rId7"/>
    <sheet name="dinámico de gastos al 30-06-24" sheetId="28" state="hidden" r:id="rId8"/>
    <sheet name="Hoja4" sheetId="30" state="hidden" r:id="rId9"/>
    <sheet name="NOTAS 7 AL19" sheetId="8" r:id="rId10"/>
    <sheet name="NOTA 10" sheetId="25" r:id="rId11"/>
    <sheet name="Hoja6" sheetId="22" state="hidden" r:id="rId12"/>
    <sheet name="obligaciones" sheetId="23" r:id="rId13"/>
    <sheet name="resumen compras" sheetId="19" state="hidden" r:id="rId14"/>
    <sheet name="CXC" sheetId="18" r:id="rId15"/>
    <sheet name="CUENTAS POR PAGAR" sheetId="11" r:id="rId16"/>
    <sheet name="Hoja5" sheetId="40" state="hidden" r:id="rId17"/>
    <sheet name="ejecucion" sheetId="32" state="hidden" r:id="rId18"/>
    <sheet name="CONCILIACION " sheetId="24" r:id="rId19"/>
    <sheet name="INGRESOS" sheetId="37" state="hidden" r:id="rId20"/>
    <sheet name="INGRESOS FEBRERO" sheetId="38" state="hidden" r:id="rId21"/>
    <sheet name="INGRESOS MARZO" sheetId="39" state="hidden" r:id="rId22"/>
    <sheet name="balance SIGEF" sheetId="34" state="hidden" r:id="rId23"/>
    <sheet name="cxp" sheetId="31" state="hidden" r:id="rId24"/>
    <sheet name="Hoja3" sheetId="29" state="hidden" r:id="rId25"/>
    <sheet name="CONCILIACION 1" sheetId="13" state="hidden" r:id="rId26"/>
    <sheet name="CONCILIACION 2" sheetId="17" state="hidden" r:id="rId27"/>
    <sheet name="Hoja2" sheetId="16" state="hidden" r:id="rId28"/>
    <sheet name="CONCILIACION 1 31-12-2022" sheetId="14" state="hidden" r:id="rId29"/>
    <sheet name="CONCILIACION 31-01-2023" sheetId="15" state="hidden" r:id="rId30"/>
    <sheet name="Hoja1" sheetId="10" state="hidden" r:id="rId31"/>
    <sheet name="DETALLES DE ESTADO DE RF" sheetId="9" state="hidden" r:id="rId32"/>
  </sheets>
  <externalReferences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</externalReferences>
  <definedNames>
    <definedName name="_xlnm._FilterDatabase" localSheetId="15" hidden="1">'CUENTAS POR PAGAR'!$A$9:$F$300</definedName>
    <definedName name="_xlnm._FilterDatabase" localSheetId="7" hidden="1">'dinámico de gastos al 30-06-24'!$A$1:$AH$1608</definedName>
    <definedName name="_xlnm._FilterDatabase" localSheetId="8" hidden="1">Hoja4!$A$1:$AG$446</definedName>
    <definedName name="_xlnm.Print_Area" localSheetId="5">' estado comp. presup.'!$A$1:$F$69</definedName>
    <definedName name="_xlnm.Print_Area" localSheetId="2">'Cambio del Patrimonio'!$A$1:$F$32</definedName>
    <definedName name="_xlnm.Print_Area" localSheetId="18">'CONCILIACION '!$A$1:$G$47</definedName>
    <definedName name="_xlnm.Print_Area" localSheetId="25">'CONCILIACION 1'!$A$1:$G$43</definedName>
    <definedName name="_xlnm.Print_Area" localSheetId="28">'CONCILIACION 1 31-12-2022'!$A$1:$G$46</definedName>
    <definedName name="_xlnm.Print_Area" localSheetId="29">'CONCILIACION 31-01-2023'!$A$1:$G$45</definedName>
    <definedName name="_xlnm.Print_Area" localSheetId="15">'CUENTAS POR PAGAR'!$A$1:$N$105</definedName>
    <definedName name="_xlnm.Print_Area" localSheetId="31">'DETALLES DE ESTADO DE RF'!$A$1:$D$116</definedName>
    <definedName name="_xlnm.Print_Area" localSheetId="17">ejecucion!$A$1:$K$501</definedName>
    <definedName name="_xlnm.Print_Area" localSheetId="1">'Est. de Rendimiento Fin'!$A$1:$C$53</definedName>
    <definedName name="_xlnm.Print_Area" localSheetId="0">'Estado de Situación'!$A$1:$D$60</definedName>
    <definedName name="_xlnm.Print_Area" localSheetId="4">'Flujo de Efectivo'!$A$1:$C$61</definedName>
    <definedName name="_xlnm.Print_Area" localSheetId="20">'INGRESOS FEBRERO'!$A$1:$E$53</definedName>
    <definedName name="_xlnm.Print_Area" localSheetId="9">'NOTAS 7 AL19'!$A$1:$D$141</definedName>
    <definedName name="_xlnm.Print_Area" localSheetId="12">obligaciones!$A$1:$H$32</definedName>
    <definedName name="OLE_LINK1" localSheetId="9">'NOTAS 7 AL19'!$A$8</definedName>
    <definedName name="OLE_LINK3" localSheetId="9">'NOTAS 7 AL19'!#REF!</definedName>
    <definedName name="OLE_LINK4" localSheetId="9">'NOTAS 7 AL19'!$A$19</definedName>
  </definedNames>
  <calcPr calcId="152511"/>
</workbook>
</file>

<file path=xl/calcChain.xml><?xml version="1.0" encoding="utf-8"?>
<calcChain xmlns="http://schemas.openxmlformats.org/spreadsheetml/2006/main">
  <c r="B13" i="5" l="1"/>
  <c r="D14" i="27"/>
  <c r="C111" i="8"/>
  <c r="C94" i="8"/>
  <c r="C92" i="8"/>
  <c r="C86" i="8"/>
  <c r="C95" i="8"/>
  <c r="D95" i="8" s="1"/>
  <c r="G30" i="32"/>
  <c r="H30" i="32"/>
  <c r="G31" i="32"/>
  <c r="H31" i="32"/>
  <c r="G32" i="32"/>
  <c r="H32" i="32"/>
  <c r="G33" i="32"/>
  <c r="H33" i="32"/>
  <c r="G34" i="32"/>
  <c r="H34" i="32"/>
  <c r="G35" i="32"/>
  <c r="H35" i="32"/>
  <c r="G36" i="32"/>
  <c r="H36" i="32"/>
  <c r="G37" i="32"/>
  <c r="H37" i="32"/>
  <c r="G38" i="32"/>
  <c r="H38" i="32"/>
  <c r="G39" i="32"/>
  <c r="H39" i="32"/>
  <c r="G40" i="32"/>
  <c r="H40" i="32"/>
  <c r="G41" i="32"/>
  <c r="H41" i="32"/>
  <c r="G42" i="32"/>
  <c r="H42" i="32"/>
  <c r="G43" i="32"/>
  <c r="H43" i="32"/>
  <c r="G44" i="32"/>
  <c r="H44" i="32"/>
  <c r="G45" i="32"/>
  <c r="H45" i="32"/>
  <c r="G46" i="32"/>
  <c r="H46" i="32"/>
  <c r="G47" i="32"/>
  <c r="H47" i="32"/>
  <c r="G48" i="32"/>
  <c r="H48" i="32"/>
  <c r="G49" i="32"/>
  <c r="H49" i="32"/>
  <c r="G50" i="32"/>
  <c r="H50" i="32"/>
  <c r="G51" i="32"/>
  <c r="H51" i="32"/>
  <c r="G52" i="32"/>
  <c r="H52" i="32"/>
  <c r="G53" i="32"/>
  <c r="H53" i="32"/>
  <c r="G54" i="32"/>
  <c r="H54" i="32"/>
  <c r="G55" i="32"/>
  <c r="H55" i="32"/>
  <c r="G56" i="32"/>
  <c r="H56" i="32"/>
  <c r="G57" i="32"/>
  <c r="H57" i="32"/>
  <c r="G58" i="32"/>
  <c r="H58" i="32"/>
  <c r="G59" i="32"/>
  <c r="H59" i="32"/>
  <c r="G60" i="32"/>
  <c r="H60" i="32"/>
  <c r="G61" i="32"/>
  <c r="H61" i="32"/>
  <c r="G62" i="32"/>
  <c r="H62" i="32"/>
  <c r="G63" i="32"/>
  <c r="H63" i="32"/>
  <c r="G64" i="32"/>
  <c r="H64" i="32"/>
  <c r="G65" i="32"/>
  <c r="H65" i="32"/>
  <c r="G66" i="32"/>
  <c r="H66" i="32"/>
  <c r="G67" i="32"/>
  <c r="H67" i="32"/>
  <c r="G68" i="32"/>
  <c r="H68" i="32"/>
  <c r="G69" i="32"/>
  <c r="H69" i="32"/>
  <c r="G70" i="32"/>
  <c r="H70" i="32"/>
  <c r="G71" i="32"/>
  <c r="H71" i="32"/>
  <c r="G72" i="32"/>
  <c r="H72" i="32"/>
  <c r="G73" i="32"/>
  <c r="H73" i="32"/>
  <c r="G74" i="32"/>
  <c r="H74" i="32"/>
  <c r="G75" i="32"/>
  <c r="H75" i="32"/>
  <c r="G76" i="32"/>
  <c r="H76" i="32"/>
  <c r="G77" i="32"/>
  <c r="H77" i="32"/>
  <c r="G78" i="32"/>
  <c r="H78" i="32"/>
  <c r="G79" i="32"/>
  <c r="H79" i="32"/>
  <c r="G80" i="32"/>
  <c r="H80" i="32"/>
  <c r="G81" i="32"/>
  <c r="H81" i="32"/>
  <c r="G82" i="32"/>
  <c r="H82" i="32"/>
  <c r="G83" i="32"/>
  <c r="H83" i="32"/>
  <c r="G84" i="32"/>
  <c r="H84" i="32"/>
  <c r="G85" i="32"/>
  <c r="H85" i="32"/>
  <c r="G86" i="32"/>
  <c r="H86" i="32"/>
  <c r="G87" i="32"/>
  <c r="H87" i="32"/>
  <c r="G88" i="32"/>
  <c r="H88" i="32"/>
  <c r="G89" i="32"/>
  <c r="H89" i="32"/>
  <c r="G90" i="32"/>
  <c r="H90" i="32"/>
  <c r="G91" i="32"/>
  <c r="H91" i="32"/>
  <c r="G92" i="32"/>
  <c r="H92" i="32"/>
  <c r="G93" i="32"/>
  <c r="H93" i="32"/>
  <c r="G94" i="32"/>
  <c r="H94" i="32"/>
  <c r="G95" i="32"/>
  <c r="H95" i="32"/>
  <c r="G96" i="32"/>
  <c r="H96" i="32"/>
  <c r="G97" i="32"/>
  <c r="H97" i="32"/>
  <c r="G98" i="32"/>
  <c r="H98" i="32"/>
  <c r="G99" i="32"/>
  <c r="H99" i="32"/>
  <c r="G100" i="32"/>
  <c r="H100" i="32"/>
  <c r="G101" i="32"/>
  <c r="H101" i="32"/>
  <c r="G102" i="32"/>
  <c r="H102" i="32"/>
  <c r="G103" i="32"/>
  <c r="H103" i="32"/>
  <c r="G104" i="32"/>
  <c r="H104" i="32"/>
  <c r="G105" i="32"/>
  <c r="H105" i="32"/>
  <c r="G106" i="32"/>
  <c r="H106" i="32"/>
  <c r="G107" i="32"/>
  <c r="H107" i="32"/>
  <c r="G108" i="32"/>
  <c r="H108" i="32"/>
  <c r="G109" i="32"/>
  <c r="H109" i="32"/>
  <c r="G110" i="32"/>
  <c r="H110" i="32"/>
  <c r="G111" i="32"/>
  <c r="H111" i="32"/>
  <c r="G112" i="32"/>
  <c r="H112" i="32"/>
  <c r="G113" i="32"/>
  <c r="H113" i="32"/>
  <c r="G114" i="32"/>
  <c r="H114" i="32"/>
  <c r="G115" i="32"/>
  <c r="H115" i="32"/>
  <c r="G116" i="32"/>
  <c r="H116" i="32"/>
  <c r="G117" i="32"/>
  <c r="H117" i="32"/>
  <c r="G118" i="32"/>
  <c r="H118" i="32"/>
  <c r="G119" i="32"/>
  <c r="H119" i="32"/>
  <c r="G120" i="32"/>
  <c r="H120" i="32"/>
  <c r="G121" i="32"/>
  <c r="H121" i="32"/>
  <c r="G122" i="32"/>
  <c r="H122" i="32"/>
  <c r="G123" i="32"/>
  <c r="H123" i="32"/>
  <c r="G124" i="32"/>
  <c r="H124" i="32"/>
  <c r="G125" i="32"/>
  <c r="H125" i="32"/>
  <c r="G126" i="32"/>
  <c r="H126" i="32"/>
  <c r="G127" i="32"/>
  <c r="H127" i="32"/>
  <c r="G128" i="32"/>
  <c r="H128" i="32"/>
  <c r="G129" i="32"/>
  <c r="H129" i="32"/>
  <c r="G130" i="32"/>
  <c r="H130" i="32"/>
  <c r="G131" i="32"/>
  <c r="H131" i="32"/>
  <c r="G132" i="32"/>
  <c r="H132" i="32"/>
  <c r="G133" i="32"/>
  <c r="H133" i="32"/>
  <c r="G134" i="32"/>
  <c r="H134" i="32"/>
  <c r="G135" i="32"/>
  <c r="H135" i="32"/>
  <c r="G136" i="32"/>
  <c r="H136" i="32"/>
  <c r="G137" i="32"/>
  <c r="H137" i="32"/>
  <c r="G138" i="32"/>
  <c r="H138" i="32"/>
  <c r="G139" i="32"/>
  <c r="H139" i="32"/>
  <c r="G140" i="32"/>
  <c r="H140" i="32"/>
  <c r="G141" i="32"/>
  <c r="H141" i="32"/>
  <c r="G142" i="32"/>
  <c r="H142" i="32"/>
  <c r="G143" i="32"/>
  <c r="H143" i="32"/>
  <c r="G144" i="32"/>
  <c r="H144" i="32"/>
  <c r="G145" i="32"/>
  <c r="H145" i="32"/>
  <c r="G146" i="32"/>
  <c r="H146" i="32"/>
  <c r="G147" i="32"/>
  <c r="H147" i="32"/>
  <c r="G148" i="32"/>
  <c r="H148" i="32"/>
  <c r="G149" i="32"/>
  <c r="H149" i="32"/>
  <c r="G150" i="32"/>
  <c r="H150" i="32"/>
  <c r="G151" i="32"/>
  <c r="H151" i="32"/>
  <c r="G152" i="32"/>
  <c r="H152" i="32"/>
  <c r="G153" i="32"/>
  <c r="H153" i="32"/>
  <c r="G154" i="32"/>
  <c r="H154" i="32"/>
  <c r="G155" i="32"/>
  <c r="H155" i="32"/>
  <c r="G156" i="32"/>
  <c r="H156" i="32"/>
  <c r="G157" i="32"/>
  <c r="H157" i="32"/>
  <c r="G158" i="32"/>
  <c r="H158" i="32"/>
  <c r="G159" i="32"/>
  <c r="H159" i="32"/>
  <c r="G160" i="32"/>
  <c r="H160" i="32"/>
  <c r="G161" i="32"/>
  <c r="H161" i="32"/>
  <c r="G162" i="32"/>
  <c r="H162" i="32"/>
  <c r="G163" i="32"/>
  <c r="H163" i="32"/>
  <c r="G164" i="32"/>
  <c r="H164" i="32"/>
  <c r="G165" i="32"/>
  <c r="H165" i="32"/>
  <c r="G166" i="32"/>
  <c r="H166" i="32"/>
  <c r="G167" i="32"/>
  <c r="H167" i="32"/>
  <c r="G168" i="32"/>
  <c r="H168" i="32"/>
  <c r="G169" i="32"/>
  <c r="H169" i="32"/>
  <c r="G170" i="32"/>
  <c r="H170" i="32"/>
  <c r="G171" i="32"/>
  <c r="H171" i="32"/>
  <c r="G172" i="32"/>
  <c r="H172" i="32"/>
  <c r="G173" i="32"/>
  <c r="H173" i="32"/>
  <c r="G174" i="32"/>
  <c r="H174" i="32"/>
  <c r="G175" i="32"/>
  <c r="H175" i="32"/>
  <c r="G176" i="32"/>
  <c r="H176" i="32"/>
  <c r="G177" i="32"/>
  <c r="H177" i="32"/>
  <c r="G178" i="32"/>
  <c r="H178" i="32"/>
  <c r="G179" i="32"/>
  <c r="H179" i="32"/>
  <c r="G180" i="32"/>
  <c r="H180" i="32"/>
  <c r="G181" i="32"/>
  <c r="H181" i="32"/>
  <c r="G182" i="32"/>
  <c r="H182" i="32"/>
  <c r="G183" i="32"/>
  <c r="H183" i="32"/>
  <c r="G184" i="32"/>
  <c r="H184" i="32"/>
  <c r="G185" i="32"/>
  <c r="H185" i="32"/>
  <c r="G186" i="32"/>
  <c r="H186" i="32"/>
  <c r="G187" i="32"/>
  <c r="H187" i="32"/>
  <c r="G188" i="32"/>
  <c r="H188" i="32"/>
  <c r="G189" i="32"/>
  <c r="H189" i="32"/>
  <c r="G190" i="32"/>
  <c r="H190" i="32"/>
  <c r="G191" i="32"/>
  <c r="H191" i="32"/>
  <c r="G192" i="32"/>
  <c r="H192" i="32"/>
  <c r="G193" i="32"/>
  <c r="H193" i="32"/>
  <c r="G194" i="32"/>
  <c r="H194" i="32"/>
  <c r="G195" i="32"/>
  <c r="H195" i="32"/>
  <c r="G196" i="32"/>
  <c r="H196" i="32"/>
  <c r="G197" i="32"/>
  <c r="H197" i="32"/>
  <c r="G198" i="32"/>
  <c r="H198" i="32"/>
  <c r="G199" i="32"/>
  <c r="H199" i="32"/>
  <c r="G200" i="32"/>
  <c r="H200" i="32"/>
  <c r="G201" i="32"/>
  <c r="H201" i="32"/>
  <c r="G202" i="32"/>
  <c r="H202" i="32"/>
  <c r="G203" i="32"/>
  <c r="H203" i="32"/>
  <c r="G204" i="32"/>
  <c r="H204" i="32"/>
  <c r="G205" i="32"/>
  <c r="H205" i="32"/>
  <c r="G206" i="32"/>
  <c r="H206" i="32"/>
  <c r="G207" i="32"/>
  <c r="H207" i="32"/>
  <c r="G208" i="32"/>
  <c r="H208" i="32"/>
  <c r="G209" i="32"/>
  <c r="H209" i="32"/>
  <c r="G210" i="32"/>
  <c r="H210" i="32"/>
  <c r="G211" i="32"/>
  <c r="H211" i="32"/>
  <c r="G212" i="32"/>
  <c r="H212" i="32"/>
  <c r="G213" i="32"/>
  <c r="H213" i="32"/>
  <c r="G214" i="32"/>
  <c r="H214" i="32"/>
  <c r="G215" i="32"/>
  <c r="H215" i="32"/>
  <c r="G216" i="32"/>
  <c r="H216" i="32"/>
  <c r="G217" i="32"/>
  <c r="H217" i="32"/>
  <c r="G218" i="32"/>
  <c r="H218" i="32"/>
  <c r="G219" i="32"/>
  <c r="H219" i="32"/>
  <c r="G220" i="32"/>
  <c r="H220" i="32"/>
  <c r="G221" i="32"/>
  <c r="H221" i="32"/>
  <c r="G222" i="32"/>
  <c r="H222" i="32"/>
  <c r="G223" i="32"/>
  <c r="H223" i="32"/>
  <c r="G224" i="32"/>
  <c r="H224" i="32"/>
  <c r="G225" i="32"/>
  <c r="H225" i="32"/>
  <c r="G226" i="32"/>
  <c r="H226" i="32"/>
  <c r="G227" i="32"/>
  <c r="H227" i="32"/>
  <c r="G228" i="32"/>
  <c r="H228" i="32"/>
  <c r="G229" i="32"/>
  <c r="H229" i="32"/>
  <c r="G230" i="32"/>
  <c r="H230" i="32"/>
  <c r="G231" i="32"/>
  <c r="H231" i="32"/>
  <c r="G232" i="32"/>
  <c r="H232" i="32"/>
  <c r="G233" i="32"/>
  <c r="H233" i="32"/>
  <c r="G234" i="32"/>
  <c r="H234" i="32"/>
  <c r="G235" i="32"/>
  <c r="H235" i="32"/>
  <c r="G236" i="32"/>
  <c r="H236" i="32"/>
  <c r="G237" i="32"/>
  <c r="H237" i="32"/>
  <c r="G238" i="32"/>
  <c r="H238" i="32"/>
  <c r="G239" i="32"/>
  <c r="H239" i="32"/>
  <c r="G240" i="32"/>
  <c r="H240" i="32"/>
  <c r="G241" i="32"/>
  <c r="H241" i="32"/>
  <c r="G242" i="32"/>
  <c r="H242" i="32"/>
  <c r="G243" i="32"/>
  <c r="H243" i="32"/>
  <c r="G244" i="32"/>
  <c r="H244" i="32"/>
  <c r="G245" i="32"/>
  <c r="H245" i="32"/>
  <c r="G246" i="32"/>
  <c r="H246" i="32"/>
  <c r="G247" i="32"/>
  <c r="H247" i="32"/>
  <c r="G248" i="32"/>
  <c r="H248" i="32"/>
  <c r="G249" i="32"/>
  <c r="H249" i="32"/>
  <c r="G250" i="32"/>
  <c r="H250" i="32"/>
  <c r="G251" i="32"/>
  <c r="H251" i="32"/>
  <c r="G252" i="32"/>
  <c r="H252" i="32"/>
  <c r="G253" i="32"/>
  <c r="H253" i="32"/>
  <c r="G254" i="32"/>
  <c r="H254" i="32"/>
  <c r="G255" i="32"/>
  <c r="H255" i="32"/>
  <c r="G256" i="32"/>
  <c r="H256" i="32"/>
  <c r="G257" i="32"/>
  <c r="H257" i="32"/>
  <c r="G258" i="32"/>
  <c r="H258" i="32"/>
  <c r="G259" i="32"/>
  <c r="H259" i="32"/>
  <c r="G260" i="32"/>
  <c r="H260" i="32"/>
  <c r="G261" i="32"/>
  <c r="H261" i="32"/>
  <c r="G262" i="32"/>
  <c r="H262" i="32"/>
  <c r="G263" i="32"/>
  <c r="H263" i="32"/>
  <c r="G264" i="32"/>
  <c r="H264" i="32"/>
  <c r="G265" i="32"/>
  <c r="H265" i="32"/>
  <c r="G266" i="32"/>
  <c r="H266" i="32"/>
  <c r="G267" i="32"/>
  <c r="H267" i="32"/>
  <c r="G268" i="32"/>
  <c r="H268" i="32"/>
  <c r="G269" i="32"/>
  <c r="H269" i="32"/>
  <c r="G270" i="32"/>
  <c r="H270" i="32"/>
  <c r="G271" i="32"/>
  <c r="H271" i="32"/>
  <c r="G272" i="32"/>
  <c r="H272" i="32"/>
  <c r="G273" i="32"/>
  <c r="H273" i="32"/>
  <c r="G274" i="32"/>
  <c r="H274" i="32"/>
  <c r="G275" i="32"/>
  <c r="H275" i="32"/>
  <c r="G276" i="32"/>
  <c r="H276" i="32"/>
  <c r="G277" i="32"/>
  <c r="H277" i="32"/>
  <c r="G278" i="32"/>
  <c r="H278" i="32"/>
  <c r="G279" i="32"/>
  <c r="H279" i="32"/>
  <c r="G280" i="32"/>
  <c r="H280" i="32"/>
  <c r="G281" i="32"/>
  <c r="H281" i="32"/>
  <c r="G282" i="32"/>
  <c r="H282" i="32"/>
  <c r="G283" i="32"/>
  <c r="H283" i="32"/>
  <c r="G284" i="32"/>
  <c r="H284" i="32"/>
  <c r="G285" i="32"/>
  <c r="H285" i="32"/>
  <c r="G286" i="32"/>
  <c r="H286" i="32"/>
  <c r="G287" i="32"/>
  <c r="H287" i="32"/>
  <c r="G288" i="32"/>
  <c r="H288" i="32"/>
  <c r="G289" i="32"/>
  <c r="H289" i="32"/>
  <c r="G290" i="32"/>
  <c r="H290" i="32"/>
  <c r="G291" i="32"/>
  <c r="H291" i="32"/>
  <c r="G292" i="32"/>
  <c r="H292" i="32"/>
  <c r="G293" i="32"/>
  <c r="H293" i="32"/>
  <c r="G294" i="32"/>
  <c r="H294" i="32"/>
  <c r="G295" i="32"/>
  <c r="H295" i="32"/>
  <c r="G296" i="32"/>
  <c r="H296" i="32"/>
  <c r="G297" i="32"/>
  <c r="H297" i="32"/>
  <c r="G298" i="32"/>
  <c r="H298" i="32"/>
  <c r="G299" i="32"/>
  <c r="H299" i="32"/>
  <c r="G300" i="32"/>
  <c r="H300" i="32"/>
  <c r="G301" i="32"/>
  <c r="H301" i="32"/>
  <c r="G302" i="32"/>
  <c r="H302" i="32"/>
  <c r="G303" i="32"/>
  <c r="H303" i="32"/>
  <c r="G304" i="32"/>
  <c r="H304" i="32"/>
  <c r="G305" i="32"/>
  <c r="H305" i="32"/>
  <c r="G306" i="32"/>
  <c r="H306" i="32"/>
  <c r="G307" i="32"/>
  <c r="H307" i="32"/>
  <c r="G308" i="32"/>
  <c r="H308" i="32"/>
  <c r="G309" i="32"/>
  <c r="H309" i="32"/>
  <c r="G310" i="32"/>
  <c r="H310" i="32"/>
  <c r="G311" i="32"/>
  <c r="H311" i="32"/>
  <c r="G312" i="32"/>
  <c r="H312" i="32"/>
  <c r="G313" i="32"/>
  <c r="H313" i="32"/>
  <c r="G314" i="32"/>
  <c r="H314" i="32"/>
  <c r="G315" i="32"/>
  <c r="H315" i="32"/>
  <c r="G316" i="32"/>
  <c r="H316" i="32"/>
  <c r="G317" i="32"/>
  <c r="H317" i="32"/>
  <c r="G318" i="32"/>
  <c r="H318" i="32"/>
  <c r="G319" i="32"/>
  <c r="H319" i="32"/>
  <c r="G320" i="32"/>
  <c r="H320" i="32"/>
  <c r="G321" i="32"/>
  <c r="H321" i="32"/>
  <c r="G322" i="32"/>
  <c r="H322" i="32"/>
  <c r="G323" i="32"/>
  <c r="H323" i="32"/>
  <c r="G324" i="32"/>
  <c r="H324" i="32"/>
  <c r="G325" i="32"/>
  <c r="H325" i="32"/>
  <c r="G326" i="32"/>
  <c r="H326" i="32"/>
  <c r="G327" i="32"/>
  <c r="H327" i="32"/>
  <c r="G328" i="32"/>
  <c r="H328" i="32"/>
  <c r="G329" i="32"/>
  <c r="H329" i="32"/>
  <c r="G330" i="32"/>
  <c r="H330" i="32"/>
  <c r="G331" i="32"/>
  <c r="H331" i="32"/>
  <c r="G332" i="32"/>
  <c r="H332" i="32"/>
  <c r="G333" i="32"/>
  <c r="H333" i="32"/>
  <c r="G334" i="32"/>
  <c r="H334" i="32"/>
  <c r="G335" i="32"/>
  <c r="H335" i="32"/>
  <c r="G336" i="32"/>
  <c r="H336" i="32"/>
  <c r="G337" i="32"/>
  <c r="H337" i="32"/>
  <c r="G338" i="32"/>
  <c r="H338" i="32"/>
  <c r="G339" i="32"/>
  <c r="H339" i="32"/>
  <c r="G340" i="32"/>
  <c r="H340" i="32"/>
  <c r="G341" i="32"/>
  <c r="H341" i="32"/>
  <c r="G342" i="32"/>
  <c r="H342" i="32"/>
  <c r="G343" i="32"/>
  <c r="H343" i="32"/>
  <c r="G344" i="32"/>
  <c r="H344" i="32"/>
  <c r="G345" i="32"/>
  <c r="H345" i="32"/>
  <c r="G346" i="32"/>
  <c r="H346" i="32"/>
  <c r="G347" i="32"/>
  <c r="H347" i="32"/>
  <c r="G348" i="32"/>
  <c r="H348" i="32"/>
  <c r="G349" i="32"/>
  <c r="H349" i="32"/>
  <c r="G350" i="32"/>
  <c r="H350" i="32"/>
  <c r="G351" i="32"/>
  <c r="H351" i="32"/>
  <c r="G352" i="32"/>
  <c r="H352" i="32"/>
  <c r="G353" i="32"/>
  <c r="H353" i="32"/>
  <c r="G354" i="32"/>
  <c r="H354" i="32"/>
  <c r="G355" i="32"/>
  <c r="H355" i="32"/>
  <c r="G356" i="32"/>
  <c r="H356" i="32"/>
  <c r="G357" i="32"/>
  <c r="H357" i="32"/>
  <c r="G358" i="32"/>
  <c r="H358" i="32"/>
  <c r="G359" i="32"/>
  <c r="H359" i="32"/>
  <c r="G360" i="32"/>
  <c r="H360" i="32"/>
  <c r="G361" i="32"/>
  <c r="H361" i="32"/>
  <c r="G362" i="32"/>
  <c r="H362" i="32"/>
  <c r="G363" i="32"/>
  <c r="H363" i="32"/>
  <c r="G364" i="32"/>
  <c r="H364" i="32"/>
  <c r="G365" i="32"/>
  <c r="H365" i="32"/>
  <c r="G366" i="32"/>
  <c r="H366" i="32"/>
  <c r="G367" i="32"/>
  <c r="H367" i="32"/>
  <c r="G368" i="32"/>
  <c r="H368" i="32"/>
  <c r="G369" i="32"/>
  <c r="H369" i="32"/>
  <c r="G370" i="32"/>
  <c r="H370" i="32"/>
  <c r="G371" i="32"/>
  <c r="H371" i="32"/>
  <c r="G372" i="32"/>
  <c r="H372" i="32"/>
  <c r="G373" i="32"/>
  <c r="H373" i="32"/>
  <c r="G374" i="32"/>
  <c r="H374" i="32"/>
  <c r="G375" i="32"/>
  <c r="H375" i="32"/>
  <c r="G376" i="32"/>
  <c r="H376" i="32"/>
  <c r="G377" i="32"/>
  <c r="H377" i="32"/>
  <c r="G378" i="32"/>
  <c r="H378" i="32"/>
  <c r="G379" i="32"/>
  <c r="H379" i="32"/>
  <c r="G380" i="32"/>
  <c r="H380" i="32"/>
  <c r="G381" i="32"/>
  <c r="H381" i="32"/>
  <c r="G382" i="32"/>
  <c r="H382" i="32"/>
  <c r="G383" i="32"/>
  <c r="H383" i="32"/>
  <c r="G384" i="32"/>
  <c r="H384" i="32"/>
  <c r="G385" i="32"/>
  <c r="H385" i="32"/>
  <c r="G386" i="32"/>
  <c r="H386" i="32"/>
  <c r="G387" i="32"/>
  <c r="H387" i="32"/>
  <c r="G388" i="32"/>
  <c r="H388" i="32"/>
  <c r="G389" i="32"/>
  <c r="H389" i="32"/>
  <c r="G390" i="32"/>
  <c r="H390" i="32"/>
  <c r="G391" i="32"/>
  <c r="H391" i="32"/>
  <c r="G392" i="32"/>
  <c r="H392" i="32"/>
  <c r="G393" i="32"/>
  <c r="H393" i="32"/>
  <c r="G394" i="32"/>
  <c r="H394" i="32"/>
  <c r="G395" i="32"/>
  <c r="H395" i="32"/>
  <c r="G396" i="32"/>
  <c r="H396" i="32"/>
  <c r="G397" i="32"/>
  <c r="H397" i="32"/>
  <c r="G398" i="32"/>
  <c r="H398" i="32"/>
  <c r="G399" i="32"/>
  <c r="H399" i="32"/>
  <c r="G400" i="32"/>
  <c r="H400" i="32"/>
  <c r="G401" i="32"/>
  <c r="H401" i="32"/>
  <c r="G402" i="32"/>
  <c r="H402" i="32"/>
  <c r="G403" i="32"/>
  <c r="H403" i="32"/>
  <c r="G404" i="32"/>
  <c r="H404" i="32"/>
  <c r="G405" i="32"/>
  <c r="H405" i="32"/>
  <c r="G406" i="32"/>
  <c r="H406" i="32"/>
  <c r="G407" i="32"/>
  <c r="H407" i="32"/>
  <c r="G408" i="32"/>
  <c r="H408" i="32"/>
  <c r="G409" i="32"/>
  <c r="H409" i="32"/>
  <c r="G410" i="32"/>
  <c r="H410" i="32"/>
  <c r="G411" i="32"/>
  <c r="H411" i="32"/>
  <c r="G412" i="32"/>
  <c r="H412" i="32"/>
  <c r="G413" i="32"/>
  <c r="H413" i="32"/>
  <c r="G414" i="32"/>
  <c r="H414" i="32"/>
  <c r="G415" i="32"/>
  <c r="H415" i="32"/>
  <c r="G416" i="32"/>
  <c r="H416" i="32"/>
  <c r="G417" i="32"/>
  <c r="H417" i="32"/>
  <c r="G418" i="32"/>
  <c r="H418" i="32"/>
  <c r="G419" i="32"/>
  <c r="H419" i="32"/>
  <c r="G420" i="32"/>
  <c r="H420" i="32"/>
  <c r="G421" i="32"/>
  <c r="H421" i="32"/>
  <c r="G422" i="32"/>
  <c r="H422" i="32"/>
  <c r="G423" i="32"/>
  <c r="H423" i="32"/>
  <c r="G424" i="32"/>
  <c r="H424" i="32"/>
  <c r="G425" i="32"/>
  <c r="H425" i="32"/>
  <c r="G426" i="32"/>
  <c r="H426" i="32"/>
  <c r="G427" i="32"/>
  <c r="H427" i="32"/>
  <c r="G428" i="32"/>
  <c r="H428" i="32"/>
  <c r="G429" i="32"/>
  <c r="H429" i="32"/>
  <c r="G430" i="32"/>
  <c r="H430" i="32"/>
  <c r="G431" i="32"/>
  <c r="H431" i="32"/>
  <c r="G432" i="32"/>
  <c r="H432" i="32"/>
  <c r="G433" i="32"/>
  <c r="H433" i="32"/>
  <c r="G434" i="32"/>
  <c r="H434" i="32"/>
  <c r="G435" i="32"/>
  <c r="H435" i="32"/>
  <c r="G436" i="32"/>
  <c r="H436" i="32"/>
  <c r="G437" i="32"/>
  <c r="H437" i="32"/>
  <c r="G438" i="32"/>
  <c r="H438" i="32"/>
  <c r="G439" i="32"/>
  <c r="H439" i="32"/>
  <c r="G440" i="32"/>
  <c r="H440" i="32"/>
  <c r="G441" i="32"/>
  <c r="H441" i="32"/>
  <c r="G442" i="32"/>
  <c r="H442" i="32"/>
  <c r="G443" i="32"/>
  <c r="H443" i="32"/>
  <c r="G444" i="32"/>
  <c r="H444" i="32"/>
  <c r="G445" i="32"/>
  <c r="H445" i="32"/>
  <c r="G446" i="32"/>
  <c r="H446" i="32"/>
  <c r="G447" i="32"/>
  <c r="H447" i="32"/>
  <c r="G448" i="32"/>
  <c r="H448" i="32"/>
  <c r="G449" i="32"/>
  <c r="H449" i="32"/>
  <c r="G450" i="32"/>
  <c r="H450" i="32"/>
  <c r="G451" i="32"/>
  <c r="H451" i="32"/>
  <c r="G452" i="32"/>
  <c r="H452" i="32"/>
  <c r="G453" i="32"/>
  <c r="H453" i="32"/>
  <c r="G454" i="32"/>
  <c r="H454" i="32"/>
  <c r="G455" i="32"/>
  <c r="H455" i="32"/>
  <c r="G456" i="32"/>
  <c r="H456" i="32"/>
  <c r="G457" i="32"/>
  <c r="H457" i="32"/>
  <c r="G458" i="32"/>
  <c r="H458" i="32"/>
  <c r="G459" i="32"/>
  <c r="H459" i="32"/>
  <c r="G460" i="32"/>
  <c r="H460" i="32"/>
  <c r="G461" i="32"/>
  <c r="H461" i="32"/>
  <c r="G462" i="32"/>
  <c r="H462" i="32"/>
  <c r="G463" i="32"/>
  <c r="H463" i="32"/>
  <c r="G464" i="32"/>
  <c r="H464" i="32"/>
  <c r="G465" i="32"/>
  <c r="H465" i="32"/>
  <c r="G466" i="32"/>
  <c r="H466" i="32"/>
  <c r="G467" i="32"/>
  <c r="H467" i="32"/>
  <c r="G468" i="32"/>
  <c r="H468" i="32"/>
  <c r="G469" i="32"/>
  <c r="H469" i="32"/>
  <c r="G470" i="32"/>
  <c r="H470" i="32"/>
  <c r="G471" i="32"/>
  <c r="H471" i="32"/>
  <c r="G472" i="32"/>
  <c r="H472" i="32"/>
  <c r="G473" i="32"/>
  <c r="H473" i="32"/>
  <c r="G474" i="32"/>
  <c r="H474" i="32"/>
  <c r="G475" i="32"/>
  <c r="H475" i="32"/>
  <c r="G476" i="32"/>
  <c r="H476" i="32"/>
  <c r="G477" i="32"/>
  <c r="H477" i="32"/>
  <c r="G478" i="32"/>
  <c r="H478" i="32"/>
  <c r="G479" i="32"/>
  <c r="H479" i="32"/>
  <c r="G480" i="32"/>
  <c r="H480" i="32"/>
  <c r="G481" i="32"/>
  <c r="H481" i="32"/>
  <c r="G482" i="32"/>
  <c r="H482" i="32"/>
  <c r="G483" i="32"/>
  <c r="H483" i="32"/>
  <c r="G484" i="32"/>
  <c r="H484" i="32"/>
  <c r="G485" i="32"/>
  <c r="H485" i="32"/>
  <c r="G486" i="32"/>
  <c r="H486" i="32"/>
  <c r="G487" i="32"/>
  <c r="H487" i="32"/>
  <c r="G488" i="32"/>
  <c r="H488" i="32"/>
  <c r="G489" i="32"/>
  <c r="H489" i="32"/>
  <c r="G490" i="32"/>
  <c r="H490" i="32"/>
  <c r="G491" i="32"/>
  <c r="H491" i="32"/>
  <c r="G492" i="32"/>
  <c r="H492" i="32"/>
  <c r="G493" i="32"/>
  <c r="H493" i="32"/>
  <c r="G494" i="32"/>
  <c r="H494" i="32"/>
  <c r="G495" i="32"/>
  <c r="H495" i="32"/>
  <c r="G496" i="32"/>
  <c r="H496" i="32"/>
  <c r="G497" i="32"/>
  <c r="H497" i="32"/>
  <c r="G498" i="32"/>
  <c r="H498" i="32"/>
  <c r="G499" i="32"/>
  <c r="H499" i="32"/>
  <c r="G500" i="32"/>
  <c r="H500" i="32"/>
  <c r="G501" i="32"/>
  <c r="H501" i="32"/>
  <c r="H29" i="32"/>
  <c r="G29" i="32"/>
  <c r="H501" i="40"/>
  <c r="G501" i="40"/>
  <c r="G500" i="40" s="1"/>
  <c r="H500" i="40"/>
  <c r="H499" i="40"/>
  <c r="H498" i="40" s="1"/>
  <c r="G499" i="40"/>
  <c r="I498" i="40"/>
  <c r="G498" i="40"/>
  <c r="G497" i="40" s="1"/>
  <c r="H497" i="40"/>
  <c r="H496" i="40"/>
  <c r="H495" i="40" s="1"/>
  <c r="G496" i="40"/>
  <c r="I495" i="40"/>
  <c r="G495" i="40"/>
  <c r="H494" i="40"/>
  <c r="G494" i="40"/>
  <c r="G493" i="40" s="1"/>
  <c r="H493" i="40"/>
  <c r="H491" i="40"/>
  <c r="G491" i="40"/>
  <c r="G490" i="40" s="1"/>
  <c r="I490" i="40" s="1"/>
  <c r="H490" i="40"/>
  <c r="H489" i="40"/>
  <c r="H488" i="40" s="1"/>
  <c r="G489" i="40"/>
  <c r="I489" i="40" s="1"/>
  <c r="G488" i="40"/>
  <c r="I488" i="40" s="1"/>
  <c r="H487" i="40"/>
  <c r="G487" i="40"/>
  <c r="G486" i="40" s="1"/>
  <c r="H486" i="40"/>
  <c r="H485" i="40"/>
  <c r="H484" i="40" s="1"/>
  <c r="G485" i="40"/>
  <c r="I484" i="40"/>
  <c r="G484" i="40"/>
  <c r="H483" i="40"/>
  <c r="G483" i="40"/>
  <c r="G482" i="40" s="1"/>
  <c r="I482" i="40" s="1"/>
  <c r="H482" i="40"/>
  <c r="H481" i="40"/>
  <c r="H480" i="40" s="1"/>
  <c r="G481" i="40"/>
  <c r="I481" i="40" s="1"/>
  <c r="G480" i="40"/>
  <c r="I480" i="40" s="1"/>
  <c r="H479" i="40"/>
  <c r="G479" i="40"/>
  <c r="G478" i="40" s="1"/>
  <c r="H478" i="40"/>
  <c r="H477" i="40"/>
  <c r="H476" i="40" s="1"/>
  <c r="G477" i="40"/>
  <c r="I476" i="40"/>
  <c r="G476" i="40"/>
  <c r="H475" i="40"/>
  <c r="G475" i="40"/>
  <c r="G474" i="40" s="1"/>
  <c r="H474" i="40"/>
  <c r="H472" i="40"/>
  <c r="G472" i="40"/>
  <c r="G471" i="40" s="1"/>
  <c r="I471" i="40" s="1"/>
  <c r="H471" i="40"/>
  <c r="H470" i="40"/>
  <c r="H469" i="40" s="1"/>
  <c r="G470" i="40"/>
  <c r="I470" i="40" s="1"/>
  <c r="G469" i="40"/>
  <c r="I469" i="40" s="1"/>
  <c r="H468" i="40"/>
  <c r="G468" i="40"/>
  <c r="G467" i="40" s="1"/>
  <c r="H467" i="40"/>
  <c r="H466" i="40"/>
  <c r="H465" i="40" s="1"/>
  <c r="G466" i="40"/>
  <c r="I465" i="40"/>
  <c r="G465" i="40"/>
  <c r="H464" i="40"/>
  <c r="H462" i="40"/>
  <c r="H461" i="40" s="1"/>
  <c r="G462" i="40"/>
  <c r="I461" i="40"/>
  <c r="G461" i="40"/>
  <c r="H460" i="40"/>
  <c r="G460" i="40"/>
  <c r="I460" i="40" s="1"/>
  <c r="H459" i="40"/>
  <c r="G459" i="40"/>
  <c r="I459" i="40" s="1"/>
  <c r="H458" i="40"/>
  <c r="G458" i="40"/>
  <c r="H457" i="40"/>
  <c r="H456" i="40"/>
  <c r="H455" i="40" s="1"/>
  <c r="G456" i="40"/>
  <c r="I456" i="40" s="1"/>
  <c r="G455" i="40"/>
  <c r="I455" i="40" s="1"/>
  <c r="H454" i="40"/>
  <c r="G454" i="40"/>
  <c r="G453" i="40" s="1"/>
  <c r="H453" i="40"/>
  <c r="H452" i="40"/>
  <c r="G452" i="40"/>
  <c r="H451" i="40"/>
  <c r="G451" i="40"/>
  <c r="I451" i="40" s="1"/>
  <c r="G450" i="40"/>
  <c r="H449" i="40"/>
  <c r="G449" i="40"/>
  <c r="I449" i="40" s="1"/>
  <c r="H448" i="40"/>
  <c r="G448" i="40"/>
  <c r="G447" i="40" s="1"/>
  <c r="H447" i="40"/>
  <c r="H445" i="40"/>
  <c r="G445" i="40"/>
  <c r="G444" i="40" s="1"/>
  <c r="I444" i="40" s="1"/>
  <c r="H444" i="40"/>
  <c r="H443" i="40"/>
  <c r="G443" i="40"/>
  <c r="I443" i="40" s="1"/>
  <c r="H442" i="40"/>
  <c r="G442" i="40"/>
  <c r="H441" i="40"/>
  <c r="G441" i="40"/>
  <c r="I441" i="40" s="1"/>
  <c r="G440" i="40"/>
  <c r="H439" i="40"/>
  <c r="G439" i="40"/>
  <c r="G438" i="40" s="1"/>
  <c r="H438" i="40"/>
  <c r="H437" i="40"/>
  <c r="H436" i="40" s="1"/>
  <c r="G437" i="40"/>
  <c r="I436" i="40"/>
  <c r="G436" i="40"/>
  <c r="H435" i="40"/>
  <c r="G435" i="40"/>
  <c r="I435" i="40" s="1"/>
  <c r="H434" i="40"/>
  <c r="G434" i="40"/>
  <c r="I434" i="40" s="1"/>
  <c r="H433" i="40"/>
  <c r="G433" i="40"/>
  <c r="G432" i="40" s="1"/>
  <c r="I432" i="40" s="1"/>
  <c r="H432" i="40"/>
  <c r="H431" i="40"/>
  <c r="G431" i="40"/>
  <c r="I431" i="40" s="1"/>
  <c r="H430" i="40"/>
  <c r="H429" i="40" s="1"/>
  <c r="G430" i="40"/>
  <c r="I429" i="40"/>
  <c r="G429" i="40"/>
  <c r="H428" i="40"/>
  <c r="G428" i="40"/>
  <c r="G427" i="40" s="1"/>
  <c r="I427" i="40" s="1"/>
  <c r="H427" i="40"/>
  <c r="H426" i="40"/>
  <c r="H425" i="40" s="1"/>
  <c r="G426" i="40"/>
  <c r="I426" i="40" s="1"/>
  <c r="G425" i="40"/>
  <c r="H423" i="40"/>
  <c r="H422" i="40" s="1"/>
  <c r="G423" i="40"/>
  <c r="I423" i="40" s="1"/>
  <c r="G422" i="40"/>
  <c r="I422" i="40" s="1"/>
  <c r="H421" i="40"/>
  <c r="G421" i="40"/>
  <c r="G420" i="40" s="1"/>
  <c r="H420" i="40"/>
  <c r="H419" i="40"/>
  <c r="H418" i="40" s="1"/>
  <c r="G419" i="40"/>
  <c r="I418" i="40"/>
  <c r="G418" i="40"/>
  <c r="H417" i="40"/>
  <c r="G417" i="40"/>
  <c r="G416" i="40" s="1"/>
  <c r="I416" i="40" s="1"/>
  <c r="H416" i="40"/>
  <c r="H415" i="40"/>
  <c r="H414" i="40" s="1"/>
  <c r="G415" i="40"/>
  <c r="I415" i="40" s="1"/>
  <c r="G414" i="40"/>
  <c r="I414" i="40" s="1"/>
  <c r="H413" i="40"/>
  <c r="G413" i="40"/>
  <c r="G412" i="40" s="1"/>
  <c r="H412" i="40"/>
  <c r="H411" i="40"/>
  <c r="H410" i="40" s="1"/>
  <c r="G411" i="40"/>
  <c r="I410" i="40"/>
  <c r="G410" i="40"/>
  <c r="H409" i="40"/>
  <c r="G409" i="40"/>
  <c r="G408" i="40" s="1"/>
  <c r="I408" i="40" s="1"/>
  <c r="H408" i="40"/>
  <c r="H407" i="40"/>
  <c r="H406" i="40" s="1"/>
  <c r="G407" i="40"/>
  <c r="I407" i="40" s="1"/>
  <c r="G406" i="40"/>
  <c r="H404" i="40"/>
  <c r="H403" i="40" s="1"/>
  <c r="G404" i="40"/>
  <c r="I404" i="40" s="1"/>
  <c r="G403" i="40"/>
  <c r="I403" i="40" s="1"/>
  <c r="H402" i="40"/>
  <c r="G402" i="40"/>
  <c r="G401" i="40" s="1"/>
  <c r="H401" i="40"/>
  <c r="H400" i="40"/>
  <c r="H399" i="40"/>
  <c r="H398" i="40" s="1"/>
  <c r="G399" i="40"/>
  <c r="I398" i="40"/>
  <c r="G398" i="40"/>
  <c r="H397" i="40"/>
  <c r="G397" i="40"/>
  <c r="G396" i="40" s="1"/>
  <c r="I396" i="40" s="1"/>
  <c r="H396" i="40"/>
  <c r="H395" i="40"/>
  <c r="H394" i="40" s="1"/>
  <c r="G395" i="40"/>
  <c r="I395" i="40" s="1"/>
  <c r="G394" i="40"/>
  <c r="I394" i="40" s="1"/>
  <c r="H393" i="40"/>
  <c r="G393" i="40"/>
  <c r="G392" i="40" s="1"/>
  <c r="H392" i="40"/>
  <c r="H391" i="40"/>
  <c r="H390" i="40" s="1"/>
  <c r="G391" i="40"/>
  <c r="I390" i="40"/>
  <c r="G390" i="40"/>
  <c r="H389" i="40"/>
  <c r="G389" i="40"/>
  <c r="G388" i="40" s="1"/>
  <c r="I388" i="40" s="1"/>
  <c r="H388" i="40"/>
  <c r="H387" i="40"/>
  <c r="H386" i="40" s="1"/>
  <c r="G387" i="40"/>
  <c r="I387" i="40" s="1"/>
  <c r="G386" i="40"/>
  <c r="I386" i="40" s="1"/>
  <c r="H385" i="40"/>
  <c r="G385" i="40"/>
  <c r="G384" i="40" s="1"/>
  <c r="H384" i="40"/>
  <c r="H383" i="40" s="1"/>
  <c r="H382" i="40"/>
  <c r="G382" i="40"/>
  <c r="G381" i="40" s="1"/>
  <c r="H381" i="40"/>
  <c r="H380" i="40"/>
  <c r="H379" i="40" s="1"/>
  <c r="G380" i="40"/>
  <c r="I379" i="40"/>
  <c r="G379" i="40"/>
  <c r="H378" i="40"/>
  <c r="G378" i="40"/>
  <c r="G377" i="40" s="1"/>
  <c r="I377" i="40" s="1"/>
  <c r="H377" i="40"/>
  <c r="H376" i="40"/>
  <c r="H375" i="40" s="1"/>
  <c r="G376" i="40"/>
  <c r="I376" i="40" s="1"/>
  <c r="G375" i="40"/>
  <c r="I375" i="40" s="1"/>
  <c r="H374" i="40"/>
  <c r="G374" i="40"/>
  <c r="G373" i="40" s="1"/>
  <c r="H373" i="40"/>
  <c r="H372" i="40"/>
  <c r="H371" i="40" s="1"/>
  <c r="H366" i="40" s="1"/>
  <c r="G372" i="40"/>
  <c r="I371" i="40"/>
  <c r="G371" i="40"/>
  <c r="H370" i="40"/>
  <c r="G370" i="40"/>
  <c r="G369" i="40" s="1"/>
  <c r="I369" i="40" s="1"/>
  <c r="H369" i="40"/>
  <c r="H368" i="40"/>
  <c r="H367" i="40" s="1"/>
  <c r="G368" i="40"/>
  <c r="I368" i="40" s="1"/>
  <c r="G367" i="40"/>
  <c r="H365" i="40"/>
  <c r="H364" i="40" s="1"/>
  <c r="G365" i="40"/>
  <c r="I365" i="40" s="1"/>
  <c r="G364" i="40"/>
  <c r="I364" i="40" s="1"/>
  <c r="H363" i="40"/>
  <c r="G363" i="40"/>
  <c r="G362" i="40" s="1"/>
  <c r="H362" i="40"/>
  <c r="H361" i="40"/>
  <c r="H360" i="40" s="1"/>
  <c r="G361" i="40"/>
  <c r="I360" i="40"/>
  <c r="G360" i="40"/>
  <c r="H359" i="40"/>
  <c r="G359" i="40"/>
  <c r="G358" i="40" s="1"/>
  <c r="H358" i="40"/>
  <c r="H356" i="40"/>
  <c r="G356" i="40"/>
  <c r="G355" i="40" s="1"/>
  <c r="I355" i="40" s="1"/>
  <c r="H355" i="40"/>
  <c r="H354" i="40"/>
  <c r="H353" i="40" s="1"/>
  <c r="G354" i="40"/>
  <c r="I354" i="40" s="1"/>
  <c r="G353" i="40"/>
  <c r="I353" i="40" s="1"/>
  <c r="H352" i="40"/>
  <c r="G352" i="40"/>
  <c r="G351" i="40" s="1"/>
  <c r="H351" i="40"/>
  <c r="H348" i="40" s="1"/>
  <c r="H350" i="40"/>
  <c r="H349" i="40" s="1"/>
  <c r="G350" i="40"/>
  <c r="I349" i="40"/>
  <c r="G349" i="40"/>
  <c r="H347" i="40"/>
  <c r="H346" i="40" s="1"/>
  <c r="G347" i="40"/>
  <c r="I346" i="40"/>
  <c r="G346" i="40"/>
  <c r="H345" i="40"/>
  <c r="G345" i="40"/>
  <c r="G344" i="40" s="1"/>
  <c r="I344" i="40" s="1"/>
  <c r="H344" i="40"/>
  <c r="H343" i="40"/>
  <c r="H342" i="40" s="1"/>
  <c r="G343" i="40"/>
  <c r="I343" i="40" s="1"/>
  <c r="G342" i="40"/>
  <c r="I342" i="40" s="1"/>
  <c r="H341" i="40"/>
  <c r="G341" i="40"/>
  <c r="G340" i="40" s="1"/>
  <c r="H340" i="40"/>
  <c r="H337" i="40" s="1"/>
  <c r="H339" i="40"/>
  <c r="H338" i="40" s="1"/>
  <c r="G339" i="40"/>
  <c r="G338" i="40"/>
  <c r="G337" i="40" s="1"/>
  <c r="H335" i="40"/>
  <c r="G335" i="40"/>
  <c r="I335" i="40" s="1"/>
  <c r="H334" i="40"/>
  <c r="G334" i="40"/>
  <c r="H333" i="40"/>
  <c r="G333" i="40"/>
  <c r="I333" i="40" s="1"/>
  <c r="H332" i="40"/>
  <c r="G332" i="40"/>
  <c r="H331" i="40"/>
  <c r="G331" i="40"/>
  <c r="I331" i="40" s="1"/>
  <c r="H330" i="40"/>
  <c r="G330" i="40"/>
  <c r="H329" i="40"/>
  <c r="G329" i="40"/>
  <c r="I329" i="40" s="1"/>
  <c r="H328" i="40"/>
  <c r="H327" i="40" s="1"/>
  <c r="G328" i="40"/>
  <c r="I327" i="40"/>
  <c r="G327" i="40"/>
  <c r="H326" i="40"/>
  <c r="G326" i="40"/>
  <c r="I326" i="40" s="1"/>
  <c r="H325" i="40"/>
  <c r="G325" i="40"/>
  <c r="H324" i="40"/>
  <c r="H323" i="40"/>
  <c r="H322" i="40" s="1"/>
  <c r="G323" i="40"/>
  <c r="I322" i="40"/>
  <c r="G322" i="40"/>
  <c r="H321" i="40"/>
  <c r="G321" i="40"/>
  <c r="G320" i="40" s="1"/>
  <c r="I320" i="40" s="1"/>
  <c r="H320" i="40"/>
  <c r="H319" i="40"/>
  <c r="H318" i="40" s="1"/>
  <c r="G319" i="40"/>
  <c r="I319" i="40" s="1"/>
  <c r="G318" i="40"/>
  <c r="I318" i="40" s="1"/>
  <c r="H317" i="40"/>
  <c r="G317" i="40"/>
  <c r="G316" i="40" s="1"/>
  <c r="H316" i="40"/>
  <c r="H315" i="40"/>
  <c r="H314" i="40" s="1"/>
  <c r="G315" i="40"/>
  <c r="I314" i="40"/>
  <c r="G314" i="40"/>
  <c r="H313" i="40"/>
  <c r="G313" i="40"/>
  <c r="G312" i="40" s="1"/>
  <c r="I312" i="40" s="1"/>
  <c r="H312" i="40"/>
  <c r="H311" i="40"/>
  <c r="G311" i="40"/>
  <c r="I311" i="40" s="1"/>
  <c r="H310" i="40"/>
  <c r="H309" i="40" s="1"/>
  <c r="G310" i="40"/>
  <c r="I309" i="40"/>
  <c r="G309" i="40"/>
  <c r="H308" i="40"/>
  <c r="H307" i="40"/>
  <c r="H306" i="40" s="1"/>
  <c r="G307" i="40"/>
  <c r="I306" i="40"/>
  <c r="G306" i="40"/>
  <c r="H305" i="40"/>
  <c r="G305" i="40"/>
  <c r="G304" i="40" s="1"/>
  <c r="I304" i="40" s="1"/>
  <c r="H304" i="40"/>
  <c r="H302" i="40"/>
  <c r="G302" i="40"/>
  <c r="I302" i="40" s="1"/>
  <c r="H301" i="40"/>
  <c r="G301" i="40"/>
  <c r="I301" i="40" s="1"/>
  <c r="H300" i="40"/>
  <c r="G300" i="40"/>
  <c r="I300" i="40" s="1"/>
  <c r="H299" i="40"/>
  <c r="G299" i="40"/>
  <c r="I299" i="40" s="1"/>
  <c r="H298" i="40"/>
  <c r="G298" i="40"/>
  <c r="I298" i="40" s="1"/>
  <c r="H297" i="40"/>
  <c r="G297" i="40"/>
  <c r="I297" i="40" s="1"/>
  <c r="H296" i="40"/>
  <c r="G296" i="40"/>
  <c r="G295" i="40" s="1"/>
  <c r="I295" i="40" s="1"/>
  <c r="H295" i="40"/>
  <c r="H294" i="40"/>
  <c r="G294" i="40"/>
  <c r="I294" i="40" s="1"/>
  <c r="H293" i="40"/>
  <c r="G293" i="40"/>
  <c r="H292" i="40"/>
  <c r="G292" i="40"/>
  <c r="I292" i="40" s="1"/>
  <c r="H291" i="40"/>
  <c r="G291" i="40"/>
  <c r="H290" i="40"/>
  <c r="G290" i="40"/>
  <c r="I290" i="40" s="1"/>
  <c r="H289" i="40"/>
  <c r="G289" i="40"/>
  <c r="H288" i="40"/>
  <c r="G288" i="40"/>
  <c r="I288" i="40" s="1"/>
  <c r="G287" i="40"/>
  <c r="G286" i="40" s="1"/>
  <c r="H285" i="40"/>
  <c r="H284" i="40" s="1"/>
  <c r="G285" i="40"/>
  <c r="I285" i="40" s="1"/>
  <c r="G284" i="40"/>
  <c r="I284" i="40" s="1"/>
  <c r="H283" i="40"/>
  <c r="G283" i="40"/>
  <c r="I283" i="40" s="1"/>
  <c r="H282" i="40"/>
  <c r="G282" i="40"/>
  <c r="I282" i="40" s="1"/>
  <c r="H281" i="40"/>
  <c r="G281" i="40"/>
  <c r="I281" i="40" s="1"/>
  <c r="H280" i="40"/>
  <c r="G280" i="40"/>
  <c r="I280" i="40" s="1"/>
  <c r="H279" i="40"/>
  <c r="G279" i="40"/>
  <c r="I279" i="40" s="1"/>
  <c r="H278" i="40"/>
  <c r="G278" i="40"/>
  <c r="I278" i="40" s="1"/>
  <c r="H277" i="40"/>
  <c r="G277" i="40"/>
  <c r="H276" i="40"/>
  <c r="H275" i="40"/>
  <c r="G275" i="40"/>
  <c r="H274" i="40"/>
  <c r="G274" i="40"/>
  <c r="I274" i="40" s="1"/>
  <c r="H273" i="40"/>
  <c r="H272" i="40" s="1"/>
  <c r="G273" i="40"/>
  <c r="I272" i="40"/>
  <c r="G272" i="40"/>
  <c r="H271" i="40"/>
  <c r="G271" i="40"/>
  <c r="I271" i="40" s="1"/>
  <c r="H270" i="40"/>
  <c r="G270" i="40"/>
  <c r="I270" i="40" s="1"/>
  <c r="H269" i="40"/>
  <c r="G269" i="40"/>
  <c r="G268" i="40" s="1"/>
  <c r="I268" i="40" s="1"/>
  <c r="H268" i="40"/>
  <c r="H267" i="40"/>
  <c r="G267" i="40"/>
  <c r="I267" i="40" s="1"/>
  <c r="H266" i="40"/>
  <c r="G266" i="40"/>
  <c r="H265" i="40"/>
  <c r="G265" i="40"/>
  <c r="I265" i="40" s="1"/>
  <c r="H264" i="40"/>
  <c r="G264" i="40"/>
  <c r="H263" i="40"/>
  <c r="G263" i="40"/>
  <c r="I263" i="40" s="1"/>
  <c r="G262" i="40"/>
  <c r="H260" i="40"/>
  <c r="H259" i="40" s="1"/>
  <c r="G260" i="40"/>
  <c r="I260" i="40" s="1"/>
  <c r="G259" i="40"/>
  <c r="I259" i="40" s="1"/>
  <c r="H258" i="40"/>
  <c r="G258" i="40"/>
  <c r="G257" i="40" s="1"/>
  <c r="H257" i="40"/>
  <c r="H256" i="40"/>
  <c r="H255" i="40" s="1"/>
  <c r="H250" i="40" s="1"/>
  <c r="G256" i="40"/>
  <c r="I255" i="40"/>
  <c r="G255" i="40"/>
  <c r="H254" i="40"/>
  <c r="G254" i="40"/>
  <c r="G253" i="40" s="1"/>
  <c r="I253" i="40" s="1"/>
  <c r="H253" i="40"/>
  <c r="H252" i="40"/>
  <c r="H251" i="40" s="1"/>
  <c r="G252" i="40"/>
  <c r="I252" i="40" s="1"/>
  <c r="G251" i="40"/>
  <c r="G250" i="40" s="1"/>
  <c r="H249" i="40"/>
  <c r="H248" i="40" s="1"/>
  <c r="G249" i="40"/>
  <c r="I249" i="40" s="1"/>
  <c r="G248" i="40"/>
  <c r="I248" i="40" s="1"/>
  <c r="H247" i="40"/>
  <c r="G247" i="40"/>
  <c r="G246" i="40" s="1"/>
  <c r="H246" i="40"/>
  <c r="H245" i="40" s="1"/>
  <c r="G245" i="40"/>
  <c r="I245" i="40" s="1"/>
  <c r="H244" i="40"/>
  <c r="G244" i="40"/>
  <c r="G243" i="40" s="1"/>
  <c r="H243" i="40"/>
  <c r="H242" i="40"/>
  <c r="H241" i="40" s="1"/>
  <c r="G242" i="40"/>
  <c r="I241" i="40"/>
  <c r="G241" i="40"/>
  <c r="H240" i="40"/>
  <c r="G240" i="40"/>
  <c r="G239" i="40" s="1"/>
  <c r="I239" i="40" s="1"/>
  <c r="H239" i="40"/>
  <c r="H238" i="40"/>
  <c r="H237" i="40" s="1"/>
  <c r="G238" i="40"/>
  <c r="I238" i="40" s="1"/>
  <c r="G237" i="40"/>
  <c r="I237" i="40" s="1"/>
  <c r="H236" i="40"/>
  <c r="G236" i="40"/>
  <c r="G235" i="40" s="1"/>
  <c r="H235" i="40"/>
  <c r="H234" i="40"/>
  <c r="H233" i="40" s="1"/>
  <c r="G234" i="40"/>
  <c r="I233" i="40"/>
  <c r="G233" i="40"/>
  <c r="H232" i="40"/>
  <c r="H231" i="40"/>
  <c r="H230" i="40" s="1"/>
  <c r="H225" i="40" s="1"/>
  <c r="G231" i="40"/>
  <c r="I230" i="40"/>
  <c r="G230" i="40"/>
  <c r="H229" i="40"/>
  <c r="G229" i="40"/>
  <c r="G228" i="40" s="1"/>
  <c r="I228" i="40" s="1"/>
  <c r="H228" i="40"/>
  <c r="H227" i="40"/>
  <c r="H226" i="40" s="1"/>
  <c r="G227" i="40"/>
  <c r="I227" i="40" s="1"/>
  <c r="G226" i="40"/>
  <c r="G225" i="40" s="1"/>
  <c r="H224" i="40"/>
  <c r="H223" i="40" s="1"/>
  <c r="G224" i="40"/>
  <c r="I224" i="40" s="1"/>
  <c r="G223" i="40"/>
  <c r="I223" i="40" s="1"/>
  <c r="H222" i="40"/>
  <c r="G222" i="40"/>
  <c r="I222" i="40" s="1"/>
  <c r="H221" i="40"/>
  <c r="G221" i="40"/>
  <c r="I221" i="40" s="1"/>
  <c r="H220" i="40"/>
  <c r="G220" i="40"/>
  <c r="H219" i="40"/>
  <c r="H218" i="40"/>
  <c r="H217" i="40" s="1"/>
  <c r="G218" i="40"/>
  <c r="I217" i="40"/>
  <c r="G217" i="40"/>
  <c r="H216" i="40"/>
  <c r="G216" i="40"/>
  <c r="I216" i="40" s="1"/>
  <c r="H215" i="40"/>
  <c r="G215" i="40"/>
  <c r="H214" i="40"/>
  <c r="H213" i="40" s="1"/>
  <c r="H211" i="40"/>
  <c r="G211" i="40"/>
  <c r="I211" i="40" s="1"/>
  <c r="H210" i="40"/>
  <c r="G210" i="40"/>
  <c r="G209" i="40" s="1"/>
  <c r="I209" i="40" s="1"/>
  <c r="H209" i="40"/>
  <c r="H208" i="40" s="1"/>
  <c r="H207" i="40"/>
  <c r="G207" i="40"/>
  <c r="I207" i="40" s="1"/>
  <c r="H206" i="40"/>
  <c r="G206" i="40"/>
  <c r="I206" i="40" s="1"/>
  <c r="H205" i="40"/>
  <c r="G205" i="40"/>
  <c r="G204" i="40" s="1"/>
  <c r="I204" i="40" s="1"/>
  <c r="H204" i="40"/>
  <c r="H203" i="40"/>
  <c r="G203" i="40"/>
  <c r="I203" i="40" s="1"/>
  <c r="H202" i="40"/>
  <c r="G202" i="40"/>
  <c r="H201" i="40"/>
  <c r="G201" i="40"/>
  <c r="I201" i="40" s="1"/>
  <c r="H200" i="40"/>
  <c r="G200" i="40"/>
  <c r="H199" i="40"/>
  <c r="G199" i="40"/>
  <c r="I199" i="40" s="1"/>
  <c r="H198" i="40"/>
  <c r="H197" i="40" s="1"/>
  <c r="G198" i="40"/>
  <c r="I197" i="40"/>
  <c r="G197" i="40"/>
  <c r="H196" i="40"/>
  <c r="G196" i="40"/>
  <c r="I196" i="40" s="1"/>
  <c r="H195" i="40"/>
  <c r="G195" i="40"/>
  <c r="I195" i="40" s="1"/>
  <c r="H194" i="40"/>
  <c r="G194" i="40"/>
  <c r="I194" i="40" s="1"/>
  <c r="H193" i="40"/>
  <c r="G193" i="40"/>
  <c r="H192" i="40"/>
  <c r="H191" i="40"/>
  <c r="G191" i="40"/>
  <c r="H190" i="40"/>
  <c r="G190" i="40"/>
  <c r="I190" i="40" s="1"/>
  <c r="H189" i="40"/>
  <c r="H188" i="40" s="1"/>
  <c r="G189" i="40"/>
  <c r="I188" i="40"/>
  <c r="G188" i="40"/>
  <c r="H187" i="40"/>
  <c r="G187" i="40"/>
  <c r="G186" i="40" s="1"/>
  <c r="I186" i="40" s="1"/>
  <c r="H186" i="40"/>
  <c r="H185" i="40"/>
  <c r="H184" i="40" s="1"/>
  <c r="G185" i="40"/>
  <c r="I185" i="40" s="1"/>
  <c r="G184" i="40"/>
  <c r="I184" i="40" s="1"/>
  <c r="H183" i="40"/>
  <c r="G183" i="40"/>
  <c r="G182" i="40" s="1"/>
  <c r="H182" i="40"/>
  <c r="H181" i="40"/>
  <c r="H180" i="40" s="1"/>
  <c r="G181" i="40"/>
  <c r="I180" i="40"/>
  <c r="G180" i="40"/>
  <c r="H179" i="40"/>
  <c r="H178" i="40"/>
  <c r="H177" i="40" s="1"/>
  <c r="G178" i="40"/>
  <c r="I177" i="40"/>
  <c r="G177" i="40"/>
  <c r="H176" i="40"/>
  <c r="G176" i="40"/>
  <c r="I176" i="40" s="1"/>
  <c r="H175" i="40"/>
  <c r="G175" i="40"/>
  <c r="I175" i="40" s="1"/>
  <c r="H174" i="40"/>
  <c r="G174" i="40"/>
  <c r="I174" i="40" s="1"/>
  <c r="H173" i="40"/>
  <c r="G173" i="40"/>
  <c r="I173" i="40" s="1"/>
  <c r="H172" i="40"/>
  <c r="G172" i="40"/>
  <c r="I172" i="40" s="1"/>
  <c r="H171" i="40"/>
  <c r="G171" i="40"/>
  <c r="I171" i="40" s="1"/>
  <c r="H170" i="40"/>
  <c r="G170" i="40"/>
  <c r="I170" i="40" s="1"/>
  <c r="H169" i="40"/>
  <c r="G169" i="40"/>
  <c r="I169" i="40" s="1"/>
  <c r="H168" i="40"/>
  <c r="G168" i="40"/>
  <c r="G167" i="40" s="1"/>
  <c r="I167" i="40" s="1"/>
  <c r="H167" i="40"/>
  <c r="H166" i="40"/>
  <c r="G166" i="40"/>
  <c r="I166" i="40" s="1"/>
  <c r="H165" i="40"/>
  <c r="G165" i="40"/>
  <c r="H164" i="40"/>
  <c r="G164" i="40"/>
  <c r="I164" i="40" s="1"/>
  <c r="H163" i="40"/>
  <c r="G163" i="40"/>
  <c r="H162" i="40"/>
  <c r="G162" i="40"/>
  <c r="I162" i="40" s="1"/>
  <c r="H161" i="40"/>
  <c r="G161" i="40"/>
  <c r="H160" i="40"/>
  <c r="G160" i="40"/>
  <c r="I160" i="40" s="1"/>
  <c r="H159" i="40"/>
  <c r="H158" i="40" s="1"/>
  <c r="G159" i="40"/>
  <c r="I158" i="40"/>
  <c r="G158" i="40"/>
  <c r="H157" i="40"/>
  <c r="H156" i="40"/>
  <c r="H155" i="40" s="1"/>
  <c r="G156" i="40"/>
  <c r="I155" i="40"/>
  <c r="G155" i="40"/>
  <c r="H154" i="40"/>
  <c r="G154" i="40"/>
  <c r="G153" i="40" s="1"/>
  <c r="I153" i="40" s="1"/>
  <c r="H153" i="40"/>
  <c r="H152" i="40"/>
  <c r="H151" i="40" s="1"/>
  <c r="G152" i="40"/>
  <c r="I152" i="40" s="1"/>
  <c r="G151" i="40"/>
  <c r="I151" i="40" s="1"/>
  <c r="H150" i="40"/>
  <c r="G150" i="40"/>
  <c r="G149" i="40" s="1"/>
  <c r="H149" i="40"/>
  <c r="H148" i="40" s="1"/>
  <c r="G148" i="40"/>
  <c r="I148" i="40" s="1"/>
  <c r="H147" i="40"/>
  <c r="G147" i="40"/>
  <c r="G146" i="40" s="1"/>
  <c r="H146" i="40"/>
  <c r="H145" i="40"/>
  <c r="H144" i="40" s="1"/>
  <c r="G145" i="40"/>
  <c r="I144" i="40"/>
  <c r="G144" i="40"/>
  <c r="H143" i="40"/>
  <c r="G143" i="40"/>
  <c r="G142" i="40" s="1"/>
  <c r="I142" i="40" s="1"/>
  <c r="H142" i="40"/>
  <c r="H141" i="40"/>
  <c r="H140" i="40" s="1"/>
  <c r="G141" i="40"/>
  <c r="I141" i="40" s="1"/>
  <c r="G140" i="40"/>
  <c r="I140" i="40" s="1"/>
  <c r="H139" i="40"/>
  <c r="G139" i="40"/>
  <c r="G138" i="40" s="1"/>
  <c r="H138" i="40"/>
  <c r="H137" i="40"/>
  <c r="H136" i="40" s="1"/>
  <c r="G137" i="40"/>
  <c r="I136" i="40"/>
  <c r="G136" i="40"/>
  <c r="H135" i="40"/>
  <c r="G135" i="40"/>
  <c r="I135" i="40" s="1"/>
  <c r="H134" i="40"/>
  <c r="G134" i="40"/>
  <c r="I134" i="40" s="1"/>
  <c r="H133" i="40"/>
  <c r="G133" i="40"/>
  <c r="I133" i="40" s="1"/>
  <c r="H132" i="40"/>
  <c r="G132" i="40"/>
  <c r="I132" i="40" s="1"/>
  <c r="H131" i="40"/>
  <c r="G131" i="40"/>
  <c r="G130" i="40" s="1"/>
  <c r="I130" i="40" s="1"/>
  <c r="H130" i="40"/>
  <c r="H129" i="40"/>
  <c r="H128" i="40" s="1"/>
  <c r="G129" i="40"/>
  <c r="I129" i="40" s="1"/>
  <c r="G128" i="40"/>
  <c r="I128" i="40" s="1"/>
  <c r="H127" i="40"/>
  <c r="G127" i="40"/>
  <c r="G126" i="40" s="1"/>
  <c r="H126" i="40"/>
  <c r="H125" i="40" s="1"/>
  <c r="G125" i="40"/>
  <c r="I125" i="40" s="1"/>
  <c r="H124" i="40"/>
  <c r="G124" i="40"/>
  <c r="G123" i="40" s="1"/>
  <c r="H123" i="40"/>
  <c r="H122" i="40"/>
  <c r="H121" i="40" s="1"/>
  <c r="G122" i="40"/>
  <c r="I121" i="40"/>
  <c r="G121" i="40"/>
  <c r="H120" i="40"/>
  <c r="G120" i="40"/>
  <c r="G119" i="40" s="1"/>
  <c r="I119" i="40" s="1"/>
  <c r="H119" i="40"/>
  <c r="H118" i="40"/>
  <c r="H117" i="40" s="1"/>
  <c r="H116" i="40" s="1"/>
  <c r="G118" i="40"/>
  <c r="I118" i="40" s="1"/>
  <c r="G117" i="40"/>
  <c r="G116" i="40" s="1"/>
  <c r="I116" i="40" s="1"/>
  <c r="H115" i="40"/>
  <c r="H114" i="40" s="1"/>
  <c r="G115" i="40"/>
  <c r="I115" i="40" s="1"/>
  <c r="G114" i="40"/>
  <c r="I114" i="40" s="1"/>
  <c r="H113" i="40"/>
  <c r="G113" i="40"/>
  <c r="G112" i="40" s="1"/>
  <c r="H112" i="40"/>
  <c r="H110" i="40"/>
  <c r="G110" i="40"/>
  <c r="G109" i="40" s="1"/>
  <c r="I109" i="40" s="1"/>
  <c r="H109" i="40"/>
  <c r="H108" i="40"/>
  <c r="H107" i="40" s="1"/>
  <c r="H106" i="40" s="1"/>
  <c r="G108" i="40"/>
  <c r="I108" i="40" s="1"/>
  <c r="G107" i="40"/>
  <c r="G106" i="40" s="1"/>
  <c r="I106" i="40" s="1"/>
  <c r="H105" i="40"/>
  <c r="H104" i="40" s="1"/>
  <c r="G105" i="40"/>
  <c r="I105" i="40" s="1"/>
  <c r="G104" i="40"/>
  <c r="I104" i="40" s="1"/>
  <c r="H103" i="40"/>
  <c r="G103" i="40"/>
  <c r="G102" i="40" s="1"/>
  <c r="I102" i="40" s="1"/>
  <c r="H102" i="40"/>
  <c r="H101" i="40"/>
  <c r="G101" i="40"/>
  <c r="I101" i="40" s="1"/>
  <c r="H100" i="40"/>
  <c r="H99" i="40" s="1"/>
  <c r="G100" i="40"/>
  <c r="I100" i="40" s="1"/>
  <c r="G99" i="40"/>
  <c r="I99" i="40" s="1"/>
  <c r="H98" i="40"/>
  <c r="G98" i="40"/>
  <c r="G97" i="40" s="1"/>
  <c r="I97" i="40" s="1"/>
  <c r="H97" i="40"/>
  <c r="H96" i="40"/>
  <c r="H95" i="40" s="1"/>
  <c r="G96" i="40"/>
  <c r="I96" i="40" s="1"/>
  <c r="G95" i="40"/>
  <c r="I95" i="40" s="1"/>
  <c r="H94" i="40"/>
  <c r="G94" i="40"/>
  <c r="G93" i="40" s="1"/>
  <c r="I93" i="40" s="1"/>
  <c r="H93" i="40"/>
  <c r="H92" i="40"/>
  <c r="H91" i="40" s="1"/>
  <c r="G92" i="40"/>
  <c r="I92" i="40" s="1"/>
  <c r="G91" i="40"/>
  <c r="I91" i="40" s="1"/>
  <c r="H90" i="40"/>
  <c r="G90" i="40"/>
  <c r="G89" i="40" s="1"/>
  <c r="H89" i="40"/>
  <c r="H86" i="40"/>
  <c r="G86" i="40"/>
  <c r="G85" i="40" s="1"/>
  <c r="I85" i="40" s="1"/>
  <c r="H85" i="40"/>
  <c r="H84" i="40"/>
  <c r="H83" i="40" s="1"/>
  <c r="G84" i="40"/>
  <c r="I84" i="40" s="1"/>
  <c r="G83" i="40"/>
  <c r="I83" i="40" s="1"/>
  <c r="H82" i="40"/>
  <c r="G82" i="40"/>
  <c r="G81" i="40" s="1"/>
  <c r="I81" i="40" s="1"/>
  <c r="H81" i="40"/>
  <c r="H80" i="40"/>
  <c r="H79" i="40" s="1"/>
  <c r="H78" i="40" s="1"/>
  <c r="G80" i="40"/>
  <c r="I80" i="40" s="1"/>
  <c r="G79" i="40"/>
  <c r="G78" i="40" s="1"/>
  <c r="I78" i="40" s="1"/>
  <c r="H77" i="40"/>
  <c r="G77" i="40"/>
  <c r="I77" i="40" s="1"/>
  <c r="H76" i="40"/>
  <c r="G76" i="40"/>
  <c r="I76" i="40" s="1"/>
  <c r="H75" i="40"/>
  <c r="H74" i="40" s="1"/>
  <c r="G75" i="40"/>
  <c r="I75" i="40" s="1"/>
  <c r="G74" i="40"/>
  <c r="I74" i="40" s="1"/>
  <c r="H73" i="40"/>
  <c r="G73" i="40"/>
  <c r="G72" i="40" s="1"/>
  <c r="H72" i="40"/>
  <c r="H70" i="40"/>
  <c r="G70" i="40"/>
  <c r="I70" i="40" s="1"/>
  <c r="H69" i="40"/>
  <c r="G69" i="40"/>
  <c r="G68" i="40" s="1"/>
  <c r="I68" i="40" s="1"/>
  <c r="H68" i="40"/>
  <c r="H67" i="40"/>
  <c r="G67" i="40"/>
  <c r="I67" i="40" s="1"/>
  <c r="H66" i="40"/>
  <c r="H65" i="40" s="1"/>
  <c r="H64" i="40" s="1"/>
  <c r="G66" i="40"/>
  <c r="I66" i="40" s="1"/>
  <c r="G65" i="40"/>
  <c r="G64" i="40" s="1"/>
  <c r="I64" i="40" s="1"/>
  <c r="H63" i="40"/>
  <c r="G63" i="40"/>
  <c r="I63" i="40" s="1"/>
  <c r="H62" i="40"/>
  <c r="G62" i="40"/>
  <c r="I62" i="40" s="1"/>
  <c r="H61" i="40"/>
  <c r="G61" i="40"/>
  <c r="I61" i="40" s="1"/>
  <c r="H60" i="40"/>
  <c r="G60" i="40"/>
  <c r="I60" i="40" s="1"/>
  <c r="H59" i="40"/>
  <c r="G59" i="40"/>
  <c r="I59" i="40" s="1"/>
  <c r="H58" i="40"/>
  <c r="G58" i="40"/>
  <c r="I58" i="40" s="1"/>
  <c r="H57" i="40"/>
  <c r="G57" i="40"/>
  <c r="I57" i="40" s="1"/>
  <c r="H56" i="40"/>
  <c r="G56" i="40"/>
  <c r="I56" i="40" s="1"/>
  <c r="H55" i="40"/>
  <c r="H54" i="40" s="1"/>
  <c r="G55" i="40"/>
  <c r="I55" i="40" s="1"/>
  <c r="G54" i="40"/>
  <c r="I54" i="40" s="1"/>
  <c r="H53" i="40"/>
  <c r="G53" i="40"/>
  <c r="G52" i="40" s="1"/>
  <c r="H52" i="40"/>
  <c r="H50" i="40"/>
  <c r="G50" i="40"/>
  <c r="I50" i="40" s="1"/>
  <c r="H49" i="40"/>
  <c r="G49" i="40"/>
  <c r="I49" i="40" s="1"/>
  <c r="H48" i="40"/>
  <c r="G48" i="40"/>
  <c r="I48" i="40" s="1"/>
  <c r="H47" i="40"/>
  <c r="G47" i="40"/>
  <c r="G46" i="40" s="1"/>
  <c r="I46" i="40" s="1"/>
  <c r="H46" i="40"/>
  <c r="H45" i="40"/>
  <c r="H44" i="40" s="1"/>
  <c r="G45" i="40"/>
  <c r="I45" i="40" s="1"/>
  <c r="G44" i="40"/>
  <c r="I44" i="40" s="1"/>
  <c r="H43" i="40"/>
  <c r="G43" i="40"/>
  <c r="G42" i="40" s="1"/>
  <c r="H42" i="40"/>
  <c r="H41" i="40"/>
  <c r="G41" i="40"/>
  <c r="I41" i="40" s="1"/>
  <c r="H40" i="40"/>
  <c r="G40" i="40"/>
  <c r="I40" i="40" s="1"/>
  <c r="H39" i="40"/>
  <c r="G39" i="40"/>
  <c r="I39" i="40" s="1"/>
  <c r="H38" i="40"/>
  <c r="G38" i="40"/>
  <c r="I38" i="40" s="1"/>
  <c r="H37" i="40"/>
  <c r="G37" i="40"/>
  <c r="I37" i="40" s="1"/>
  <c r="H36" i="40"/>
  <c r="H35" i="40" s="1"/>
  <c r="H27" i="40" s="1"/>
  <c r="G36" i="40"/>
  <c r="I36" i="40" s="1"/>
  <c r="G35" i="40"/>
  <c r="I35" i="40" s="1"/>
  <c r="H34" i="40"/>
  <c r="G34" i="40"/>
  <c r="I34" i="40" s="1"/>
  <c r="H33" i="40"/>
  <c r="G33" i="40"/>
  <c r="I33" i="40" s="1"/>
  <c r="H32" i="40"/>
  <c r="G32" i="40"/>
  <c r="I32" i="40" s="1"/>
  <c r="H31" i="40"/>
  <c r="G31" i="40"/>
  <c r="I31" i="40" s="1"/>
  <c r="H30" i="40"/>
  <c r="G30" i="40"/>
  <c r="I30" i="40" s="1"/>
  <c r="H29" i="40"/>
  <c r="G29" i="40"/>
  <c r="I29" i="40" s="1"/>
  <c r="H28" i="40"/>
  <c r="G28" i="40"/>
  <c r="I28" i="40" s="1"/>
  <c r="G16" i="40"/>
  <c r="G15" i="40"/>
  <c r="I17" i="40" s="1"/>
  <c r="I14" i="40"/>
  <c r="B34" i="2"/>
  <c r="C131" i="8"/>
  <c r="C139" i="8"/>
  <c r="C119" i="8"/>
  <c r="C118" i="8"/>
  <c r="F11" i="25"/>
  <c r="E11" i="25"/>
  <c r="E7" i="25"/>
  <c r="C99" i="8"/>
  <c r="C110" i="8"/>
  <c r="C109" i="8"/>
  <c r="C108" i="8"/>
  <c r="C107" i="8"/>
  <c r="C106" i="8"/>
  <c r="C130" i="8"/>
  <c r="C128" i="8"/>
  <c r="C125" i="8"/>
  <c r="C87" i="8"/>
  <c r="C91" i="8"/>
  <c r="C90" i="8"/>
  <c r="C89" i="8"/>
  <c r="C88" i="8"/>
  <c r="C75" i="8"/>
  <c r="C67" i="8"/>
  <c r="C50" i="8"/>
  <c r="C43" i="8"/>
  <c r="E13" i="23"/>
  <c r="E12" i="23"/>
  <c r="E19" i="23" s="1"/>
  <c r="M105" i="11"/>
  <c r="L105" i="11"/>
  <c r="K105" i="11"/>
  <c r="J105" i="11"/>
  <c r="I105" i="11"/>
  <c r="H105" i="11"/>
  <c r="G105" i="11"/>
  <c r="E105" i="11"/>
  <c r="N104" i="11"/>
  <c r="N103" i="11"/>
  <c r="N102" i="11"/>
  <c r="N101" i="11"/>
  <c r="N100" i="11"/>
  <c r="N99" i="11"/>
  <c r="N98" i="11"/>
  <c r="N97" i="11"/>
  <c r="N96" i="11"/>
  <c r="N95" i="11"/>
  <c r="N94" i="11"/>
  <c r="N93" i="11"/>
  <c r="N92" i="11"/>
  <c r="N91" i="11"/>
  <c r="N90" i="11"/>
  <c r="N89" i="11"/>
  <c r="N88" i="11"/>
  <c r="N87" i="11"/>
  <c r="N86" i="11"/>
  <c r="N85" i="11"/>
  <c r="N84" i="11"/>
  <c r="N83" i="11"/>
  <c r="N82" i="11"/>
  <c r="N81" i="11"/>
  <c r="N80" i="11"/>
  <c r="N79" i="11"/>
  <c r="N78" i="11"/>
  <c r="N77" i="11"/>
  <c r="N76" i="11"/>
  <c r="N75" i="11"/>
  <c r="N74" i="11"/>
  <c r="N73" i="11"/>
  <c r="N72" i="11"/>
  <c r="N71" i="11"/>
  <c r="N70" i="11"/>
  <c r="N69" i="11"/>
  <c r="N68" i="11"/>
  <c r="N67" i="11"/>
  <c r="N66" i="11"/>
  <c r="N65" i="11"/>
  <c r="N64" i="11"/>
  <c r="N63" i="11"/>
  <c r="N62" i="11"/>
  <c r="N61" i="11"/>
  <c r="N60" i="11"/>
  <c r="N59" i="11"/>
  <c r="N58" i="11"/>
  <c r="N57" i="11"/>
  <c r="N56" i="11"/>
  <c r="N55" i="11"/>
  <c r="N54" i="11"/>
  <c r="N53" i="11"/>
  <c r="N52" i="11"/>
  <c r="N51" i="11"/>
  <c r="N50" i="11"/>
  <c r="N49" i="11"/>
  <c r="N48" i="11"/>
  <c r="N47" i="11"/>
  <c r="N46" i="11"/>
  <c r="N45" i="11"/>
  <c r="N44" i="11"/>
  <c r="N43" i="11"/>
  <c r="N42" i="11"/>
  <c r="N41" i="11"/>
  <c r="N40" i="11"/>
  <c r="N39" i="11"/>
  <c r="N38" i="11"/>
  <c r="N37" i="11"/>
  <c r="N36" i="11"/>
  <c r="N35" i="11"/>
  <c r="N34" i="11"/>
  <c r="N33" i="11"/>
  <c r="N32" i="11"/>
  <c r="N31" i="11"/>
  <c r="N30" i="11"/>
  <c r="N29" i="11"/>
  <c r="N28" i="11"/>
  <c r="N27" i="11"/>
  <c r="N26" i="11"/>
  <c r="N25" i="11"/>
  <c r="N24" i="11"/>
  <c r="N23" i="11"/>
  <c r="N22" i="11"/>
  <c r="N21" i="11"/>
  <c r="N20" i="11"/>
  <c r="N19" i="11"/>
  <c r="N18" i="11"/>
  <c r="N17" i="11"/>
  <c r="N16" i="11"/>
  <c r="N15" i="11"/>
  <c r="N14" i="11"/>
  <c r="N13" i="11"/>
  <c r="N12" i="11"/>
  <c r="N11" i="11"/>
  <c r="N10" i="11"/>
  <c r="N9" i="11"/>
  <c r="N8" i="11"/>
  <c r="A8" i="1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39" i="11" s="1"/>
  <c r="A40" i="11" s="1"/>
  <c r="A41" i="11" s="1"/>
  <c r="A42" i="11" s="1"/>
  <c r="A43" i="11" s="1"/>
  <c r="A44" i="11" s="1"/>
  <c r="A45" i="11" s="1"/>
  <c r="A46" i="11" s="1"/>
  <c r="A47" i="11" s="1"/>
  <c r="A48" i="11" s="1"/>
  <c r="A49" i="11" s="1"/>
  <c r="A50" i="11" s="1"/>
  <c r="A51" i="11" s="1"/>
  <c r="A52" i="11" s="1"/>
  <c r="A53" i="11" s="1"/>
  <c r="A54" i="11" s="1"/>
  <c r="A55" i="11" s="1"/>
  <c r="A56" i="11" s="1"/>
  <c r="A57" i="11" s="1"/>
  <c r="A58" i="11" s="1"/>
  <c r="A59" i="11" s="1"/>
  <c r="A60" i="11" s="1"/>
  <c r="A61" i="11" s="1"/>
  <c r="A62" i="11" s="1"/>
  <c r="A63" i="11" s="1"/>
  <c r="A64" i="11" s="1"/>
  <c r="A65" i="11" s="1"/>
  <c r="A66" i="11" s="1"/>
  <c r="A67" i="11" s="1"/>
  <c r="A68" i="11" s="1"/>
  <c r="A69" i="11" s="1"/>
  <c r="A70" i="11" s="1"/>
  <c r="A71" i="11" s="1"/>
  <c r="A72" i="11" s="1"/>
  <c r="A73" i="11" s="1"/>
  <c r="A74" i="11" s="1"/>
  <c r="A75" i="11" s="1"/>
  <c r="A76" i="11" s="1"/>
  <c r="A77" i="11" s="1"/>
  <c r="A78" i="11" s="1"/>
  <c r="A79" i="11" s="1"/>
  <c r="A80" i="11" s="1"/>
  <c r="A81" i="11" s="1"/>
  <c r="A82" i="11" s="1"/>
  <c r="A83" i="11" s="1"/>
  <c r="A84" i="11" s="1"/>
  <c r="A85" i="11" s="1"/>
  <c r="A86" i="11" s="1"/>
  <c r="A87" i="11" s="1"/>
  <c r="A88" i="11" s="1"/>
  <c r="A89" i="11" s="1"/>
  <c r="A90" i="11" s="1"/>
  <c r="A91" i="11" s="1"/>
  <c r="A92" i="11" s="1"/>
  <c r="A93" i="11" s="1"/>
  <c r="A94" i="11" s="1"/>
  <c r="A95" i="11" s="1"/>
  <c r="A96" i="11" s="1"/>
  <c r="A97" i="11" s="1"/>
  <c r="A98" i="11" s="1"/>
  <c r="A99" i="11" s="1"/>
  <c r="A100" i="11" s="1"/>
  <c r="A101" i="11" s="1"/>
  <c r="A102" i="11" s="1"/>
  <c r="A103" i="11" s="1"/>
  <c r="A104" i="11" s="1"/>
  <c r="N7" i="11"/>
  <c r="C29" i="8"/>
  <c r="B159" i="18"/>
  <c r="D20" i="18"/>
  <c r="E20" i="18"/>
  <c r="F20" i="18"/>
  <c r="G20" i="18"/>
  <c r="H20" i="18"/>
  <c r="I20" i="18"/>
  <c r="J20" i="18"/>
  <c r="K20" i="18"/>
  <c r="K19" i="18"/>
  <c r="K18" i="18"/>
  <c r="H17" i="18"/>
  <c r="G17" i="18"/>
  <c r="E17" i="18"/>
  <c r="J154" i="18"/>
  <c r="E154" i="18"/>
  <c r="F154" i="18"/>
  <c r="G154" i="18"/>
  <c r="H154" i="18"/>
  <c r="I154" i="18"/>
  <c r="I52" i="40" l="1"/>
  <c r="G51" i="40"/>
  <c r="I72" i="40"/>
  <c r="G71" i="40"/>
  <c r="I89" i="40"/>
  <c r="G88" i="40"/>
  <c r="I112" i="40"/>
  <c r="G111" i="40"/>
  <c r="I111" i="40" s="1"/>
  <c r="I42" i="40"/>
  <c r="G27" i="40"/>
  <c r="H51" i="40"/>
  <c r="H26" i="40" s="1"/>
  <c r="H71" i="40"/>
  <c r="H88" i="40"/>
  <c r="H111" i="40"/>
  <c r="I43" i="40"/>
  <c r="I47" i="40"/>
  <c r="I53" i="40"/>
  <c r="I65" i="40"/>
  <c r="I69" i="40"/>
  <c r="I73" i="40"/>
  <c r="I79" i="40"/>
  <c r="I82" i="40"/>
  <c r="I86" i="40"/>
  <c r="I90" i="40"/>
  <c r="I94" i="40"/>
  <c r="I98" i="40"/>
  <c r="I103" i="40"/>
  <c r="I107" i="40"/>
  <c r="I110" i="40"/>
  <c r="I113" i="40"/>
  <c r="I117" i="40"/>
  <c r="I120" i="40"/>
  <c r="I131" i="40"/>
  <c r="I143" i="40"/>
  <c r="I154" i="40"/>
  <c r="I168" i="40"/>
  <c r="I187" i="40"/>
  <c r="I205" i="40"/>
  <c r="I210" i="40"/>
  <c r="I225" i="40"/>
  <c r="I229" i="40"/>
  <c r="I240" i="40"/>
  <c r="I250" i="40"/>
  <c r="I254" i="40"/>
  <c r="I269" i="40"/>
  <c r="I286" i="40"/>
  <c r="I296" i="40"/>
  <c r="I305" i="40"/>
  <c r="I313" i="40"/>
  <c r="I321" i="40"/>
  <c r="I337" i="40"/>
  <c r="I345" i="40"/>
  <c r="I356" i="40"/>
  <c r="I370" i="40"/>
  <c r="I389" i="40"/>
  <c r="G405" i="40"/>
  <c r="I406" i="40"/>
  <c r="I417" i="40"/>
  <c r="G424" i="40"/>
  <c r="I425" i="40"/>
  <c r="I433" i="40"/>
  <c r="I474" i="40"/>
  <c r="G473" i="40"/>
  <c r="I475" i="40"/>
  <c r="I491" i="40"/>
  <c r="I122" i="40"/>
  <c r="I123" i="40"/>
  <c r="I124" i="40"/>
  <c r="I126" i="40"/>
  <c r="I127" i="40"/>
  <c r="I137" i="40"/>
  <c r="I138" i="40"/>
  <c r="I139" i="40"/>
  <c r="I145" i="40"/>
  <c r="I146" i="40"/>
  <c r="I147" i="40"/>
  <c r="I149" i="40"/>
  <c r="I150" i="40"/>
  <c r="I156" i="40"/>
  <c r="G157" i="40"/>
  <c r="I157" i="40" s="1"/>
  <c r="I159" i="40"/>
  <c r="I161" i="40"/>
  <c r="I163" i="40"/>
  <c r="I165" i="40"/>
  <c r="I178" i="40"/>
  <c r="I181" i="40"/>
  <c r="I182" i="40"/>
  <c r="I183" i="40"/>
  <c r="I189" i="40"/>
  <c r="I191" i="40"/>
  <c r="G192" i="40"/>
  <c r="I192" i="40" s="1"/>
  <c r="I193" i="40"/>
  <c r="I198" i="40"/>
  <c r="I200" i="40"/>
  <c r="I202" i="40"/>
  <c r="G208" i="40"/>
  <c r="I208" i="40" s="1"/>
  <c r="G214" i="40"/>
  <c r="I215" i="40"/>
  <c r="I218" i="40"/>
  <c r="G219" i="40"/>
  <c r="I219" i="40" s="1"/>
  <c r="I220" i="40"/>
  <c r="I226" i="40"/>
  <c r="I231" i="40"/>
  <c r="G232" i="40"/>
  <c r="I232" i="40" s="1"/>
  <c r="I234" i="40"/>
  <c r="I235" i="40"/>
  <c r="I236" i="40"/>
  <c r="I242" i="40"/>
  <c r="I243" i="40"/>
  <c r="I244" i="40"/>
  <c r="I246" i="40"/>
  <c r="I247" i="40"/>
  <c r="I251" i="40"/>
  <c r="I256" i="40"/>
  <c r="I257" i="40"/>
  <c r="I258" i="40"/>
  <c r="I262" i="40"/>
  <c r="H262" i="40"/>
  <c r="H261" i="40" s="1"/>
  <c r="I264" i="40"/>
  <c r="I266" i="40"/>
  <c r="I273" i="40"/>
  <c r="I275" i="40"/>
  <c r="G276" i="40"/>
  <c r="I276" i="40" s="1"/>
  <c r="I277" i="40"/>
  <c r="I287" i="40"/>
  <c r="H287" i="40"/>
  <c r="H286" i="40" s="1"/>
  <c r="I289" i="40"/>
  <c r="I291" i="40"/>
  <c r="I293" i="40"/>
  <c r="G303" i="40"/>
  <c r="H303" i="40"/>
  <c r="H212" i="40" s="1"/>
  <c r="I307" i="40"/>
  <c r="I310" i="40"/>
  <c r="I315" i="40"/>
  <c r="I316" i="40"/>
  <c r="I317" i="40"/>
  <c r="I323" i="40"/>
  <c r="G324" i="40"/>
  <c r="I324" i="40" s="1"/>
  <c r="I325" i="40"/>
  <c r="I328" i="40"/>
  <c r="I330" i="40"/>
  <c r="I332" i="40"/>
  <c r="I334" i="40"/>
  <c r="I338" i="40"/>
  <c r="I358" i="40"/>
  <c r="G357" i="40"/>
  <c r="I359" i="40"/>
  <c r="G366" i="40"/>
  <c r="I366" i="40" s="1"/>
  <c r="I367" i="40"/>
  <c r="I378" i="40"/>
  <c r="G383" i="40"/>
  <c r="I383" i="40" s="1"/>
  <c r="I397" i="40"/>
  <c r="I409" i="40"/>
  <c r="H405" i="40"/>
  <c r="I428" i="40"/>
  <c r="I447" i="40"/>
  <c r="I448" i="40"/>
  <c r="I339" i="40"/>
  <c r="I340" i="40"/>
  <c r="I341" i="40"/>
  <c r="I347" i="40"/>
  <c r="G348" i="40"/>
  <c r="I348" i="40" s="1"/>
  <c r="I350" i="40"/>
  <c r="I351" i="40"/>
  <c r="I352" i="40"/>
  <c r="H357" i="40"/>
  <c r="H336" i="40" s="1"/>
  <c r="I361" i="40"/>
  <c r="I362" i="40"/>
  <c r="I363" i="40"/>
  <c r="I372" i="40"/>
  <c r="I373" i="40"/>
  <c r="I374" i="40"/>
  <c r="I380" i="40"/>
  <c r="I381" i="40"/>
  <c r="I382" i="40"/>
  <c r="I384" i="40"/>
  <c r="I385" i="40"/>
  <c r="I391" i="40"/>
  <c r="I392" i="40"/>
  <c r="I393" i="40"/>
  <c r="I399" i="40"/>
  <c r="I401" i="40"/>
  <c r="G400" i="40"/>
  <c r="I400" i="40" s="1"/>
  <c r="I402" i="40"/>
  <c r="I411" i="40"/>
  <c r="I412" i="40"/>
  <c r="I413" i="40"/>
  <c r="I419" i="40"/>
  <c r="I420" i="40"/>
  <c r="I421" i="40"/>
  <c r="I430" i="40"/>
  <c r="I445" i="40"/>
  <c r="G457" i="40"/>
  <c r="I457" i="40" s="1"/>
  <c r="I458" i="40"/>
  <c r="I472" i="40"/>
  <c r="I483" i="40"/>
  <c r="I493" i="40"/>
  <c r="G492" i="40"/>
  <c r="I494" i="40"/>
  <c r="I437" i="40"/>
  <c r="I438" i="40"/>
  <c r="I439" i="40"/>
  <c r="H440" i="40"/>
  <c r="H424" i="40" s="1"/>
  <c r="I442" i="40"/>
  <c r="H446" i="40"/>
  <c r="H450" i="40"/>
  <c r="I450" i="40" s="1"/>
  <c r="I452" i="40"/>
  <c r="I453" i="40"/>
  <c r="I454" i="40"/>
  <c r="I462" i="40"/>
  <c r="G464" i="40"/>
  <c r="I466" i="40"/>
  <c r="I467" i="40"/>
  <c r="I468" i="40"/>
  <c r="H473" i="40"/>
  <c r="H463" i="40" s="1"/>
  <c r="I477" i="40"/>
  <c r="I478" i="40"/>
  <c r="I479" i="40"/>
  <c r="I485" i="40"/>
  <c r="I486" i="40"/>
  <c r="I487" i="40"/>
  <c r="H492" i="40"/>
  <c r="I496" i="40"/>
  <c r="I497" i="40"/>
  <c r="I499" i="40"/>
  <c r="I500" i="40"/>
  <c r="I501" i="40"/>
  <c r="N105" i="11"/>
  <c r="C37" i="8" s="1"/>
  <c r="I464" i="40" l="1"/>
  <c r="G463" i="40"/>
  <c r="I463" i="40" s="1"/>
  <c r="I440" i="40"/>
  <c r="I357" i="40"/>
  <c r="G308" i="40"/>
  <c r="I308" i="40" s="1"/>
  <c r="I214" i="40"/>
  <c r="G213" i="40"/>
  <c r="G179" i="40"/>
  <c r="I179" i="40" s="1"/>
  <c r="I424" i="40"/>
  <c r="G261" i="40"/>
  <c r="I261" i="40" s="1"/>
  <c r="I27" i="40"/>
  <c r="G26" i="40"/>
  <c r="I492" i="40"/>
  <c r="G446" i="40"/>
  <c r="I446" i="40" s="1"/>
  <c r="I303" i="40"/>
  <c r="I473" i="40"/>
  <c r="I405" i="40"/>
  <c r="H87" i="40"/>
  <c r="H25" i="40" s="1"/>
  <c r="I88" i="40"/>
  <c r="G87" i="40"/>
  <c r="I87" i="40" s="1"/>
  <c r="I71" i="40"/>
  <c r="I51" i="40"/>
  <c r="E39" i="37"/>
  <c r="E32" i="37"/>
  <c r="E40" i="37" s="1"/>
  <c r="E12" i="37"/>
  <c r="E9" i="37"/>
  <c r="I26" i="40" l="1"/>
  <c r="G336" i="40"/>
  <c r="I336" i="40" s="1"/>
  <c r="I213" i="40"/>
  <c r="G212" i="40"/>
  <c r="I212" i="40" s="1"/>
  <c r="G25" i="40" l="1"/>
  <c r="I25" i="40" s="1"/>
  <c r="J36" i="40" l="1"/>
  <c r="J38" i="40"/>
  <c r="J40" i="40"/>
  <c r="J45" i="40"/>
  <c r="J67" i="40"/>
  <c r="J84" i="40"/>
  <c r="J118" i="40"/>
  <c r="J133" i="40"/>
  <c r="J135" i="40"/>
  <c r="J169" i="40"/>
  <c r="J171" i="40"/>
  <c r="J173" i="40"/>
  <c r="J175" i="40"/>
  <c r="J190" i="40"/>
  <c r="J207" i="40"/>
  <c r="J224" i="40"/>
  <c r="J260" i="40"/>
  <c r="J271" i="40"/>
  <c r="J285" i="40"/>
  <c r="J298" i="40"/>
  <c r="J300" i="40"/>
  <c r="J302" i="40"/>
  <c r="J368" i="40"/>
  <c r="J404" i="40"/>
  <c r="J426" i="40"/>
  <c r="J460" i="40"/>
  <c r="J28" i="40"/>
  <c r="J30" i="40"/>
  <c r="J32" i="40"/>
  <c r="J34" i="40"/>
  <c r="J48" i="40"/>
  <c r="J50" i="40"/>
  <c r="J55" i="40"/>
  <c r="J57" i="40"/>
  <c r="J59" i="40"/>
  <c r="J61" i="40"/>
  <c r="J63" i="40"/>
  <c r="J76" i="40"/>
  <c r="J96" i="40"/>
  <c r="J101" i="40"/>
  <c r="J129" i="40"/>
  <c r="J160" i="40"/>
  <c r="J164" i="40"/>
  <c r="J185" i="40"/>
  <c r="J195" i="40"/>
  <c r="J199" i="40"/>
  <c r="J203" i="40"/>
  <c r="J221" i="40"/>
  <c r="J227" i="40"/>
  <c r="J252" i="40"/>
  <c r="J265" i="40"/>
  <c r="J278" i="40"/>
  <c r="J280" i="40"/>
  <c r="J282" i="40"/>
  <c r="J288" i="40"/>
  <c r="J292" i="40"/>
  <c r="J319" i="40"/>
  <c r="J329" i="40"/>
  <c r="J333" i="40"/>
  <c r="J354" i="40"/>
  <c r="J376" i="40"/>
  <c r="J407" i="40"/>
  <c r="J431" i="40"/>
  <c r="J443" i="40"/>
  <c r="J435" i="40"/>
  <c r="J459" i="40"/>
  <c r="J481" i="40"/>
  <c r="J37" i="40"/>
  <c r="J39" i="40"/>
  <c r="J41" i="40"/>
  <c r="J66" i="40"/>
  <c r="J80" i="40"/>
  <c r="J108" i="40"/>
  <c r="J132" i="40"/>
  <c r="J134" i="40"/>
  <c r="J141" i="40"/>
  <c r="J170" i="40"/>
  <c r="J172" i="40"/>
  <c r="J174" i="40"/>
  <c r="J176" i="40"/>
  <c r="J206" i="40"/>
  <c r="J216" i="40"/>
  <c r="J249" i="40"/>
  <c r="J270" i="40"/>
  <c r="J274" i="40"/>
  <c r="J297" i="40"/>
  <c r="J299" i="40"/>
  <c r="J301" i="40"/>
  <c r="J311" i="40"/>
  <c r="J343" i="40"/>
  <c r="J395" i="40"/>
  <c r="J415" i="40"/>
  <c r="J441" i="40"/>
  <c r="J489" i="40"/>
  <c r="J29" i="40"/>
  <c r="J31" i="40"/>
  <c r="J33" i="40"/>
  <c r="J49" i="40"/>
  <c r="J56" i="40"/>
  <c r="J58" i="40"/>
  <c r="J60" i="40"/>
  <c r="J62" i="40"/>
  <c r="J70" i="40"/>
  <c r="J75" i="40"/>
  <c r="J77" i="40"/>
  <c r="J92" i="40"/>
  <c r="J100" i="40"/>
  <c r="J105" i="40"/>
  <c r="J115" i="40"/>
  <c r="J152" i="40"/>
  <c r="J162" i="40"/>
  <c r="J166" i="40"/>
  <c r="J194" i="40"/>
  <c r="J196" i="40"/>
  <c r="J201" i="40"/>
  <c r="J211" i="40"/>
  <c r="J222" i="40"/>
  <c r="J238" i="40"/>
  <c r="J263" i="40"/>
  <c r="J267" i="40"/>
  <c r="J279" i="40"/>
  <c r="J281" i="40"/>
  <c r="J283" i="40"/>
  <c r="J290" i="40"/>
  <c r="J294" i="40"/>
  <c r="J326" i="40"/>
  <c r="J331" i="40"/>
  <c r="J335" i="40"/>
  <c r="J365" i="40"/>
  <c r="J387" i="40"/>
  <c r="J423" i="40"/>
  <c r="J451" i="40"/>
  <c r="J456" i="40"/>
  <c r="J470" i="40"/>
  <c r="J449" i="40"/>
  <c r="J499" i="40"/>
  <c r="J487" i="40"/>
  <c r="J454" i="40"/>
  <c r="J494" i="40"/>
  <c r="J419" i="40"/>
  <c r="J393" i="40"/>
  <c r="J374" i="40"/>
  <c r="J341" i="40"/>
  <c r="J448" i="40"/>
  <c r="J378" i="40"/>
  <c r="J332" i="40"/>
  <c r="J317" i="40"/>
  <c r="J289" i="40"/>
  <c r="J264" i="40"/>
  <c r="J234" i="40"/>
  <c r="J220" i="40"/>
  <c r="J202" i="40"/>
  <c r="J189" i="40"/>
  <c r="J165" i="40"/>
  <c r="J150" i="40"/>
  <c r="J145" i="40"/>
  <c r="J124" i="40"/>
  <c r="J475" i="40"/>
  <c r="J356" i="40"/>
  <c r="J321" i="40"/>
  <c r="J205" i="40"/>
  <c r="J143" i="40"/>
  <c r="J113" i="40"/>
  <c r="J90" i="40"/>
  <c r="J73" i="40"/>
  <c r="J479" i="40"/>
  <c r="J468" i="40"/>
  <c r="J462" i="40"/>
  <c r="J439" i="40"/>
  <c r="J458" i="40"/>
  <c r="J430" i="40"/>
  <c r="J411" i="40"/>
  <c r="J399" i="40"/>
  <c r="J382" i="40"/>
  <c r="J363" i="40"/>
  <c r="J352" i="40"/>
  <c r="J347" i="40"/>
  <c r="J428" i="40"/>
  <c r="J359" i="40"/>
  <c r="J330" i="40"/>
  <c r="J323" i="40"/>
  <c r="J307" i="40"/>
  <c r="J291" i="40"/>
  <c r="J275" i="40"/>
  <c r="J258" i="40"/>
  <c r="J247" i="40"/>
  <c r="J242" i="40"/>
  <c r="J200" i="40"/>
  <c r="J191" i="40"/>
  <c r="J181" i="40"/>
  <c r="J163" i="40"/>
  <c r="J156" i="40"/>
  <c r="J137" i="40"/>
  <c r="J345" i="40"/>
  <c r="J296" i="40"/>
  <c r="J254" i="40"/>
  <c r="J210" i="40"/>
  <c r="J154" i="40"/>
  <c r="J110" i="40"/>
  <c r="J94" i="40"/>
  <c r="J69" i="40"/>
  <c r="J43" i="40"/>
  <c r="J501" i="40"/>
  <c r="J496" i="40"/>
  <c r="J485" i="40"/>
  <c r="J452" i="40"/>
  <c r="J472" i="40"/>
  <c r="J421" i="40"/>
  <c r="J402" i="40"/>
  <c r="J391" i="40"/>
  <c r="J372" i="40"/>
  <c r="J339" i="40"/>
  <c r="J397" i="40"/>
  <c r="J328" i="40"/>
  <c r="J315" i="40"/>
  <c r="J293" i="40"/>
  <c r="J273" i="40"/>
  <c r="J236" i="40"/>
  <c r="J231" i="40"/>
  <c r="J218" i="40"/>
  <c r="J198" i="40"/>
  <c r="J161" i="40"/>
  <c r="J147" i="40"/>
  <c r="J127" i="40"/>
  <c r="J122" i="40"/>
  <c r="J433" i="40"/>
  <c r="J389" i="40"/>
  <c r="J305" i="40"/>
  <c r="J229" i="40"/>
  <c r="J168" i="40"/>
  <c r="J120" i="40"/>
  <c r="J98" i="40"/>
  <c r="J82" i="40"/>
  <c r="J47" i="40"/>
  <c r="J477" i="40"/>
  <c r="J466" i="40"/>
  <c r="J442" i="40"/>
  <c r="J437" i="40"/>
  <c r="J483" i="40"/>
  <c r="J445" i="40"/>
  <c r="J413" i="40"/>
  <c r="J400" i="40"/>
  <c r="J385" i="40"/>
  <c r="J380" i="40"/>
  <c r="J361" i="40"/>
  <c r="J350" i="40"/>
  <c r="J409" i="40"/>
  <c r="J334" i="40"/>
  <c r="J325" i="40"/>
  <c r="J310" i="40"/>
  <c r="J277" i="40"/>
  <c r="J266" i="40"/>
  <c r="J256" i="40"/>
  <c r="J244" i="40"/>
  <c r="J215" i="40"/>
  <c r="J193" i="40"/>
  <c r="J183" i="40"/>
  <c r="J178" i="40"/>
  <c r="J159" i="40"/>
  <c r="J139" i="40"/>
  <c r="J491" i="40"/>
  <c r="J417" i="40"/>
  <c r="J370" i="40"/>
  <c r="J313" i="40"/>
  <c r="J269" i="40"/>
  <c r="J240" i="40"/>
  <c r="J187" i="40"/>
  <c r="J131" i="40"/>
  <c r="J103" i="40"/>
  <c r="J86" i="40"/>
  <c r="J53" i="40"/>
  <c r="J87" i="40"/>
  <c r="J463" i="40"/>
  <c r="J27" i="40"/>
  <c r="J336" i="40"/>
  <c r="J26" i="40"/>
  <c r="J25" i="40" s="1"/>
  <c r="J212" i="40"/>
  <c r="C9" i="8" l="1"/>
  <c r="G40" i="24"/>
  <c r="G39" i="24"/>
  <c r="G42" i="24" s="1"/>
  <c r="G36" i="24"/>
  <c r="G24" i="24"/>
  <c r="G23" i="24"/>
  <c r="G22" i="24"/>
  <c r="G21" i="24"/>
  <c r="G26" i="24" s="1"/>
  <c r="G19" i="24"/>
  <c r="G28" i="24" s="1"/>
  <c r="G17" i="24"/>
  <c r="G44" i="24" l="1"/>
  <c r="B15" i="5"/>
  <c r="B19" i="5"/>
  <c r="E44" i="39"/>
  <c r="E37" i="39"/>
  <c r="E11" i="39"/>
  <c r="E9" i="39"/>
  <c r="E12" i="39" s="1"/>
  <c r="J325" i="32"/>
  <c r="J324" i="32"/>
  <c r="J322" i="32"/>
  <c r="J321" i="32"/>
  <c r="J319" i="32"/>
  <c r="J318" i="32"/>
  <c r="J317" i="32"/>
  <c r="J316" i="32"/>
  <c r="J314" i="32"/>
  <c r="J313" i="32"/>
  <c r="J311" i="32"/>
  <c r="J309" i="32"/>
  <c r="O16" i="32"/>
  <c r="N16" i="32"/>
  <c r="J76" i="32"/>
  <c r="J75" i="32"/>
  <c r="J74" i="32"/>
  <c r="J72" i="32"/>
  <c r="J71" i="32"/>
  <c r="J69" i="32"/>
  <c r="J68" i="32"/>
  <c r="J67" i="32"/>
  <c r="J66" i="32"/>
  <c r="J64" i="32"/>
  <c r="J63" i="32"/>
  <c r="J62" i="32"/>
  <c r="J61" i="32"/>
  <c r="J60" i="32"/>
  <c r="J59" i="32"/>
  <c r="J58" i="32"/>
  <c r="J57" i="32"/>
  <c r="J56" i="32"/>
  <c r="J55" i="32"/>
  <c r="J53" i="32"/>
  <c r="J52" i="32"/>
  <c r="J50" i="32"/>
  <c r="J48" i="32"/>
  <c r="J46" i="32"/>
  <c r="J45" i="32"/>
  <c r="J43" i="32"/>
  <c r="J42" i="32"/>
  <c r="J41" i="32"/>
  <c r="J40" i="32"/>
  <c r="J39" i="32"/>
  <c r="J38" i="32"/>
  <c r="J37" i="32"/>
  <c r="J36" i="32"/>
  <c r="J34" i="32"/>
  <c r="J32" i="32"/>
  <c r="J30" i="32"/>
  <c r="H28" i="32"/>
  <c r="H27" i="32" s="1"/>
  <c r="H26" i="32" s="1"/>
  <c r="H25" i="32" s="1"/>
  <c r="I28" i="32"/>
  <c r="I27" i="32" s="1"/>
  <c r="G28" i="32"/>
  <c r="I26" i="32"/>
  <c r="I25" i="32" s="1"/>
  <c r="O20" i="32"/>
  <c r="N20" i="32"/>
  <c r="O19" i="32"/>
  <c r="N19" i="32"/>
  <c r="O18" i="32"/>
  <c r="N18" i="32"/>
  <c r="O17" i="32"/>
  <c r="N17" i="32"/>
  <c r="G16" i="32"/>
  <c r="J15" i="32"/>
  <c r="G15" i="32"/>
  <c r="J14" i="32"/>
  <c r="G12" i="32"/>
  <c r="K10" i="18"/>
  <c r="K11" i="18" s="1"/>
  <c r="K12" i="18" s="1"/>
  <c r="J16" i="18"/>
  <c r="H15" i="18"/>
  <c r="G15" i="18"/>
  <c r="J326" i="32" l="1"/>
  <c r="J327" i="32"/>
  <c r="J329" i="32"/>
  <c r="J331" i="32"/>
  <c r="J333" i="32"/>
  <c r="J335" i="32"/>
  <c r="J337" i="32"/>
  <c r="J338" i="32"/>
  <c r="J340" i="32"/>
  <c r="J341" i="32"/>
  <c r="J342" i="32"/>
  <c r="J343" i="32"/>
  <c r="J345" i="32"/>
  <c r="J346" i="32"/>
  <c r="J348" i="32"/>
  <c r="J349" i="32"/>
  <c r="J351" i="32"/>
  <c r="J352" i="32"/>
  <c r="J353" i="32"/>
  <c r="J354" i="32"/>
  <c r="J356" i="32"/>
  <c r="J357" i="32"/>
  <c r="J359" i="32"/>
  <c r="J360" i="32"/>
  <c r="J362" i="32"/>
  <c r="J363" i="32"/>
  <c r="J364" i="32"/>
  <c r="J365" i="32"/>
  <c r="J367" i="32"/>
  <c r="J368" i="32"/>
  <c r="J370" i="32"/>
  <c r="J371" i="32"/>
  <c r="J373" i="32"/>
  <c r="J374" i="32"/>
  <c r="J375" i="32"/>
  <c r="J376" i="32"/>
  <c r="J378" i="32"/>
  <c r="J379" i="32"/>
  <c r="J381" i="32"/>
  <c r="J382" i="32"/>
  <c r="J383" i="32"/>
  <c r="J384" i="32"/>
  <c r="J385" i="32"/>
  <c r="J386" i="32"/>
  <c r="J387" i="32"/>
  <c r="J389" i="32"/>
  <c r="J390" i="32"/>
  <c r="J391" i="32"/>
  <c r="J392" i="32"/>
  <c r="J393" i="32"/>
  <c r="J395" i="32"/>
  <c r="J396" i="32"/>
  <c r="J398" i="32"/>
  <c r="J399" i="32"/>
  <c r="J400" i="32"/>
  <c r="J401" i="32"/>
  <c r="J403" i="32"/>
  <c r="J404" i="32"/>
  <c r="J405" i="32"/>
  <c r="J406" i="32"/>
  <c r="J407" i="32"/>
  <c r="J408" i="32"/>
  <c r="J409" i="32"/>
  <c r="J411" i="32"/>
  <c r="J412" i="32"/>
  <c r="J414" i="32"/>
  <c r="J415" i="32"/>
  <c r="J416" i="32"/>
  <c r="J417" i="32"/>
  <c r="J419" i="32"/>
  <c r="J420" i="32"/>
  <c r="J422" i="32"/>
  <c r="J423" i="32"/>
  <c r="J424" i="32"/>
  <c r="J425" i="32"/>
  <c r="J426" i="32"/>
  <c r="J427" i="32"/>
  <c r="J428" i="32"/>
  <c r="J430" i="32"/>
  <c r="J431" i="32"/>
  <c r="J432" i="32"/>
  <c r="J433" i="32"/>
  <c r="J435" i="32"/>
  <c r="J436" i="32"/>
  <c r="J438" i="32"/>
  <c r="J439" i="32"/>
  <c r="J440" i="32"/>
  <c r="J441" i="32"/>
  <c r="J443" i="32"/>
  <c r="J445" i="32"/>
  <c r="J446" i="32"/>
  <c r="J448" i="32"/>
  <c r="J449" i="32"/>
  <c r="J450" i="32"/>
  <c r="J451" i="32"/>
  <c r="J453" i="32"/>
  <c r="J454" i="32"/>
  <c r="J455" i="32"/>
  <c r="J456" i="32"/>
  <c r="J458" i="32"/>
  <c r="J459" i="32"/>
  <c r="J460" i="32"/>
  <c r="J461" i="32"/>
  <c r="J463" i="32"/>
  <c r="J465" i="32"/>
  <c r="J466" i="32"/>
  <c r="J468" i="32"/>
  <c r="J469" i="32"/>
  <c r="J471" i="32"/>
  <c r="J472" i="32"/>
  <c r="J473" i="32"/>
  <c r="J474" i="32"/>
  <c r="J475" i="32"/>
  <c r="J476" i="32"/>
  <c r="J477" i="32"/>
  <c r="J479" i="32"/>
  <c r="J480" i="32"/>
  <c r="J482" i="32"/>
  <c r="J483" i="32"/>
  <c r="J484" i="32"/>
  <c r="J485" i="32"/>
  <c r="J487" i="32"/>
  <c r="J488" i="32"/>
  <c r="J490" i="32"/>
  <c r="J491" i="32"/>
  <c r="J492" i="32"/>
  <c r="J493" i="32"/>
  <c r="J494" i="32"/>
  <c r="J495" i="32"/>
  <c r="J496" i="32"/>
  <c r="J498" i="32"/>
  <c r="J499" i="32"/>
  <c r="J501" i="32"/>
  <c r="J17" i="32"/>
  <c r="J77" i="32"/>
  <c r="J78" i="32"/>
  <c r="J79" i="32"/>
  <c r="J80" i="32"/>
  <c r="J81" i="32"/>
  <c r="J82" i="32"/>
  <c r="J84" i="32"/>
  <c r="J85" i="32"/>
  <c r="J87" i="32"/>
  <c r="J89" i="32"/>
  <c r="J90" i="32"/>
  <c r="J92" i="32"/>
  <c r="J93" i="32"/>
  <c r="J95" i="32"/>
  <c r="J96" i="32"/>
  <c r="J97" i="32"/>
  <c r="J98" i="32"/>
  <c r="J100" i="32"/>
  <c r="J101" i="32"/>
  <c r="J102" i="32"/>
  <c r="J103" i="32"/>
  <c r="J105" i="32"/>
  <c r="J106" i="32"/>
  <c r="J108" i="32"/>
  <c r="J109" i="32"/>
  <c r="J111" i="32"/>
  <c r="J112" i="32"/>
  <c r="J114" i="32"/>
  <c r="J115" i="32"/>
  <c r="J116" i="32"/>
  <c r="J117" i="32"/>
  <c r="J118" i="32"/>
  <c r="J119" i="32"/>
  <c r="J120" i="32"/>
  <c r="J122" i="32"/>
  <c r="J123" i="32"/>
  <c r="J125" i="32"/>
  <c r="J126" i="32"/>
  <c r="J128" i="32"/>
  <c r="J129" i="32"/>
  <c r="J130" i="32"/>
  <c r="J131" i="32"/>
  <c r="J133" i="32"/>
  <c r="J135" i="32"/>
  <c r="J137" i="32"/>
  <c r="J138" i="32"/>
  <c r="J140" i="32"/>
  <c r="J141" i="32"/>
  <c r="J142" i="32"/>
  <c r="J143" i="32"/>
  <c r="J145" i="32"/>
  <c r="J146" i="32"/>
  <c r="J148" i="32"/>
  <c r="J149" i="32"/>
  <c r="J151" i="32"/>
  <c r="J152" i="32"/>
  <c r="J153" i="32"/>
  <c r="J154" i="32"/>
  <c r="J156" i="32"/>
  <c r="J157" i="32"/>
  <c r="J159" i="32"/>
  <c r="J160" i="32"/>
  <c r="J161" i="32"/>
  <c r="J162" i="32"/>
  <c r="J163" i="32"/>
  <c r="J164" i="32"/>
  <c r="J165" i="32"/>
  <c r="J166" i="32"/>
  <c r="J167" i="32"/>
  <c r="J168" i="32"/>
  <c r="J170" i="32"/>
  <c r="J172" i="32"/>
  <c r="J174" i="32"/>
  <c r="J176" i="32"/>
  <c r="J178" i="32"/>
  <c r="J179" i="32"/>
  <c r="J181" i="32"/>
  <c r="J182" i="32"/>
  <c r="J184" i="32"/>
  <c r="J185" i="32"/>
  <c r="J186" i="32"/>
  <c r="J187" i="32"/>
  <c r="J189" i="32"/>
  <c r="J190" i="32"/>
  <c r="J191" i="32"/>
  <c r="J192" i="32"/>
  <c r="J194" i="32"/>
  <c r="J196" i="32"/>
  <c r="J198" i="32"/>
  <c r="J199" i="32"/>
  <c r="J200" i="32"/>
  <c r="J201" i="32"/>
  <c r="J202" i="32"/>
  <c r="J203" i="32"/>
  <c r="J204" i="32"/>
  <c r="J205" i="32"/>
  <c r="J207" i="32"/>
  <c r="J209" i="32"/>
  <c r="J210" i="32"/>
  <c r="J212" i="32"/>
  <c r="J214" i="32"/>
  <c r="J215" i="32"/>
  <c r="J217" i="32"/>
  <c r="J218" i="32"/>
  <c r="J219" i="32"/>
  <c r="J220" i="32"/>
  <c r="J222" i="32"/>
  <c r="J224" i="32"/>
  <c r="J225" i="32"/>
  <c r="J227" i="32"/>
  <c r="J228" i="32"/>
  <c r="J230" i="32"/>
  <c r="J231" i="32"/>
  <c r="J232" i="32"/>
  <c r="J233" i="32"/>
  <c r="J234" i="32"/>
  <c r="J235" i="32"/>
  <c r="J236" i="32"/>
  <c r="J238" i="32"/>
  <c r="J239" i="32"/>
  <c r="J241" i="32"/>
  <c r="J242" i="32"/>
  <c r="J243" i="32"/>
  <c r="J244" i="32"/>
  <c r="J246" i="32"/>
  <c r="J247" i="32"/>
  <c r="J249" i="32"/>
  <c r="J250" i="32"/>
  <c r="J252" i="32"/>
  <c r="J253" i="32"/>
  <c r="J255" i="32"/>
  <c r="J256" i="32"/>
  <c r="J257" i="32"/>
  <c r="J258" i="32"/>
  <c r="J260" i="32"/>
  <c r="J261" i="32"/>
  <c r="J263" i="32"/>
  <c r="J265" i="32"/>
  <c r="J267" i="32"/>
  <c r="J269" i="32"/>
  <c r="J270" i="32"/>
  <c r="J271" i="32"/>
  <c r="J272" i="32"/>
  <c r="J274" i="32"/>
  <c r="J276" i="32"/>
  <c r="J277" i="32"/>
  <c r="J278" i="32"/>
  <c r="J279" i="32"/>
  <c r="J280" i="32"/>
  <c r="J281" i="32"/>
  <c r="J282" i="32"/>
  <c r="J283" i="32"/>
  <c r="J284" i="32"/>
  <c r="J285" i="32"/>
  <c r="J287" i="32"/>
  <c r="J288" i="32"/>
  <c r="J290" i="32"/>
  <c r="J292" i="32"/>
  <c r="J294" i="32"/>
  <c r="J296" i="32"/>
  <c r="J297" i="32"/>
  <c r="J298" i="32"/>
  <c r="J299" i="32"/>
  <c r="J300" i="32"/>
  <c r="J301" i="32"/>
  <c r="J302" i="32"/>
  <c r="J303" i="32"/>
  <c r="J305" i="32"/>
  <c r="J306" i="32"/>
  <c r="J308" i="32"/>
  <c r="E45" i="39"/>
  <c r="J28" i="32"/>
  <c r="G27" i="32"/>
  <c r="O15" i="32"/>
  <c r="J29" i="32"/>
  <c r="J31" i="32"/>
  <c r="J33" i="32"/>
  <c r="J35" i="32"/>
  <c r="J44" i="32"/>
  <c r="J47" i="32"/>
  <c r="J49" i="32"/>
  <c r="J51" i="32"/>
  <c r="J54" i="32"/>
  <c r="J65" i="32"/>
  <c r="J70" i="32"/>
  <c r="J73" i="32"/>
  <c r="J83" i="32"/>
  <c r="J86" i="32"/>
  <c r="J88" i="32"/>
  <c r="J91" i="32"/>
  <c r="J94" i="32"/>
  <c r="J99" i="32"/>
  <c r="J104" i="32"/>
  <c r="J107" i="32"/>
  <c r="J110" i="32"/>
  <c r="J113" i="32"/>
  <c r="J121" i="32"/>
  <c r="J124" i="32"/>
  <c r="J127" i="32"/>
  <c r="J132" i="32"/>
  <c r="J134" i="32"/>
  <c r="J136" i="32"/>
  <c r="J139" i="32"/>
  <c r="J144" i="32"/>
  <c r="J147" i="32"/>
  <c r="J150" i="32"/>
  <c r="J155" i="32"/>
  <c r="J158" i="32"/>
  <c r="J169" i="32"/>
  <c r="J171" i="32"/>
  <c r="J173" i="32"/>
  <c r="J175" i="32"/>
  <c r="J177" i="32"/>
  <c r="J180" i="32"/>
  <c r="J183" i="32"/>
  <c r="J188" i="32"/>
  <c r="J193" i="32"/>
  <c r="J195" i="32"/>
  <c r="J197" i="32"/>
  <c r="J206" i="32"/>
  <c r="J208" i="32"/>
  <c r="J211" i="32"/>
  <c r="J213" i="32"/>
  <c r="J216" i="32"/>
  <c r="J221" i="32"/>
  <c r="J223" i="32"/>
  <c r="J226" i="32"/>
  <c r="J229" i="32"/>
  <c r="J237" i="32"/>
  <c r="J240" i="32"/>
  <c r="J245" i="32"/>
  <c r="J248" i="32"/>
  <c r="J251" i="32"/>
  <c r="J254" i="32"/>
  <c r="J259" i="32"/>
  <c r="J262" i="32"/>
  <c r="J264" i="32"/>
  <c r="J266" i="32"/>
  <c r="J268" i="32"/>
  <c r="J273" i="32"/>
  <c r="J275" i="32"/>
  <c r="J286" i="32"/>
  <c r="J289" i="32"/>
  <c r="J291" i="32"/>
  <c r="J293" i="32"/>
  <c r="J295" i="32"/>
  <c r="J304" i="32"/>
  <c r="J307" i="32"/>
  <c r="J310" i="32"/>
  <c r="J312" i="32"/>
  <c r="J315" i="32"/>
  <c r="J320" i="32"/>
  <c r="J323" i="32"/>
  <c r="J328" i="32"/>
  <c r="J330" i="32"/>
  <c r="J332" i="32"/>
  <c r="J334" i="32"/>
  <c r="J336" i="32"/>
  <c r="J339" i="32"/>
  <c r="J344" i="32"/>
  <c r="J347" i="32"/>
  <c r="J350" i="32"/>
  <c r="J355" i="32"/>
  <c r="J358" i="32"/>
  <c r="J361" i="32"/>
  <c r="J366" i="32"/>
  <c r="J369" i="32"/>
  <c r="J372" i="32"/>
  <c r="J377" i="32"/>
  <c r="J380" i="32"/>
  <c r="J388" i="32"/>
  <c r="J394" i="32"/>
  <c r="J397" i="32"/>
  <c r="J402" i="32"/>
  <c r="J410" i="32"/>
  <c r="J413" i="32"/>
  <c r="J418" i="32"/>
  <c r="J421" i="32"/>
  <c r="J429" i="32"/>
  <c r="J434" i="32"/>
  <c r="J437" i="32"/>
  <c r="J442" i="32"/>
  <c r="J444" i="32"/>
  <c r="J447" i="32"/>
  <c r="J452" i="32"/>
  <c r="J457" i="32"/>
  <c r="J462" i="32"/>
  <c r="J464" i="32"/>
  <c r="J467" i="32"/>
  <c r="J470" i="32"/>
  <c r="J478" i="32"/>
  <c r="J481" i="32"/>
  <c r="J486" i="32"/>
  <c r="J489" i="32"/>
  <c r="J497" i="32"/>
  <c r="J500" i="32"/>
  <c r="J27" i="32" l="1"/>
  <c r="G26" i="32"/>
  <c r="J26" i="32" l="1"/>
  <c r="G25" i="32"/>
  <c r="J25" i="32" s="1"/>
  <c r="N15" i="32"/>
  <c r="K27" i="32"/>
  <c r="K30" i="32" l="1"/>
  <c r="K34" i="32"/>
  <c r="K37" i="32"/>
  <c r="K39" i="32"/>
  <c r="K41" i="32"/>
  <c r="K45" i="32"/>
  <c r="K50" i="32"/>
  <c r="K55" i="32"/>
  <c r="K57" i="32"/>
  <c r="K59" i="32"/>
  <c r="K61" i="32"/>
  <c r="K63" i="32"/>
  <c r="K67" i="32"/>
  <c r="K75" i="32"/>
  <c r="K77" i="32"/>
  <c r="K82" i="32"/>
  <c r="K87" i="32"/>
  <c r="K92" i="32"/>
  <c r="K98" i="32"/>
  <c r="K101" i="32"/>
  <c r="K105" i="32"/>
  <c r="K115" i="32"/>
  <c r="K120" i="32"/>
  <c r="K129" i="32"/>
  <c r="K133" i="32"/>
  <c r="K137" i="32"/>
  <c r="K143" i="32"/>
  <c r="K152" i="32"/>
  <c r="K156" i="32"/>
  <c r="K160" i="32"/>
  <c r="K162" i="32"/>
  <c r="K164" i="32"/>
  <c r="K166" i="32"/>
  <c r="K170" i="32"/>
  <c r="K174" i="32"/>
  <c r="K178" i="32"/>
  <c r="K185" i="32"/>
  <c r="K189" i="32"/>
  <c r="K191" i="32"/>
  <c r="K196" i="32"/>
  <c r="K199" i="32"/>
  <c r="K201" i="32"/>
  <c r="K203" i="32"/>
  <c r="K207" i="32"/>
  <c r="K212" i="32"/>
  <c r="K218" i="32"/>
  <c r="K222" i="32"/>
  <c r="K227" i="32"/>
  <c r="K234" i="32"/>
  <c r="K238" i="32"/>
  <c r="K244" i="32"/>
  <c r="K249" i="32"/>
  <c r="K256" i="32"/>
  <c r="K260" i="32"/>
  <c r="K265" i="32"/>
  <c r="K270" i="32"/>
  <c r="K277" i="32"/>
  <c r="K281" i="32"/>
  <c r="K285" i="32"/>
  <c r="K290" i="32"/>
  <c r="K294" i="32"/>
  <c r="K299" i="32"/>
  <c r="K311" i="32"/>
  <c r="K319" i="32"/>
  <c r="K329" i="32"/>
  <c r="K333" i="32"/>
  <c r="K341" i="32"/>
  <c r="K352" i="32"/>
  <c r="K363" i="32"/>
  <c r="K368" i="32"/>
  <c r="K376" i="32"/>
  <c r="K385" i="32"/>
  <c r="K269" i="32"/>
  <c r="K282" i="32"/>
  <c r="K300" i="32"/>
  <c r="K321" i="32"/>
  <c r="K345" i="32"/>
  <c r="K378" i="32"/>
  <c r="K391" i="32"/>
  <c r="K399" i="32"/>
  <c r="K407" i="32"/>
  <c r="K415" i="32"/>
  <c r="K423" i="32"/>
  <c r="K428" i="32"/>
  <c r="K433" i="32"/>
  <c r="K441" i="32"/>
  <c r="K449" i="32"/>
  <c r="K454" i="32"/>
  <c r="K459" i="32"/>
  <c r="K466" i="32"/>
  <c r="K475" i="32"/>
  <c r="K483" i="32"/>
  <c r="K491" i="32"/>
  <c r="K496" i="32"/>
  <c r="K280" i="32"/>
  <c r="K302" i="32"/>
  <c r="K359" i="32"/>
  <c r="K395" i="32"/>
  <c r="K411" i="32"/>
  <c r="K458" i="32"/>
  <c r="K479" i="32"/>
  <c r="K430" i="32"/>
  <c r="K445" i="32"/>
  <c r="K487" i="32"/>
  <c r="K32" i="32"/>
  <c r="K36" i="32"/>
  <c r="K38" i="32"/>
  <c r="K40" i="32"/>
  <c r="K43" i="32"/>
  <c r="K48" i="32"/>
  <c r="K53" i="32"/>
  <c r="K56" i="32"/>
  <c r="K58" i="32"/>
  <c r="K60" i="32"/>
  <c r="K62" i="32"/>
  <c r="K66" i="32"/>
  <c r="K69" i="32"/>
  <c r="K76" i="32"/>
  <c r="K80" i="32"/>
  <c r="K84" i="32"/>
  <c r="K90" i="32"/>
  <c r="K96" i="32"/>
  <c r="K100" i="32"/>
  <c r="K103" i="32"/>
  <c r="K108" i="32"/>
  <c r="K118" i="32"/>
  <c r="K122" i="32"/>
  <c r="K131" i="32"/>
  <c r="K135" i="32"/>
  <c r="K141" i="32"/>
  <c r="K145" i="32"/>
  <c r="K154" i="32"/>
  <c r="K159" i="32"/>
  <c r="K161" i="32"/>
  <c r="K163" i="32"/>
  <c r="K165" i="32"/>
  <c r="K168" i="32"/>
  <c r="K172" i="32"/>
  <c r="K176" i="32"/>
  <c r="K181" i="32"/>
  <c r="K187" i="32"/>
  <c r="K190" i="32"/>
  <c r="K194" i="32"/>
  <c r="K198" i="32"/>
  <c r="K200" i="32"/>
  <c r="K202" i="32"/>
  <c r="K205" i="32"/>
  <c r="K210" i="32"/>
  <c r="K215" i="32"/>
  <c r="K220" i="32"/>
  <c r="K224" i="32"/>
  <c r="K231" i="32"/>
  <c r="K236" i="32"/>
  <c r="K242" i="32"/>
  <c r="K247" i="32"/>
  <c r="K252" i="32"/>
  <c r="K258" i="32"/>
  <c r="K263" i="32"/>
  <c r="K267" i="32"/>
  <c r="K274" i="32"/>
  <c r="K279" i="32"/>
  <c r="K283" i="32"/>
  <c r="K288" i="32"/>
  <c r="K292" i="32"/>
  <c r="K297" i="32"/>
  <c r="K301" i="32"/>
  <c r="K317" i="32"/>
  <c r="K325" i="32"/>
  <c r="K331" i="32"/>
  <c r="K335" i="32"/>
  <c r="K343" i="32"/>
  <c r="K354" i="32"/>
  <c r="K365" i="32"/>
  <c r="K374" i="32"/>
  <c r="K382" i="32"/>
  <c r="K387" i="32"/>
  <c r="K278" i="32"/>
  <c r="K296" i="32"/>
  <c r="K305" i="32"/>
  <c r="K326" i="32"/>
  <c r="K356" i="32"/>
  <c r="K389" i="32"/>
  <c r="K393" i="32"/>
  <c r="K404" i="32"/>
  <c r="K409" i="32"/>
  <c r="K417" i="32"/>
  <c r="K426" i="32"/>
  <c r="K431" i="32"/>
  <c r="K439" i="32"/>
  <c r="K443" i="32"/>
  <c r="K451" i="32"/>
  <c r="K456" i="32"/>
  <c r="K463" i="32"/>
  <c r="K472" i="32"/>
  <c r="K477" i="32"/>
  <c r="K485" i="32"/>
  <c r="K494" i="32"/>
  <c r="K499" i="32"/>
  <c r="K271" i="32"/>
  <c r="K298" i="32"/>
  <c r="K313" i="32"/>
  <c r="K370" i="32"/>
  <c r="K400" i="32"/>
  <c r="K448" i="32"/>
  <c r="K468" i="32"/>
  <c r="K501" i="32"/>
  <c r="K419" i="32"/>
  <c r="K435" i="32"/>
  <c r="K460" i="32"/>
  <c r="K489" i="32"/>
  <c r="K470" i="32"/>
  <c r="K421" i="32"/>
  <c r="K402" i="32"/>
  <c r="K372" i="32"/>
  <c r="K336" i="32"/>
  <c r="K328" i="32"/>
  <c r="K291" i="32"/>
  <c r="K266" i="32"/>
  <c r="K193" i="32"/>
  <c r="K173" i="32"/>
  <c r="K147" i="32"/>
  <c r="K134" i="32"/>
  <c r="K110" i="32"/>
  <c r="K70" i="32"/>
  <c r="K33" i="32"/>
  <c r="K462" i="32"/>
  <c r="K437" i="32"/>
  <c r="K361" i="32"/>
  <c r="K339" i="32"/>
  <c r="K330" i="32"/>
  <c r="K315" i="32"/>
  <c r="K293" i="32"/>
  <c r="K275" i="32"/>
  <c r="K254" i="32"/>
  <c r="K229" i="32"/>
  <c r="K211" i="32"/>
  <c r="K195" i="32"/>
  <c r="K171" i="32"/>
  <c r="K132" i="32"/>
  <c r="K113" i="32"/>
  <c r="K73" i="32"/>
  <c r="K31" i="32"/>
  <c r="K481" i="32"/>
  <c r="K442" i="32"/>
  <c r="K413" i="32"/>
  <c r="K380" i="32"/>
  <c r="K350" i="32"/>
  <c r="K332" i="32"/>
  <c r="K307" i="32"/>
  <c r="K273" i="32"/>
  <c r="K221" i="32"/>
  <c r="K183" i="32"/>
  <c r="K169" i="32"/>
  <c r="K139" i="32"/>
  <c r="K127" i="32"/>
  <c r="K94" i="32"/>
  <c r="K49" i="32"/>
  <c r="K29" i="32"/>
  <c r="K452" i="32"/>
  <c r="K397" i="32"/>
  <c r="K347" i="32"/>
  <c r="K334" i="32"/>
  <c r="K323" i="32"/>
  <c r="K310" i="32"/>
  <c r="K289" i="32"/>
  <c r="K264" i="32"/>
  <c r="K240" i="32"/>
  <c r="K216" i="32"/>
  <c r="K206" i="32"/>
  <c r="K175" i="32"/>
  <c r="K150" i="32"/>
  <c r="K124" i="32"/>
  <c r="K86" i="32"/>
  <c r="K47" i="32"/>
  <c r="K28" i="32"/>
  <c r="K26" i="32"/>
  <c r="K25" i="32" l="1"/>
  <c r="C32" i="8"/>
  <c r="D18" i="27" l="1"/>
  <c r="D17" i="27"/>
  <c r="D11" i="27"/>
  <c r="D10" i="27"/>
  <c r="E31" i="38"/>
  <c r="E22" i="38"/>
  <c r="E12" i="38"/>
  <c r="E25" i="38" s="1"/>
  <c r="E10" i="38"/>
  <c r="E11" i="38" s="1"/>
  <c r="H13" i="18"/>
  <c r="K13" i="18" s="1"/>
  <c r="K14" i="18" s="1"/>
  <c r="K15" i="18" s="1"/>
  <c r="K16" i="18" s="1"/>
  <c r="G13" i="18"/>
  <c r="K17" i="18" l="1"/>
  <c r="D9" i="27"/>
  <c r="E32" i="38"/>
  <c r="C11" i="8" l="1"/>
  <c r="C12" i="8" s="1"/>
  <c r="F12" i="27" l="1"/>
  <c r="C13" i="27"/>
  <c r="C8" i="27"/>
  <c r="C18" i="27"/>
  <c r="C16" i="27"/>
  <c r="C15" i="27"/>
  <c r="C20" i="27"/>
  <c r="D8" i="27" l="1"/>
  <c r="J26" i="18" l="1"/>
  <c r="J27" i="18" s="1"/>
  <c r="J28" i="18" s="1"/>
  <c r="J29" i="18" s="1"/>
  <c r="J30" i="18" s="1"/>
  <c r="J31" i="18" s="1"/>
  <c r="J32" i="18" s="1"/>
  <c r="J33" i="18" s="1"/>
  <c r="J34" i="18" s="1"/>
  <c r="J35" i="18" s="1"/>
  <c r="J36" i="18" s="1"/>
  <c r="J37" i="18" s="1"/>
  <c r="J38" i="18" s="1"/>
  <c r="J39" i="18" s="1"/>
  <c r="J40" i="18" s="1"/>
  <c r="J41" i="18" s="1"/>
  <c r="J42" i="18" s="1"/>
  <c r="J43" i="18" s="1"/>
  <c r="J44" i="18" s="1"/>
  <c r="J45" i="18" s="1"/>
  <c r="J46" i="18" s="1"/>
  <c r="J47" i="18" s="1"/>
  <c r="J48" i="18" s="1"/>
  <c r="J49" i="18" s="1"/>
  <c r="J50" i="18" s="1"/>
  <c r="J51" i="18" s="1"/>
  <c r="J52" i="18" s="1"/>
  <c r="G10" i="18"/>
  <c r="B157" i="18" l="1"/>
  <c r="J53" i="18"/>
  <c r="J54" i="18" s="1"/>
  <c r="J55" i="18" s="1"/>
  <c r="J56" i="18" s="1"/>
  <c r="J57" i="18" s="1"/>
  <c r="J58" i="18" s="1"/>
  <c r="J59" i="18" s="1"/>
  <c r="J60" i="18" s="1"/>
  <c r="J61" i="18" s="1"/>
  <c r="J62" i="18" s="1"/>
  <c r="J63" i="18" s="1"/>
  <c r="J64" i="18" s="1"/>
  <c r="J65" i="18" s="1"/>
  <c r="J66" i="18" s="1"/>
  <c r="J67" i="18" s="1"/>
  <c r="J68" i="18" s="1"/>
  <c r="J69" i="18" s="1"/>
  <c r="J70" i="18" s="1"/>
  <c r="J71" i="18" s="1"/>
  <c r="J72" i="18" s="1"/>
  <c r="J73" i="18" s="1"/>
  <c r="J74" i="18" s="1"/>
  <c r="J75" i="18" s="1"/>
  <c r="J76" i="18" s="1"/>
  <c r="J77" i="18" s="1"/>
  <c r="J78" i="18" s="1"/>
  <c r="J79" i="18" s="1"/>
  <c r="J80" i="18" s="1"/>
  <c r="J81" i="18" s="1"/>
  <c r="B158" i="18" l="1"/>
  <c r="J82" i="18"/>
  <c r="J83" i="18" s="1"/>
  <c r="J84" i="18" s="1"/>
  <c r="J85" i="18" s="1"/>
  <c r="J86" i="18" s="1"/>
  <c r="J87" i="18" s="1"/>
  <c r="J88" i="18" s="1"/>
  <c r="J89" i="18" s="1"/>
  <c r="J90" i="18" s="1"/>
  <c r="J91" i="18" s="1"/>
  <c r="J92" i="18" s="1"/>
  <c r="J93" i="18" s="1"/>
  <c r="J94" i="18" s="1"/>
  <c r="J95" i="18" s="1"/>
  <c r="J96" i="18" s="1"/>
  <c r="J97" i="18" s="1"/>
  <c r="J98" i="18" s="1"/>
  <c r="J99" i="18" s="1"/>
  <c r="J100" i="18" s="1"/>
  <c r="J101" i="18" s="1"/>
  <c r="J102" i="18" s="1"/>
  <c r="J103" i="18" s="1"/>
  <c r="J104" i="18" s="1"/>
  <c r="J105" i="18" s="1"/>
  <c r="J106" i="18" s="1"/>
  <c r="J107" i="18" s="1"/>
  <c r="J108" i="18" s="1"/>
  <c r="J109" i="18" s="1"/>
  <c r="J110" i="18" s="1"/>
  <c r="J111" i="18" s="1"/>
  <c r="J112" i="18" s="1"/>
  <c r="J113" i="18" s="1"/>
  <c r="J114" i="18" s="1"/>
  <c r="J115" i="18" s="1"/>
  <c r="J116" i="18" s="1"/>
  <c r="J117" i="18" s="1"/>
  <c r="J118" i="18" s="1"/>
  <c r="J119" i="18" s="1"/>
  <c r="J120" i="18" s="1"/>
  <c r="J121" i="18" s="1"/>
  <c r="J122" i="18" s="1"/>
  <c r="J123" i="18" s="1"/>
  <c r="J124" i="18" s="1"/>
  <c r="J125" i="18" s="1"/>
  <c r="J126" i="18" s="1"/>
  <c r="J127" i="18" s="1"/>
  <c r="J128" i="18" s="1"/>
  <c r="J129" i="18" s="1"/>
  <c r="J130" i="18" s="1"/>
  <c r="J131" i="18" s="1"/>
  <c r="J132" i="18" s="1"/>
  <c r="J133" i="18" s="1"/>
  <c r="J134" i="18" s="1"/>
  <c r="J135" i="18" s="1"/>
  <c r="J136" i="18" s="1"/>
  <c r="J137" i="18" s="1"/>
  <c r="J138" i="18" s="1"/>
  <c r="J139" i="18" s="1"/>
  <c r="J140" i="18" s="1"/>
  <c r="J141" i="18" s="1"/>
  <c r="J142" i="18" s="1"/>
  <c r="J143" i="18" s="1"/>
  <c r="J144" i="18" s="1"/>
  <c r="J145" i="18" s="1"/>
  <c r="J146" i="18" s="1"/>
  <c r="J147" i="18" s="1"/>
  <c r="J148" i="18" s="1"/>
  <c r="J149" i="18" s="1"/>
  <c r="J150" i="18" s="1"/>
  <c r="J151" i="18" s="1"/>
  <c r="J152" i="18" s="1"/>
  <c r="J153" i="18" s="1"/>
  <c r="C22" i="8"/>
  <c r="C24" i="8" s="1"/>
  <c r="B10" i="2" s="1"/>
  <c r="B16" i="8"/>
  <c r="C9" i="27" l="1"/>
  <c r="C14" i="27"/>
  <c r="F11" i="27"/>
  <c r="C81" i="8"/>
  <c r="B10" i="3"/>
  <c r="F23" i="25"/>
  <c r="F24" i="25"/>
  <c r="F25" i="25"/>
  <c r="G25" i="25"/>
  <c r="H25" i="25"/>
  <c r="I23" i="25"/>
  <c r="E24" i="25"/>
  <c r="I24" i="25"/>
  <c r="I25" i="25"/>
  <c r="E25" i="25"/>
  <c r="C140" i="8"/>
  <c r="C51" i="8"/>
  <c r="C52" i="8" s="1"/>
  <c r="B23" i="2" s="1"/>
  <c r="B9" i="2"/>
  <c r="C112" i="8"/>
  <c r="C59" i="8"/>
  <c r="I29" i="25"/>
  <c r="F28" i="25"/>
  <c r="F30" i="25"/>
  <c r="E28" i="25"/>
  <c r="E30" i="25"/>
  <c r="I27" i="25"/>
  <c r="H31" i="25"/>
  <c r="G31" i="25"/>
  <c r="D25" i="25"/>
  <c r="D31" i="25"/>
  <c r="C25" i="25"/>
  <c r="C31" i="25"/>
  <c r="B25" i="25"/>
  <c r="B31" i="25"/>
  <c r="E31" i="25"/>
  <c r="F31" i="25"/>
  <c r="I30" i="25"/>
  <c r="I28" i="25"/>
  <c r="I31" i="25"/>
  <c r="F12" i="25"/>
  <c r="I7" i="25"/>
  <c r="I8" i="25" s="1"/>
  <c r="F13" i="26"/>
  <c r="D11" i="26"/>
  <c r="C11" i="26"/>
  <c r="F10" i="26"/>
  <c r="F9" i="26"/>
  <c r="E11" i="26"/>
  <c r="B8" i="26"/>
  <c r="G12" i="25"/>
  <c r="H12" i="25"/>
  <c r="E12" i="25"/>
  <c r="C100" i="8"/>
  <c r="B20" i="5"/>
  <c r="C133" i="8"/>
  <c r="C72" i="8"/>
  <c r="B10" i="5" s="1"/>
  <c r="C38" i="8"/>
  <c r="B21" i="2" s="1"/>
  <c r="B11" i="2"/>
  <c r="B16" i="3"/>
  <c r="B20" i="3"/>
  <c r="S801" i="31"/>
  <c r="R801" i="31"/>
  <c r="Q801" i="31"/>
  <c r="P801" i="31"/>
  <c r="O801" i="31"/>
  <c r="K801" i="31"/>
  <c r="J801" i="31"/>
  <c r="I225" i="31"/>
  <c r="I801" i="31"/>
  <c r="G801" i="31"/>
  <c r="T800" i="31"/>
  <c r="T799" i="31"/>
  <c r="T798" i="31"/>
  <c r="T797" i="31"/>
  <c r="T796" i="31"/>
  <c r="T795" i="31"/>
  <c r="T794" i="31"/>
  <c r="T793" i="31"/>
  <c r="T792" i="31"/>
  <c r="T791" i="31"/>
  <c r="T790" i="31"/>
  <c r="T789" i="31"/>
  <c r="T788" i="31"/>
  <c r="T787" i="31"/>
  <c r="T786" i="31"/>
  <c r="T785" i="31"/>
  <c r="T784" i="31"/>
  <c r="T783" i="31"/>
  <c r="T782" i="31"/>
  <c r="T781" i="31"/>
  <c r="T780" i="31"/>
  <c r="T779" i="31"/>
  <c r="T778" i="31"/>
  <c r="T777" i="31"/>
  <c r="T776" i="31"/>
  <c r="T775" i="31"/>
  <c r="T774" i="31"/>
  <c r="T773" i="31"/>
  <c r="T772" i="31"/>
  <c r="T771" i="31"/>
  <c r="T770" i="31"/>
  <c r="T769" i="31"/>
  <c r="T768" i="31"/>
  <c r="T767" i="31"/>
  <c r="T766" i="31"/>
  <c r="T765" i="31"/>
  <c r="T764" i="31"/>
  <c r="T763" i="31"/>
  <c r="T762" i="31"/>
  <c r="T761" i="31"/>
  <c r="T760" i="31"/>
  <c r="T759" i="31"/>
  <c r="T758" i="31"/>
  <c r="T757" i="31"/>
  <c r="T756" i="31"/>
  <c r="T755" i="31"/>
  <c r="T754" i="31"/>
  <c r="T753" i="31"/>
  <c r="T752" i="31"/>
  <c r="T751" i="31"/>
  <c r="T750" i="31"/>
  <c r="T749" i="31"/>
  <c r="T748" i="31"/>
  <c r="T747" i="31"/>
  <c r="T746" i="31"/>
  <c r="T745" i="31"/>
  <c r="T744" i="31"/>
  <c r="T743" i="31"/>
  <c r="T742" i="31"/>
  <c r="T741" i="31"/>
  <c r="T740" i="31"/>
  <c r="T739" i="31"/>
  <c r="T738" i="31"/>
  <c r="T737" i="31"/>
  <c r="T736" i="31"/>
  <c r="T735" i="31"/>
  <c r="T734" i="31"/>
  <c r="T733" i="31"/>
  <c r="T732" i="31"/>
  <c r="T731" i="31"/>
  <c r="T730" i="31"/>
  <c r="T729" i="31"/>
  <c r="T728" i="31"/>
  <c r="T727" i="31"/>
  <c r="T726" i="31"/>
  <c r="T725" i="31"/>
  <c r="T724" i="31"/>
  <c r="T723" i="31"/>
  <c r="T722" i="31"/>
  <c r="T721" i="31"/>
  <c r="T720" i="31"/>
  <c r="T719" i="31"/>
  <c r="T718" i="31"/>
  <c r="T717" i="31"/>
  <c r="T716" i="31"/>
  <c r="T715" i="31"/>
  <c r="T714" i="31"/>
  <c r="T713" i="31"/>
  <c r="T712" i="31"/>
  <c r="T711" i="31"/>
  <c r="T710" i="31"/>
  <c r="T709" i="31"/>
  <c r="T708" i="31"/>
  <c r="T707" i="31"/>
  <c r="T706" i="31"/>
  <c r="T705" i="31"/>
  <c r="T704" i="31"/>
  <c r="T703" i="31"/>
  <c r="T702" i="31"/>
  <c r="T701" i="31"/>
  <c r="T700" i="31"/>
  <c r="T699" i="31"/>
  <c r="T698" i="31"/>
  <c r="T697" i="31"/>
  <c r="T696" i="31"/>
  <c r="T695" i="31"/>
  <c r="T694" i="31"/>
  <c r="T693" i="31"/>
  <c r="T692" i="31"/>
  <c r="T691" i="31"/>
  <c r="T690" i="31"/>
  <c r="T689" i="31"/>
  <c r="T688" i="31"/>
  <c r="T687" i="31"/>
  <c r="T686" i="31"/>
  <c r="T685" i="31"/>
  <c r="T684" i="31"/>
  <c r="T683" i="31"/>
  <c r="T682" i="31"/>
  <c r="T681" i="31"/>
  <c r="T680" i="31"/>
  <c r="T679" i="31"/>
  <c r="T678" i="31"/>
  <c r="T677" i="31"/>
  <c r="T676" i="31"/>
  <c r="T675" i="31"/>
  <c r="T674" i="31"/>
  <c r="T673" i="31"/>
  <c r="T672" i="31"/>
  <c r="T671" i="31"/>
  <c r="T670" i="31"/>
  <c r="T669" i="31"/>
  <c r="T668" i="31"/>
  <c r="T667" i="31"/>
  <c r="T666" i="31"/>
  <c r="T665" i="31"/>
  <c r="T664" i="31"/>
  <c r="T663" i="31"/>
  <c r="T662" i="31"/>
  <c r="T661" i="31"/>
  <c r="T660" i="31"/>
  <c r="T659" i="31"/>
  <c r="T658" i="31"/>
  <c r="T657" i="31"/>
  <c r="T656" i="31"/>
  <c r="T655" i="31"/>
  <c r="T654" i="31"/>
  <c r="T653" i="31"/>
  <c r="T652" i="31"/>
  <c r="T651" i="31"/>
  <c r="T650" i="31"/>
  <c r="T649" i="31"/>
  <c r="T648" i="31"/>
  <c r="T647" i="31"/>
  <c r="T646" i="31"/>
  <c r="T645" i="31"/>
  <c r="T644" i="31"/>
  <c r="T643" i="31"/>
  <c r="T642" i="31"/>
  <c r="T641" i="31"/>
  <c r="T640" i="31"/>
  <c r="T639" i="31"/>
  <c r="T638" i="31"/>
  <c r="T637" i="31"/>
  <c r="T636" i="31"/>
  <c r="T635" i="31"/>
  <c r="T634" i="31"/>
  <c r="T633" i="31"/>
  <c r="T632" i="31"/>
  <c r="T631" i="31"/>
  <c r="T630" i="31"/>
  <c r="T629" i="31"/>
  <c r="T628" i="31"/>
  <c r="T627" i="31"/>
  <c r="T626" i="31"/>
  <c r="T625" i="31"/>
  <c r="T624" i="31"/>
  <c r="T623" i="31"/>
  <c r="T622" i="31"/>
  <c r="T621" i="31"/>
  <c r="T620" i="31"/>
  <c r="T619" i="31"/>
  <c r="T618" i="31"/>
  <c r="T617" i="31"/>
  <c r="T616" i="31"/>
  <c r="T615" i="31"/>
  <c r="T614" i="31"/>
  <c r="T613" i="31"/>
  <c r="T612" i="31"/>
  <c r="T611" i="31"/>
  <c r="T610" i="31"/>
  <c r="T609" i="31"/>
  <c r="T608" i="31"/>
  <c r="T607" i="31"/>
  <c r="T606" i="31"/>
  <c r="T605" i="31"/>
  <c r="T604" i="31"/>
  <c r="T603" i="31"/>
  <c r="T602" i="31"/>
  <c r="T601" i="31"/>
  <c r="T600" i="31"/>
  <c r="T599" i="31"/>
  <c r="T598" i="31"/>
  <c r="T597" i="31"/>
  <c r="T596" i="31"/>
  <c r="T595" i="31"/>
  <c r="T594" i="31"/>
  <c r="T593" i="31"/>
  <c r="T592" i="31"/>
  <c r="T591" i="31"/>
  <c r="T590" i="31"/>
  <c r="T589" i="31"/>
  <c r="T588" i="31"/>
  <c r="T587" i="31"/>
  <c r="T586" i="31"/>
  <c r="T585" i="31"/>
  <c r="T584" i="31"/>
  <c r="T583" i="31"/>
  <c r="T582" i="31"/>
  <c r="T581" i="31"/>
  <c r="T580" i="31"/>
  <c r="T579" i="31"/>
  <c r="T578" i="31"/>
  <c r="T577" i="31"/>
  <c r="T576" i="31"/>
  <c r="T575" i="31"/>
  <c r="T574" i="31"/>
  <c r="T573" i="31"/>
  <c r="T572" i="31"/>
  <c r="T571" i="31"/>
  <c r="T570" i="31"/>
  <c r="T569" i="31"/>
  <c r="T568" i="31"/>
  <c r="T567" i="31"/>
  <c r="T566" i="31"/>
  <c r="T565" i="31"/>
  <c r="T564" i="31"/>
  <c r="T563" i="31"/>
  <c r="T562" i="31"/>
  <c r="T561" i="31"/>
  <c r="T560" i="31"/>
  <c r="T559" i="31"/>
  <c r="T558" i="31"/>
  <c r="T557" i="31"/>
  <c r="T556" i="31"/>
  <c r="T555" i="31"/>
  <c r="T554" i="31"/>
  <c r="T553" i="31"/>
  <c r="T552" i="31"/>
  <c r="T551" i="31"/>
  <c r="T550" i="31"/>
  <c r="T549" i="31"/>
  <c r="T548" i="31"/>
  <c r="T547" i="31"/>
  <c r="T546" i="31"/>
  <c r="T545" i="31"/>
  <c r="T544" i="31"/>
  <c r="T543" i="31"/>
  <c r="T542" i="31"/>
  <c r="T541" i="31"/>
  <c r="T540" i="31"/>
  <c r="T539" i="31"/>
  <c r="T538" i="31"/>
  <c r="T537" i="31"/>
  <c r="T536" i="31"/>
  <c r="T535" i="31"/>
  <c r="T534" i="31"/>
  <c r="T533" i="31"/>
  <c r="T532" i="31"/>
  <c r="T531" i="31"/>
  <c r="T530" i="31"/>
  <c r="T529" i="31"/>
  <c r="T528" i="31"/>
  <c r="T527" i="31"/>
  <c r="T526" i="31"/>
  <c r="T525" i="31"/>
  <c r="T524" i="31"/>
  <c r="T523" i="31"/>
  <c r="T522" i="31"/>
  <c r="T521" i="31"/>
  <c r="T520" i="31"/>
  <c r="T519" i="31"/>
  <c r="T518" i="31"/>
  <c r="T517" i="31"/>
  <c r="T516" i="31"/>
  <c r="T515" i="31"/>
  <c r="T514" i="31"/>
  <c r="T513" i="31"/>
  <c r="T512" i="31"/>
  <c r="T511" i="31"/>
  <c r="T510" i="31"/>
  <c r="T509" i="31"/>
  <c r="T508" i="31"/>
  <c r="T507" i="31"/>
  <c r="T506" i="31"/>
  <c r="T505" i="31"/>
  <c r="T504" i="31"/>
  <c r="T503" i="31"/>
  <c r="T502" i="31"/>
  <c r="T501" i="31"/>
  <c r="T500" i="31"/>
  <c r="T499" i="31"/>
  <c r="T498" i="31"/>
  <c r="T497" i="31"/>
  <c r="T496" i="31"/>
  <c r="T495" i="31"/>
  <c r="T494" i="31"/>
  <c r="T493" i="31"/>
  <c r="T492" i="31"/>
  <c r="T491" i="31"/>
  <c r="T490" i="31"/>
  <c r="T489" i="31"/>
  <c r="T488" i="31"/>
  <c r="T487" i="31"/>
  <c r="T486" i="31"/>
  <c r="T485" i="31"/>
  <c r="T484" i="31"/>
  <c r="T483" i="31"/>
  <c r="T482" i="31"/>
  <c r="T481" i="31"/>
  <c r="T480" i="31"/>
  <c r="T479" i="31"/>
  <c r="T478" i="31"/>
  <c r="T477" i="31"/>
  <c r="T476" i="31"/>
  <c r="T475" i="31"/>
  <c r="T474" i="31"/>
  <c r="T473" i="31"/>
  <c r="T472" i="31"/>
  <c r="T471" i="31"/>
  <c r="T470" i="31"/>
  <c r="T469" i="31"/>
  <c r="T468" i="31"/>
  <c r="T467" i="31"/>
  <c r="T466" i="31"/>
  <c r="T465" i="31"/>
  <c r="T464" i="31"/>
  <c r="T463" i="31"/>
  <c r="T462" i="31"/>
  <c r="T461" i="31"/>
  <c r="T460" i="31"/>
  <c r="T459" i="31"/>
  <c r="T458" i="31"/>
  <c r="T457" i="31"/>
  <c r="T456" i="31"/>
  <c r="T455" i="31"/>
  <c r="T454" i="31"/>
  <c r="T453" i="31"/>
  <c r="T452" i="31"/>
  <c r="T451" i="31"/>
  <c r="T450" i="31"/>
  <c r="T449" i="31"/>
  <c r="T448" i="31"/>
  <c r="T447" i="31"/>
  <c r="T446" i="31"/>
  <c r="T445" i="31"/>
  <c r="T444" i="31"/>
  <c r="T443" i="31"/>
  <c r="T442" i="31"/>
  <c r="T441" i="31"/>
  <c r="T440" i="31"/>
  <c r="T439" i="31"/>
  <c r="T438" i="31"/>
  <c r="T437" i="31"/>
  <c r="T436" i="31"/>
  <c r="T435" i="31"/>
  <c r="T434" i="31"/>
  <c r="T433" i="31"/>
  <c r="T432" i="31"/>
  <c r="T431" i="31"/>
  <c r="T430" i="31"/>
  <c r="T429" i="31"/>
  <c r="T428" i="31"/>
  <c r="T427" i="31"/>
  <c r="T426" i="31"/>
  <c r="T425" i="31"/>
  <c r="T424" i="31"/>
  <c r="T423" i="31"/>
  <c r="T422" i="31"/>
  <c r="T421" i="31"/>
  <c r="T420" i="31"/>
  <c r="T419" i="31"/>
  <c r="T418" i="31"/>
  <c r="T417" i="31"/>
  <c r="T416" i="31"/>
  <c r="T415" i="31"/>
  <c r="T414" i="31"/>
  <c r="T413" i="31"/>
  <c r="T412" i="31"/>
  <c r="T411" i="31"/>
  <c r="T410" i="31"/>
  <c r="T409" i="31"/>
  <c r="T408" i="31"/>
  <c r="T407" i="31"/>
  <c r="T406" i="31"/>
  <c r="T405" i="31"/>
  <c r="T404" i="31"/>
  <c r="T403" i="31"/>
  <c r="T402" i="31"/>
  <c r="T401" i="31"/>
  <c r="T400" i="31"/>
  <c r="T399" i="31"/>
  <c r="T398" i="31"/>
  <c r="T397" i="31"/>
  <c r="T396" i="31"/>
  <c r="T395" i="31"/>
  <c r="T394" i="31"/>
  <c r="T393" i="31"/>
  <c r="T392" i="31"/>
  <c r="N391" i="31"/>
  <c r="T391" i="31"/>
  <c r="F391" i="31"/>
  <c r="N390" i="31"/>
  <c r="N801" i="31"/>
  <c r="F390" i="31"/>
  <c r="T389" i="31"/>
  <c r="T388" i="31"/>
  <c r="T387" i="31"/>
  <c r="T386" i="31"/>
  <c r="T385" i="31"/>
  <c r="T384" i="31"/>
  <c r="T383" i="31"/>
  <c r="T382" i="31"/>
  <c r="T381" i="31"/>
  <c r="T380" i="31"/>
  <c r="T379" i="31"/>
  <c r="T378" i="31"/>
  <c r="T377" i="31"/>
  <c r="T376" i="31"/>
  <c r="T375" i="31"/>
  <c r="T374" i="31"/>
  <c r="T373" i="31"/>
  <c r="T372" i="31"/>
  <c r="T371" i="31"/>
  <c r="T370" i="31"/>
  <c r="T369" i="31"/>
  <c r="T368" i="31"/>
  <c r="T367" i="31"/>
  <c r="T366" i="31"/>
  <c r="T365" i="31"/>
  <c r="T364" i="31"/>
  <c r="T363" i="31"/>
  <c r="T362" i="31"/>
  <c r="T361" i="31"/>
  <c r="T360" i="31"/>
  <c r="T359" i="31"/>
  <c r="T358" i="31"/>
  <c r="T357" i="31"/>
  <c r="T356" i="31"/>
  <c r="T355" i="31"/>
  <c r="T354" i="31"/>
  <c r="T353" i="31"/>
  <c r="T352" i="31"/>
  <c r="T351" i="31"/>
  <c r="T350" i="31"/>
  <c r="T349" i="31"/>
  <c r="T348" i="31"/>
  <c r="T347" i="31"/>
  <c r="T346" i="31"/>
  <c r="T345" i="31"/>
  <c r="T344" i="31"/>
  <c r="T343" i="31"/>
  <c r="T342" i="31"/>
  <c r="T341" i="31"/>
  <c r="T340" i="31"/>
  <c r="T339" i="31"/>
  <c r="T338" i="31"/>
  <c r="T337" i="31"/>
  <c r="T336" i="31"/>
  <c r="T335" i="31"/>
  <c r="T334" i="31"/>
  <c r="T333" i="31"/>
  <c r="T332" i="31"/>
  <c r="T331" i="31"/>
  <c r="T330" i="31"/>
  <c r="T329" i="31"/>
  <c r="T328" i="31"/>
  <c r="T327" i="31"/>
  <c r="T326" i="31"/>
  <c r="T325" i="31"/>
  <c r="T324" i="31"/>
  <c r="T323" i="31"/>
  <c r="T322" i="31"/>
  <c r="T321" i="31"/>
  <c r="T320" i="31"/>
  <c r="T319" i="31"/>
  <c r="T318" i="31"/>
  <c r="T317" i="31"/>
  <c r="T316" i="31"/>
  <c r="T315" i="31"/>
  <c r="T314" i="31"/>
  <c r="T313" i="31"/>
  <c r="T312" i="31"/>
  <c r="T311" i="31"/>
  <c r="T310" i="31"/>
  <c r="T309" i="31"/>
  <c r="T308" i="31"/>
  <c r="T307" i="31"/>
  <c r="T306" i="31"/>
  <c r="T305" i="31"/>
  <c r="T304" i="31"/>
  <c r="T303" i="31"/>
  <c r="T302" i="31"/>
  <c r="T301" i="31"/>
  <c r="T300" i="31"/>
  <c r="T299" i="31"/>
  <c r="T298" i="31"/>
  <c r="T297" i="31"/>
  <c r="T296" i="31"/>
  <c r="T295" i="31"/>
  <c r="T294" i="31"/>
  <c r="T293" i="31"/>
  <c r="T292" i="31"/>
  <c r="T291" i="31"/>
  <c r="T290" i="31"/>
  <c r="T289" i="31"/>
  <c r="T288" i="31"/>
  <c r="T287" i="31"/>
  <c r="T286" i="31"/>
  <c r="T285" i="31"/>
  <c r="T284" i="31"/>
  <c r="T283" i="31"/>
  <c r="T282" i="31"/>
  <c r="T281" i="31"/>
  <c r="T280" i="31"/>
  <c r="T279" i="31"/>
  <c r="T278" i="31"/>
  <c r="T277" i="31"/>
  <c r="T276" i="31"/>
  <c r="T275" i="31"/>
  <c r="T274" i="31"/>
  <c r="T273" i="31"/>
  <c r="T272" i="31"/>
  <c r="T271" i="31"/>
  <c r="T270" i="31"/>
  <c r="T269" i="31"/>
  <c r="M268" i="31"/>
  <c r="T268" i="31"/>
  <c r="F268" i="31"/>
  <c r="T267" i="31"/>
  <c r="M266" i="31"/>
  <c r="T266" i="31"/>
  <c r="F266" i="31"/>
  <c r="T265" i="31"/>
  <c r="T264" i="31"/>
  <c r="L263" i="31"/>
  <c r="T263" i="31"/>
  <c r="L801" i="31"/>
  <c r="F263" i="31"/>
  <c r="T262" i="31"/>
  <c r="T261" i="31"/>
  <c r="T260" i="31"/>
  <c r="T259" i="31"/>
  <c r="T258" i="31"/>
  <c r="T257" i="31"/>
  <c r="T256" i="31"/>
  <c r="T255" i="31"/>
  <c r="T254" i="31"/>
  <c r="T253" i="31"/>
  <c r="T252" i="31"/>
  <c r="T251" i="31"/>
  <c r="T250" i="31"/>
  <c r="T249" i="31"/>
  <c r="T248" i="31"/>
  <c r="T247" i="31"/>
  <c r="T246" i="31"/>
  <c r="T245" i="31"/>
  <c r="T244" i="31"/>
  <c r="T243" i="31"/>
  <c r="T242" i="31"/>
  <c r="T241" i="31"/>
  <c r="T240" i="31"/>
  <c r="T239" i="31"/>
  <c r="T238" i="31"/>
  <c r="T237" i="31"/>
  <c r="T236" i="31"/>
  <c r="T235" i="31"/>
  <c r="T234" i="31"/>
  <c r="T233" i="31"/>
  <c r="T232" i="31"/>
  <c r="T231" i="31"/>
  <c r="T230" i="31"/>
  <c r="T229" i="31"/>
  <c r="T228" i="31"/>
  <c r="T227" i="31"/>
  <c r="T226" i="31"/>
  <c r="T225" i="31"/>
  <c r="F225" i="31"/>
  <c r="F801" i="31"/>
  <c r="T224" i="31"/>
  <c r="T223" i="31"/>
  <c r="T222" i="31"/>
  <c r="T221" i="31"/>
  <c r="T220" i="31"/>
  <c r="T219" i="31"/>
  <c r="T218" i="31"/>
  <c r="T217" i="31"/>
  <c r="T216" i="31"/>
  <c r="T215" i="31"/>
  <c r="T214" i="31"/>
  <c r="T213" i="31"/>
  <c r="T212" i="31"/>
  <c r="T211" i="31"/>
  <c r="T210" i="31"/>
  <c r="T209" i="31"/>
  <c r="T208" i="31"/>
  <c r="T207" i="31"/>
  <c r="T206" i="31"/>
  <c r="T205" i="31"/>
  <c r="T204" i="31"/>
  <c r="T203" i="31"/>
  <c r="T202" i="31"/>
  <c r="T201" i="31"/>
  <c r="T200" i="31"/>
  <c r="T199" i="31"/>
  <c r="T198" i="31"/>
  <c r="T197" i="31"/>
  <c r="T196" i="31"/>
  <c r="T195" i="31"/>
  <c r="T194" i="31"/>
  <c r="T193" i="31"/>
  <c r="T192" i="31"/>
  <c r="T191" i="31"/>
  <c r="T190" i="31"/>
  <c r="T189" i="31"/>
  <c r="T188" i="31"/>
  <c r="T187" i="31"/>
  <c r="T186" i="31"/>
  <c r="T185" i="31"/>
  <c r="T184" i="31"/>
  <c r="T183" i="31"/>
  <c r="T182" i="31"/>
  <c r="T181" i="31"/>
  <c r="T180" i="31"/>
  <c r="T179" i="31"/>
  <c r="T178" i="31"/>
  <c r="T177" i="31"/>
  <c r="T176" i="31"/>
  <c r="T175" i="31"/>
  <c r="T174" i="31"/>
  <c r="T173" i="31"/>
  <c r="T172" i="31"/>
  <c r="T171" i="31"/>
  <c r="T170" i="31"/>
  <c r="T169" i="31"/>
  <c r="T168" i="31"/>
  <c r="T167" i="31"/>
  <c r="T166" i="31"/>
  <c r="T165" i="31"/>
  <c r="T164" i="31"/>
  <c r="T163" i="31"/>
  <c r="T162" i="31"/>
  <c r="T161" i="31"/>
  <c r="T160" i="31"/>
  <c r="T159" i="31"/>
  <c r="T158" i="31"/>
  <c r="T157" i="31"/>
  <c r="T156" i="31"/>
  <c r="T155" i="31"/>
  <c r="T154" i="31"/>
  <c r="T153" i="31"/>
  <c r="T152" i="31"/>
  <c r="T151" i="31"/>
  <c r="T150" i="31"/>
  <c r="T149" i="31"/>
  <c r="T148" i="31"/>
  <c r="T147" i="31"/>
  <c r="T146" i="31"/>
  <c r="T145" i="31"/>
  <c r="T144" i="31"/>
  <c r="T143" i="31"/>
  <c r="T142" i="31"/>
  <c r="T141" i="31"/>
  <c r="T140" i="31"/>
  <c r="T139" i="31"/>
  <c r="T138" i="31"/>
  <c r="T137" i="31"/>
  <c r="T136" i="31"/>
  <c r="T135" i="31"/>
  <c r="T134" i="31"/>
  <c r="T133" i="31"/>
  <c r="T132" i="31"/>
  <c r="T131" i="31"/>
  <c r="T130" i="31"/>
  <c r="T129" i="31"/>
  <c r="T128" i="31"/>
  <c r="T127" i="31"/>
  <c r="T126" i="31"/>
  <c r="T125" i="31"/>
  <c r="T124" i="31"/>
  <c r="T123" i="31"/>
  <c r="T122" i="31"/>
  <c r="T121" i="31"/>
  <c r="T120" i="31"/>
  <c r="T119" i="31"/>
  <c r="T118" i="31"/>
  <c r="T117" i="31"/>
  <c r="T116" i="31"/>
  <c r="T115" i="31"/>
  <c r="T114" i="31"/>
  <c r="T113" i="31"/>
  <c r="T112" i="31"/>
  <c r="T111" i="31"/>
  <c r="T110" i="31"/>
  <c r="T109" i="31"/>
  <c r="T108" i="31"/>
  <c r="T107" i="31"/>
  <c r="T106" i="31"/>
  <c r="T105" i="31"/>
  <c r="T104" i="31"/>
  <c r="T103" i="31"/>
  <c r="T102" i="31"/>
  <c r="T101" i="31"/>
  <c r="T100" i="31"/>
  <c r="T99" i="31"/>
  <c r="T98" i="31"/>
  <c r="T97" i="31"/>
  <c r="T96" i="31"/>
  <c r="T95" i="31"/>
  <c r="T94" i="31"/>
  <c r="T93" i="31"/>
  <c r="T92" i="31"/>
  <c r="T91" i="31"/>
  <c r="T90" i="31"/>
  <c r="T89" i="31"/>
  <c r="T88" i="31"/>
  <c r="T87" i="31"/>
  <c r="T86" i="31"/>
  <c r="T85" i="31"/>
  <c r="T84" i="31"/>
  <c r="T83" i="31"/>
  <c r="T82" i="31"/>
  <c r="T81" i="31"/>
  <c r="T80" i="31"/>
  <c r="T79" i="31"/>
  <c r="T78" i="31"/>
  <c r="T77" i="31"/>
  <c r="T76" i="31"/>
  <c r="T75" i="31"/>
  <c r="T74" i="31"/>
  <c r="T73" i="31"/>
  <c r="T72" i="31"/>
  <c r="T71" i="31"/>
  <c r="T70" i="31"/>
  <c r="T69" i="31"/>
  <c r="T68" i="31"/>
  <c r="T67" i="31"/>
  <c r="T66" i="31"/>
  <c r="T65" i="31"/>
  <c r="T64" i="31"/>
  <c r="T63" i="31"/>
  <c r="T62" i="31"/>
  <c r="T61" i="31"/>
  <c r="T60" i="31"/>
  <c r="T59" i="31"/>
  <c r="T58" i="31"/>
  <c r="T57" i="31"/>
  <c r="T56" i="31"/>
  <c r="T55" i="31"/>
  <c r="T54" i="31"/>
  <c r="T53" i="31"/>
  <c r="T52" i="31"/>
  <c r="T51" i="31"/>
  <c r="T50" i="31"/>
  <c r="T49" i="31"/>
  <c r="T48" i="31"/>
  <c r="T47" i="31"/>
  <c r="T46" i="31"/>
  <c r="T45" i="31"/>
  <c r="T44" i="31"/>
  <c r="T43" i="31"/>
  <c r="T42" i="31"/>
  <c r="T41" i="31"/>
  <c r="T40" i="31"/>
  <c r="T39" i="31"/>
  <c r="T38" i="31"/>
  <c r="T37" i="31"/>
  <c r="T36" i="31"/>
  <c r="T35" i="31"/>
  <c r="T34" i="31"/>
  <c r="T33" i="31"/>
  <c r="T32" i="31"/>
  <c r="T31" i="31"/>
  <c r="T30" i="31"/>
  <c r="T29" i="31"/>
  <c r="T28" i="31"/>
  <c r="T27" i="31"/>
  <c r="T26" i="31"/>
  <c r="T25" i="31"/>
  <c r="T24" i="31"/>
  <c r="T23" i="31"/>
  <c r="T22" i="31"/>
  <c r="T21" i="31"/>
  <c r="T20" i="31"/>
  <c r="T19" i="31"/>
  <c r="T18" i="31"/>
  <c r="T17" i="31"/>
  <c r="T16" i="31"/>
  <c r="T15" i="31"/>
  <c r="T14" i="31"/>
  <c r="T13" i="31"/>
  <c r="T12" i="31"/>
  <c r="T11" i="31"/>
  <c r="T10" i="31"/>
  <c r="M801" i="31"/>
  <c r="T390" i="31"/>
  <c r="T801" i="31"/>
  <c r="AH1618" i="28"/>
  <c r="AH1622" i="28"/>
  <c r="AI1613" i="28"/>
  <c r="AG448" i="30"/>
  <c r="AG449" i="30"/>
  <c r="AH1073" i="28"/>
  <c r="AG984" i="30"/>
  <c r="AG986" i="30"/>
  <c r="C80" i="8"/>
  <c r="F17" i="27"/>
  <c r="F19" i="27"/>
  <c r="F18" i="27"/>
  <c r="B8" i="25"/>
  <c r="C8" i="25"/>
  <c r="D8" i="25"/>
  <c r="G8" i="25"/>
  <c r="G13" i="25" s="1"/>
  <c r="H8" i="25"/>
  <c r="H13" i="25" s="1"/>
  <c r="F9" i="27"/>
  <c r="E9" i="27"/>
  <c r="I10" i="25"/>
  <c r="D13" i="25"/>
  <c r="B13" i="25"/>
  <c r="E8" i="25"/>
  <c r="F8" i="25"/>
  <c r="B647" i="29"/>
  <c r="B645" i="29"/>
  <c r="B639" i="29"/>
  <c r="B602" i="29"/>
  <c r="B598" i="29"/>
  <c r="B559" i="29"/>
  <c r="B359" i="29"/>
  <c r="B300" i="29"/>
  <c r="B291" i="29"/>
  <c r="B280" i="29"/>
  <c r="B193" i="29"/>
  <c r="B182" i="29"/>
  <c r="B179" i="29"/>
  <c r="B120" i="29"/>
  <c r="B111" i="29"/>
  <c r="B109" i="29"/>
  <c r="B95" i="29"/>
  <c r="B92" i="29"/>
  <c r="B88" i="29"/>
  <c r="B45" i="29"/>
  <c r="B20" i="29"/>
  <c r="C650" i="29"/>
  <c r="B648" i="29"/>
  <c r="B650" i="29"/>
  <c r="AG1073" i="28"/>
  <c r="AH1074" i="28"/>
  <c r="AH1609" i="28"/>
  <c r="AH1611" i="28"/>
  <c r="E17" i="27"/>
  <c r="E18" i="27"/>
  <c r="B11" i="3"/>
  <c r="C76" i="8"/>
  <c r="B11" i="5"/>
  <c r="C68" i="8"/>
  <c r="B9" i="5"/>
  <c r="B9" i="3"/>
  <c r="C45" i="8"/>
  <c r="C44" i="8"/>
  <c r="C46" i="8"/>
  <c r="C171" i="19"/>
  <c r="B143" i="19"/>
  <c r="C142" i="19"/>
  <c r="C141" i="19"/>
  <c r="C140" i="19"/>
  <c r="C139" i="19"/>
  <c r="C138" i="19"/>
  <c r="C137" i="19"/>
  <c r="C136" i="19"/>
  <c r="C135" i="19"/>
  <c r="C134" i="19"/>
  <c r="C133" i="19"/>
  <c r="C132" i="19"/>
  <c r="C131" i="19"/>
  <c r="C130" i="19"/>
  <c r="C129" i="19"/>
  <c r="C128" i="19"/>
  <c r="C127" i="19"/>
  <c r="C126" i="19"/>
  <c r="C125" i="19"/>
  <c r="C124" i="19"/>
  <c r="C123" i="19"/>
  <c r="C122" i="19"/>
  <c r="C121" i="19"/>
  <c r="C120" i="19"/>
  <c r="H119" i="19"/>
  <c r="C119" i="19"/>
  <c r="C118" i="19"/>
  <c r="H117" i="19"/>
  <c r="C117" i="19"/>
  <c r="H111" i="19"/>
  <c r="H121" i="19"/>
  <c r="C143" i="19"/>
  <c r="D15" i="7"/>
  <c r="F15" i="7" s="1"/>
  <c r="D16" i="7"/>
  <c r="F16" i="7" s="1"/>
  <c r="D14" i="7"/>
  <c r="F14" i="7" s="1"/>
  <c r="C13" i="7"/>
  <c r="C12" i="7"/>
  <c r="D8" i="7"/>
  <c r="F8" i="7" s="1"/>
  <c r="D9" i="7"/>
  <c r="F9" i="7" s="1"/>
  <c r="C8" i="7"/>
  <c r="C14" i="4"/>
  <c r="D14" i="4"/>
  <c r="B8" i="4"/>
  <c r="G40" i="17"/>
  <c r="G39" i="17"/>
  <c r="G36" i="17"/>
  <c r="G24" i="17"/>
  <c r="G23" i="17"/>
  <c r="G22" i="17"/>
  <c r="G21" i="17"/>
  <c r="G17" i="17"/>
  <c r="G19" i="17" s="1"/>
  <c r="G40" i="13"/>
  <c r="G35" i="13"/>
  <c r="G42" i="13"/>
  <c r="G24" i="13"/>
  <c r="G23" i="13"/>
  <c r="G22" i="13"/>
  <c r="G21" i="13"/>
  <c r="G17" i="13"/>
  <c r="G16" i="13"/>
  <c r="C10" i="7"/>
  <c r="G40" i="16"/>
  <c r="G35" i="16"/>
  <c r="G42" i="16"/>
  <c r="G24" i="16"/>
  <c r="G23" i="16"/>
  <c r="G22" i="16"/>
  <c r="G21" i="16"/>
  <c r="G17" i="16"/>
  <c r="G16" i="16"/>
  <c r="G39" i="15"/>
  <c r="G38" i="15"/>
  <c r="G35" i="15"/>
  <c r="G24" i="15"/>
  <c r="G23" i="15"/>
  <c r="G22" i="15"/>
  <c r="G21" i="15"/>
  <c r="G17" i="15"/>
  <c r="G19" i="15" s="1"/>
  <c r="G38" i="14"/>
  <c r="G35" i="14"/>
  <c r="G42" i="14"/>
  <c r="G24" i="14"/>
  <c r="G23" i="14"/>
  <c r="G22" i="14"/>
  <c r="G21" i="14"/>
  <c r="G17" i="14"/>
  <c r="G19" i="14" s="1"/>
  <c r="C160" i="10"/>
  <c r="H158" i="10"/>
  <c r="K157" i="10"/>
  <c r="J157" i="10"/>
  <c r="E157" i="10"/>
  <c r="C157" i="10"/>
  <c r="K156" i="10"/>
  <c r="C156" i="10"/>
  <c r="D155" i="10"/>
  <c r="C155" i="10"/>
  <c r="D154" i="10"/>
  <c r="C154" i="10"/>
  <c r="K153" i="10"/>
  <c r="E153" i="10"/>
  <c r="C153" i="10"/>
  <c r="K152" i="10"/>
  <c r="C152" i="10"/>
  <c r="K151" i="10"/>
  <c r="I151" i="10"/>
  <c r="C151" i="10"/>
  <c r="D150" i="10"/>
  <c r="C150" i="10"/>
  <c r="K149" i="10"/>
  <c r="J149" i="10"/>
  <c r="C149" i="10"/>
  <c r="D148" i="10"/>
  <c r="C148" i="10"/>
  <c r="K147" i="10"/>
  <c r="J147" i="10"/>
  <c r="C147" i="10"/>
  <c r="K146" i="10"/>
  <c r="C146" i="10"/>
  <c r="K145" i="10"/>
  <c r="J145" i="10"/>
  <c r="E145" i="10"/>
  <c r="J144" i="10"/>
  <c r="C144" i="10"/>
  <c r="K143" i="10"/>
  <c r="C143" i="10"/>
  <c r="C142" i="10"/>
  <c r="K141" i="10"/>
  <c r="J141" i="10"/>
  <c r="C141" i="10"/>
  <c r="D140" i="10"/>
  <c r="C140" i="10"/>
  <c r="D139" i="10"/>
  <c r="C139" i="10"/>
  <c r="E138" i="10"/>
  <c r="C138" i="10"/>
  <c r="J137" i="10"/>
  <c r="E137" i="10"/>
  <c r="C137" i="10"/>
  <c r="K136" i="10"/>
  <c r="J136" i="10"/>
  <c r="C136" i="10"/>
  <c r="J135" i="10"/>
  <c r="C135" i="10"/>
  <c r="K134" i="10"/>
  <c r="J134" i="10"/>
  <c r="C134" i="10"/>
  <c r="K133" i="10"/>
  <c r="J133" i="10"/>
  <c r="F133" i="10"/>
  <c r="C133" i="10"/>
  <c r="K131" i="10"/>
  <c r="C131" i="10"/>
  <c r="H130" i="10"/>
  <c r="G130" i="10"/>
  <c r="F130" i="10"/>
  <c r="D130" i="10"/>
  <c r="J129" i="10"/>
  <c r="C129" i="10"/>
  <c r="K128" i="10"/>
  <c r="C128" i="10"/>
  <c r="K127" i="10"/>
  <c r="J127" i="10"/>
  <c r="C127" i="10" s="1"/>
  <c r="D126" i="10"/>
  <c r="C126" i="10"/>
  <c r="J125" i="10"/>
  <c r="C125" i="10"/>
  <c r="K124" i="10"/>
  <c r="C124" i="10"/>
  <c r="K123" i="10"/>
  <c r="C123" i="10"/>
  <c r="K122" i="10"/>
  <c r="J122" i="10"/>
  <c r="E122" i="10"/>
  <c r="C122" i="10"/>
  <c r="K121" i="10"/>
  <c r="J121" i="10"/>
  <c r="G121" i="10"/>
  <c r="E121" i="10"/>
  <c r="J120" i="10"/>
  <c r="C120" i="10" s="1"/>
  <c r="J119" i="10"/>
  <c r="C119" i="10" s="1"/>
  <c r="K118" i="10"/>
  <c r="C118" i="10"/>
  <c r="K117" i="10"/>
  <c r="J117" i="10"/>
  <c r="G117" i="10"/>
  <c r="F117" i="10"/>
  <c r="J116" i="10"/>
  <c r="F116" i="10"/>
  <c r="C116" i="10"/>
  <c r="K115" i="10"/>
  <c r="H115" i="10"/>
  <c r="G115" i="10"/>
  <c r="F115" i="10"/>
  <c r="E115" i="10"/>
  <c r="H114" i="10"/>
  <c r="G114" i="10"/>
  <c r="F114" i="10"/>
  <c r="K113" i="10"/>
  <c r="J113" i="10"/>
  <c r="H113" i="10"/>
  <c r="D112" i="10"/>
  <c r="C112" i="10"/>
  <c r="D111" i="10"/>
  <c r="C111" i="10"/>
  <c r="F110" i="10"/>
  <c r="C110" i="10"/>
  <c r="K109" i="10"/>
  <c r="C109" i="10"/>
  <c r="K108" i="10"/>
  <c r="J108" i="10"/>
  <c r="C108" i="10"/>
  <c r="K106" i="10"/>
  <c r="J106" i="10"/>
  <c r="C106" i="10" s="1"/>
  <c r="K105" i="10"/>
  <c r="C105" i="10"/>
  <c r="K104" i="10"/>
  <c r="C104" i="10"/>
  <c r="J103" i="10"/>
  <c r="C103" i="10" s="1"/>
  <c r="K102" i="10"/>
  <c r="C102" i="10"/>
  <c r="F101" i="10"/>
  <c r="C101" i="10"/>
  <c r="D100" i="10"/>
  <c r="C100" i="10"/>
  <c r="J99" i="10"/>
  <c r="C99" i="10" s="1"/>
  <c r="K98" i="10"/>
  <c r="J98" i="10"/>
  <c r="E98" i="10"/>
  <c r="K97" i="10"/>
  <c r="C97" i="10"/>
  <c r="K96" i="10"/>
  <c r="J96" i="10"/>
  <c r="H96" i="10"/>
  <c r="C95" i="10"/>
  <c r="G94" i="10"/>
  <c r="E94" i="10"/>
  <c r="I93" i="10"/>
  <c r="H93" i="10"/>
  <c r="C93" i="10"/>
  <c r="J92" i="10"/>
  <c r="C92" i="10"/>
  <c r="H91" i="10"/>
  <c r="G91" i="10"/>
  <c r="C91" i="10"/>
  <c r="K90" i="10"/>
  <c r="J90" i="10"/>
  <c r="C90" i="10" s="1"/>
  <c r="D89" i="10"/>
  <c r="C89" i="10"/>
  <c r="K88" i="10"/>
  <c r="C88" i="10"/>
  <c r="J87" i="10"/>
  <c r="C87" i="10"/>
  <c r="K86" i="10"/>
  <c r="C86" i="10"/>
  <c r="K84" i="10"/>
  <c r="G84" i="10"/>
  <c r="E84" i="10"/>
  <c r="K83" i="10"/>
  <c r="J83" i="10"/>
  <c r="G83" i="10"/>
  <c r="C83" i="10"/>
  <c r="D82" i="10"/>
  <c r="C82" i="10"/>
  <c r="K81" i="10"/>
  <c r="C81" i="10"/>
  <c r="C80" i="10"/>
  <c r="D79" i="10"/>
  <c r="C79" i="10"/>
  <c r="D78" i="10"/>
  <c r="C78" i="10"/>
  <c r="K77" i="10"/>
  <c r="C77" i="10"/>
  <c r="D76" i="10"/>
  <c r="C76" i="10"/>
  <c r="K75" i="10"/>
  <c r="I75" i="10"/>
  <c r="G75" i="10"/>
  <c r="J74" i="10"/>
  <c r="C74" i="10"/>
  <c r="D73" i="10"/>
  <c r="C73" i="10"/>
  <c r="K72" i="10"/>
  <c r="J72" i="10"/>
  <c r="G72" i="10"/>
  <c r="D71" i="10"/>
  <c r="C71" i="10"/>
  <c r="K70" i="10"/>
  <c r="J70" i="10"/>
  <c r="C70" i="10"/>
  <c r="K69" i="10"/>
  <c r="J69" i="10"/>
  <c r="C69" i="10"/>
  <c r="K68" i="10"/>
  <c r="C68" i="10"/>
  <c r="D67" i="10"/>
  <c r="C67" i="10"/>
  <c r="K66" i="10"/>
  <c r="C66" i="10"/>
  <c r="K65" i="10"/>
  <c r="C65" i="10"/>
  <c r="J64" i="10"/>
  <c r="G64" i="10"/>
  <c r="C64" i="10"/>
  <c r="D63" i="10"/>
  <c r="C63" i="10"/>
  <c r="K62" i="10"/>
  <c r="J62" i="10"/>
  <c r="G62" i="10"/>
  <c r="E62" i="10"/>
  <c r="C62" i="10"/>
  <c r="K61" i="10"/>
  <c r="J61" i="10"/>
  <c r="H61" i="10"/>
  <c r="G61" i="10"/>
  <c r="E60" i="10"/>
  <c r="D60" i="10"/>
  <c r="C60" i="10"/>
  <c r="K59" i="10"/>
  <c r="J59" i="10"/>
  <c r="I59" i="10"/>
  <c r="K58" i="10"/>
  <c r="C58" i="10"/>
  <c r="K57" i="10"/>
  <c r="J57" i="10"/>
  <c r="C57" i="10"/>
  <c r="K56" i="10"/>
  <c r="J56" i="10"/>
  <c r="C56" i="10"/>
  <c r="K55" i="10"/>
  <c r="J55" i="10"/>
  <c r="C55" i="10"/>
  <c r="J54" i="10"/>
  <c r="C54" i="10"/>
  <c r="K53" i="10"/>
  <c r="C53" i="10"/>
  <c r="J52" i="10"/>
  <c r="C52" i="10" s="1"/>
  <c r="C51" i="10"/>
  <c r="K50" i="10"/>
  <c r="C50" i="10"/>
  <c r="J49" i="10"/>
  <c r="C49" i="10"/>
  <c r="K48" i="10"/>
  <c r="J48" i="10"/>
  <c r="C48" i="10"/>
  <c r="D47" i="10"/>
  <c r="C47" i="10"/>
  <c r="D46" i="10"/>
  <c r="C46" i="10"/>
  <c r="H45" i="10"/>
  <c r="K44" i="10"/>
  <c r="J44" i="10"/>
  <c r="F44" i="10"/>
  <c r="C43" i="10"/>
  <c r="K42" i="10"/>
  <c r="C42" i="10"/>
  <c r="J41" i="10"/>
  <c r="C41" i="10"/>
  <c r="J40" i="10"/>
  <c r="C40" i="10" s="1"/>
  <c r="K39" i="10"/>
  <c r="C39" i="10"/>
  <c r="K38" i="10"/>
  <c r="C38" i="10"/>
  <c r="F37" i="10"/>
  <c r="C37" i="10"/>
  <c r="K36" i="10"/>
  <c r="C36" i="10"/>
  <c r="K35" i="10"/>
  <c r="I35" i="10"/>
  <c r="C35" i="10"/>
  <c r="K34" i="10"/>
  <c r="I34" i="10"/>
  <c r="G34" i="10"/>
  <c r="F34" i="10"/>
  <c r="C34" i="10"/>
  <c r="K33" i="10"/>
  <c r="J33" i="10"/>
  <c r="C33" i="10"/>
  <c r="K32" i="10"/>
  <c r="C32" i="10"/>
  <c r="K31" i="10"/>
  <c r="G31" i="10"/>
  <c r="F31" i="10"/>
  <c r="H30" i="10"/>
  <c r="G30" i="10"/>
  <c r="K29" i="10"/>
  <c r="J29" i="10"/>
  <c r="C29" i="10"/>
  <c r="J28" i="10"/>
  <c r="C28" i="10" s="1"/>
  <c r="K27" i="10"/>
  <c r="F27" i="10"/>
  <c r="E27" i="10"/>
  <c r="C27" i="10"/>
  <c r="D26" i="10"/>
  <c r="C26" i="10"/>
  <c r="K25" i="10"/>
  <c r="J25" i="10"/>
  <c r="C25" i="10"/>
  <c r="K24" i="10"/>
  <c r="E24" i="10"/>
  <c r="C24" i="10"/>
  <c r="C23" i="10"/>
  <c r="K22" i="10"/>
  <c r="E22" i="10"/>
  <c r="C22" i="10"/>
  <c r="K21" i="10"/>
  <c r="I21" i="10"/>
  <c r="G21" i="10"/>
  <c r="C21" i="10"/>
  <c r="E20" i="10"/>
  <c r="D19" i="10"/>
  <c r="C19" i="10"/>
  <c r="G18" i="10"/>
  <c r="J17" i="10"/>
  <c r="C17" i="10"/>
  <c r="K15" i="10"/>
  <c r="J15" i="10"/>
  <c r="C15" i="10"/>
  <c r="K13" i="10"/>
  <c r="C13" i="10"/>
  <c r="D12" i="10"/>
  <c r="C12" i="10"/>
  <c r="K11" i="10"/>
  <c r="G11" i="10"/>
  <c r="C11" i="10"/>
  <c r="C10" i="10"/>
  <c r="J9" i="10"/>
  <c r="C9" i="10" s="1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A101" i="10"/>
  <c r="A102" i="10"/>
  <c r="A103" i="10"/>
  <c r="A104" i="10"/>
  <c r="A105" i="10"/>
  <c r="A106" i="10"/>
  <c r="A107" i="10"/>
  <c r="A108" i="10"/>
  <c r="A109" i="10"/>
  <c r="A110" i="10"/>
  <c r="A111" i="10"/>
  <c r="A112" i="10"/>
  <c r="A113" i="10"/>
  <c r="A114" i="10"/>
  <c r="A115" i="10"/>
  <c r="A116" i="10"/>
  <c r="A117" i="10"/>
  <c r="A118" i="10"/>
  <c r="A119" i="10"/>
  <c r="A120" i="10"/>
  <c r="A121" i="10"/>
  <c r="A122" i="10"/>
  <c r="A123" i="10"/>
  <c r="A124" i="10"/>
  <c r="A125" i="10"/>
  <c r="A126" i="10"/>
  <c r="A127" i="10"/>
  <c r="A128" i="10"/>
  <c r="A129" i="10"/>
  <c r="A130" i="10"/>
  <c r="A131" i="10"/>
  <c r="A132" i="10"/>
  <c r="A133" i="10"/>
  <c r="A134" i="10"/>
  <c r="A135" i="10"/>
  <c r="A136" i="10"/>
  <c r="A137" i="10"/>
  <c r="A138" i="10"/>
  <c r="A139" i="10"/>
  <c r="A140" i="10"/>
  <c r="A141" i="10"/>
  <c r="A142" i="10"/>
  <c r="A143" i="10"/>
  <c r="A144" i="10"/>
  <c r="A145" i="10"/>
  <c r="A146" i="10"/>
  <c r="A147" i="10"/>
  <c r="A148" i="10"/>
  <c r="A149" i="10"/>
  <c r="A150" i="10"/>
  <c r="A151" i="10"/>
  <c r="A152" i="10"/>
  <c r="A153" i="10"/>
  <c r="A154" i="10"/>
  <c r="A155" i="10"/>
  <c r="A156" i="10"/>
  <c r="A157" i="10"/>
  <c r="A158" i="10"/>
  <c r="K8" i="10"/>
  <c r="C8" i="10"/>
  <c r="C96" i="10"/>
  <c r="C30" i="10"/>
  <c r="C61" i="10"/>
  <c r="C84" i="10"/>
  <c r="F159" i="10"/>
  <c r="C145" i="10"/>
  <c r="C121" i="10"/>
  <c r="C113" i="10"/>
  <c r="C114" i="10"/>
  <c r="C117" i="10"/>
  <c r="C44" i="10"/>
  <c r="C98" i="10"/>
  <c r="K159" i="10"/>
  <c r="C59" i="10"/>
  <c r="C75" i="10"/>
  <c r="C130" i="10"/>
  <c r="C45" i="10"/>
  <c r="H159" i="10"/>
  <c r="G159" i="10"/>
  <c r="I159" i="10"/>
  <c r="E159" i="10"/>
  <c r="C72" i="10"/>
  <c r="D159" i="10"/>
  <c r="C31" i="10"/>
  <c r="C115" i="10"/>
  <c r="B31" i="9"/>
  <c r="E9" i="7"/>
  <c r="C7" i="7"/>
  <c r="C17" i="7"/>
  <c r="F16" i="4"/>
  <c r="F17" i="4"/>
  <c r="F18" i="4"/>
  <c r="F9" i="4"/>
  <c r="F10" i="4"/>
  <c r="F11" i="4"/>
  <c r="C77" i="9"/>
  <c r="C79" i="9" s="1"/>
  <c r="D15" i="2"/>
  <c r="D16" i="2"/>
  <c r="D21" i="2"/>
  <c r="B107" i="9"/>
  <c r="B61" i="9"/>
  <c r="B71" i="9"/>
  <c r="C64" i="9"/>
  <c r="C107" i="9"/>
  <c r="C42" i="9"/>
  <c r="C61" i="9"/>
  <c r="C60" i="9"/>
  <c r="C100" i="9"/>
  <c r="C88" i="9"/>
  <c r="C116" i="9"/>
  <c r="C70" i="9"/>
  <c r="C55" i="9"/>
  <c r="C63" i="9"/>
  <c r="C32" i="9"/>
  <c r="C10" i="9"/>
  <c r="C12" i="9"/>
  <c r="C71" i="9"/>
  <c r="C108" i="9"/>
  <c r="D22" i="2"/>
  <c r="D9" i="2"/>
  <c r="B87" i="9"/>
  <c r="B86" i="9"/>
  <c r="B32" i="9"/>
  <c r="B116" i="9"/>
  <c r="B98" i="9"/>
  <c r="B108" i="9"/>
  <c r="C26" i="9"/>
  <c r="B23" i="9"/>
  <c r="B22" i="9"/>
  <c r="B21" i="9"/>
  <c r="B26" i="9"/>
  <c r="B10" i="9"/>
  <c r="B12" i="9"/>
  <c r="D23" i="2"/>
  <c r="D24" i="2"/>
  <c r="D29" i="2" s="1"/>
  <c r="D11" i="2"/>
  <c r="D10" i="2"/>
  <c r="D12" i="2"/>
  <c r="D18" i="2" s="1"/>
  <c r="B77" i="9"/>
  <c r="B79" i="9" s="1"/>
  <c r="F19" i="4"/>
  <c r="D33" i="2"/>
  <c r="D35" i="2" s="1"/>
  <c r="D36" i="2"/>
  <c r="D15" i="27" l="1"/>
  <c r="F15" i="27" s="1"/>
  <c r="D16" i="27"/>
  <c r="D11" i="7"/>
  <c r="E11" i="7" s="1"/>
  <c r="B22" i="2"/>
  <c r="B24" i="2" s="1"/>
  <c r="B29" i="2" s="1"/>
  <c r="D13" i="7"/>
  <c r="E13" i="7" s="1"/>
  <c r="B17" i="3"/>
  <c r="B15" i="3"/>
  <c r="F13" i="25"/>
  <c r="E13" i="25"/>
  <c r="G26" i="14"/>
  <c r="I12" i="25"/>
  <c r="I13" i="25" s="1"/>
  <c r="B15" i="2" s="1"/>
  <c r="B16" i="2" s="1"/>
  <c r="G19" i="16"/>
  <c r="G26" i="13"/>
  <c r="G27" i="14"/>
  <c r="G44" i="14" s="1"/>
  <c r="G26" i="15"/>
  <c r="G27" i="15" s="1"/>
  <c r="G40" i="15"/>
  <c r="G42" i="15" s="1"/>
  <c r="G26" i="16"/>
  <c r="C120" i="8"/>
  <c r="B18" i="3" s="1"/>
  <c r="I11" i="25"/>
  <c r="B19" i="3"/>
  <c r="D12" i="7"/>
  <c r="E12" i="7" s="1"/>
  <c r="D7" i="7"/>
  <c r="E7" i="7" s="1"/>
  <c r="D37" i="2"/>
  <c r="G19" i="13"/>
  <c r="G26" i="17"/>
  <c r="G28" i="17" s="1"/>
  <c r="G41" i="17"/>
  <c r="G43" i="17" s="1"/>
  <c r="F8" i="26"/>
  <c r="F11" i="26" s="1"/>
  <c r="C58" i="8"/>
  <c r="J159" i="10"/>
  <c r="C159" i="10" s="1"/>
  <c r="C161" i="10" s="1"/>
  <c r="B11" i="26"/>
  <c r="B15" i="26" s="1"/>
  <c r="B12" i="3"/>
  <c r="B16" i="5"/>
  <c r="B12" i="2"/>
  <c r="E8" i="27"/>
  <c r="F8" i="27"/>
  <c r="E8" i="7"/>
  <c r="E14" i="7"/>
  <c r="E15" i="7"/>
  <c r="E10" i="27"/>
  <c r="F10" i="27"/>
  <c r="E15" i="27" l="1"/>
  <c r="F16" i="27"/>
  <c r="E16" i="27"/>
  <c r="F11" i="7"/>
  <c r="D13" i="27"/>
  <c r="E14" i="27"/>
  <c r="F14" i="27"/>
  <c r="B23" i="5"/>
  <c r="B25" i="5" s="1"/>
  <c r="F7" i="7"/>
  <c r="F13" i="7"/>
  <c r="B18" i="2"/>
  <c r="G27" i="16"/>
  <c r="G27" i="13"/>
  <c r="H43" i="17"/>
  <c r="D10" i="7"/>
  <c r="E10" i="7" s="1"/>
  <c r="F12" i="7"/>
  <c r="B21" i="3"/>
  <c r="B24" i="3" s="1"/>
  <c r="E14" i="26" s="1"/>
  <c r="E15" i="26" s="1"/>
  <c r="F10" i="7"/>
  <c r="D20" i="27" l="1"/>
  <c r="F20" i="27" s="1"/>
  <c r="D21" i="27"/>
  <c r="D17" i="7"/>
  <c r="F13" i="27"/>
  <c r="E13" i="27"/>
  <c r="F17" i="7"/>
  <c r="E8" i="4"/>
  <c r="F8" i="4" s="1"/>
  <c r="F13" i="4" s="1"/>
  <c r="F14" i="4" s="1"/>
  <c r="F14" i="26"/>
  <c r="F15" i="26" s="1"/>
  <c r="C57" i="8"/>
  <c r="C60" i="8" s="1"/>
  <c r="B33" i="2"/>
  <c r="E20" i="4" l="1"/>
  <c r="F20" i="4" s="1"/>
  <c r="F21" i="4" s="1"/>
  <c r="B35" i="2"/>
  <c r="B36" i="2" s="1"/>
</calcChain>
</file>

<file path=xl/comments1.xml><?xml version="1.0" encoding="utf-8"?>
<comments xmlns="http://schemas.openxmlformats.org/spreadsheetml/2006/main">
  <authors>
    <author>Altagracia Bido</author>
  </authors>
  <commentList>
    <comment ref="A14" authorId="0" shapeId="0">
      <text>
        <r>
          <rPr>
            <b/>
            <sz val="9"/>
            <color indexed="81"/>
            <rFont val="Tahoma"/>
            <family val="2"/>
          </rPr>
          <t>Altagracia Bido: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aquí va es ; Saldo al 30 de junio 2023</t>
        </r>
      </text>
    </comment>
  </commentList>
</comments>
</file>

<file path=xl/comments2.xml><?xml version="1.0" encoding="utf-8"?>
<comments xmlns="http://schemas.openxmlformats.org/spreadsheetml/2006/main">
  <authors>
    <author>contabilidad</author>
  </authors>
  <commentList>
    <comment ref="C9" authorId="0" shapeId="0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FONDO GENERAL 100</t>
        </r>
      </text>
    </comment>
    <comment ref="D17" authorId="0" shapeId="0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SOBRE EJECUCION FINANCIADA POR EL FONDO GENERAL 100</t>
        </r>
      </text>
    </comment>
  </commentList>
</comments>
</file>

<file path=xl/comments3.xml><?xml version="1.0" encoding="utf-8"?>
<comments xmlns="http://schemas.openxmlformats.org/spreadsheetml/2006/main">
  <authors>
    <author>contabilidad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este activo fue adquirido en octubre 2021 ( Para reflejar su depreciacion durante el año 2022 a manera, por lo que no refleja </t>
        </r>
      </text>
    </comment>
  </commentList>
</comments>
</file>

<file path=xl/comments4.xml><?xml version="1.0" encoding="utf-8"?>
<comments xmlns="http://schemas.openxmlformats.org/spreadsheetml/2006/main">
  <authors>
    <author>contabilidad</author>
  </authors>
  <commentList>
    <comment ref="F470" authorId="0" shapeId="0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POSEE N/C
</t>
        </r>
      </text>
    </comment>
    <comment ref="P470" authorId="0" shapeId="0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POSEE N/C
</t>
        </r>
      </text>
    </comment>
  </commentList>
</comments>
</file>

<file path=xl/sharedStrings.xml><?xml version="1.0" encoding="utf-8"?>
<sst xmlns="http://schemas.openxmlformats.org/spreadsheetml/2006/main" count="56145" uniqueCount="4301">
  <si>
    <t>Activos</t>
  </si>
  <si>
    <t>Activos corrientes</t>
  </si>
  <si>
    <t>Total activos corrientes</t>
  </si>
  <si>
    <t>Activos no corrientes</t>
  </si>
  <si>
    <t>Total activos no corrientes</t>
  </si>
  <si>
    <t>Total activos</t>
  </si>
  <si>
    <t>Total pasivos corrientes</t>
  </si>
  <si>
    <t>Pasivos no corrientes</t>
  </si>
  <si>
    <t>Total pasivos no corrientes</t>
  </si>
  <si>
    <t>Total pasivos</t>
  </si>
  <si>
    <t>Capital</t>
  </si>
  <si>
    <t>Estado de Situación Financiera</t>
  </si>
  <si>
    <t xml:space="preserve"> (Valores en RD$)</t>
  </si>
  <si>
    <t xml:space="preserve">Efectivo y equivalente de efectivo (Notas 7) </t>
  </si>
  <si>
    <t>Estado de Rendimiento Financiero</t>
  </si>
  <si>
    <t>Impuestos</t>
  </si>
  <si>
    <t>Ingresos por transacciones con contraprestación</t>
  </si>
  <si>
    <t>Recargos, multas y otros ingresos</t>
  </si>
  <si>
    <t>Total ingresos</t>
  </si>
  <si>
    <t>Sueldos, salarios y beneficios a empleados</t>
  </si>
  <si>
    <t>Subvenciones y otros pagos por transferencias</t>
  </si>
  <si>
    <t>Suministros y material para consumo</t>
  </si>
  <si>
    <t>Gasto de depreciación y amortización</t>
  </si>
  <si>
    <t>Otros gastos</t>
  </si>
  <si>
    <t>Gastos financieros</t>
  </si>
  <si>
    <t>Total gastos</t>
  </si>
  <si>
    <t>Resultado del período (ahorro / desahorro)</t>
  </si>
  <si>
    <t>Estado de Cambio de Activo Neto / Patrimonio</t>
  </si>
  <si>
    <t>(Valores en RD$)</t>
  </si>
  <si>
    <t>Capital Aportado</t>
  </si>
  <si>
    <t>Cambios en Políticas Contables</t>
  </si>
  <si>
    <t>Revaluación</t>
  </si>
  <si>
    <t>Resultados Acumulados</t>
  </si>
  <si>
    <t>Ajuste al patrimonio</t>
  </si>
  <si>
    <t>Resultado del período</t>
  </si>
  <si>
    <t>Efecto del gasto de depreciación de los activos revaluados</t>
  </si>
  <si>
    <t>Total Activos Netos / Patrimonio</t>
  </si>
  <si>
    <t>Estado de Flujo de Efectivo</t>
  </si>
  <si>
    <t>Flujo de efectivo procedentes de actividades operativas</t>
  </si>
  <si>
    <t>Pagos a proveedores</t>
  </si>
  <si>
    <t>Otros pagos</t>
  </si>
  <si>
    <t>Flujos de efectivo netos de las actividades de operación</t>
  </si>
  <si>
    <t>Flujos de efectivo de las actividades de inversión</t>
  </si>
  <si>
    <t>Pagos por adquisición de propiedad, planta y equipo</t>
  </si>
  <si>
    <t>Flujos de efectivo netos por las actividades de inversión</t>
  </si>
  <si>
    <t>Efectivo y equivalentes al efectivo al final del periodo</t>
  </si>
  <si>
    <t>Presupuesto sobre la Base de Efectivo</t>
  </si>
  <si>
    <t>(Clasificación de Ingresos y Gastos por Objeto)</t>
  </si>
  <si>
    <t xml:space="preserve">Cambio en políticas contables </t>
  </si>
  <si>
    <t>Revaluación de Propiedad, planta y equipo</t>
  </si>
  <si>
    <t>Cobros por venta de bienes y servicios y arrendamientos</t>
  </si>
  <si>
    <t>Pagos a los trabajadores o en beneficio de ellos</t>
  </si>
  <si>
    <t xml:space="preserve">Pagos por contribuciones a la seguridad social </t>
  </si>
  <si>
    <t>Variación (D=A-B)</t>
  </si>
  <si>
    <t xml:space="preserve">Estado de Comparación de los Importes Presupuestados y Realizados </t>
  </si>
  <si>
    <t>% de Variac Ejecución (C=B/A)</t>
  </si>
  <si>
    <t>Resultado acumulado</t>
  </si>
  <si>
    <t xml:space="preserve">Resultados positivos (ahorro)/negativo (desahorro) </t>
  </si>
  <si>
    <t>Patrimonio Neto</t>
  </si>
  <si>
    <t>Pasivos corrientes</t>
  </si>
  <si>
    <t>___________________________</t>
  </si>
  <si>
    <t>Total Activos Netos/Patrimonio mas Pasivos</t>
  </si>
  <si>
    <t>Concepto</t>
  </si>
  <si>
    <t>Presupuesto Reformado (A)</t>
  </si>
  <si>
    <t>Presupuesto Ejecutado (B)</t>
  </si>
  <si>
    <t>Ingresos totales</t>
  </si>
  <si>
    <t>Ingresos por contraprestación</t>
  </si>
  <si>
    <t>Otros ingresos</t>
  </si>
  <si>
    <t>Gastos totales</t>
  </si>
  <si>
    <t>Remuneraciones y contribuciones</t>
  </si>
  <si>
    <t>Contratación de servicios</t>
  </si>
  <si>
    <t>Materiales y suministros</t>
  </si>
  <si>
    <t>Transferencias corrientes</t>
  </si>
  <si>
    <t>Bienes muebles, inmuebles e intangibles</t>
  </si>
  <si>
    <r>
      <rPr>
        <b/>
        <sz val="14"/>
        <color rgb="FF231F20"/>
        <rFont val="Times New Roman"/>
        <family val="1"/>
      </rPr>
      <t>Resultado financiero (1-2)</t>
    </r>
  </si>
  <si>
    <t xml:space="preserve">                                                                                                    </t>
  </si>
  <si>
    <t>Terreno</t>
  </si>
  <si>
    <t>Infraestructura</t>
  </si>
  <si>
    <t>Maq. Y Equipos</t>
  </si>
  <si>
    <t>Total</t>
  </si>
  <si>
    <t>Saldo al final del periodo</t>
  </si>
  <si>
    <t xml:space="preserve">Dep. Acum. al inicio del periodo  </t>
  </si>
  <si>
    <t>Cargo del periodo</t>
  </si>
  <si>
    <t>Nota #7 Efectivo y equivalentes de efectivo.</t>
  </si>
  <si>
    <t>Equipo,Transp y otros</t>
  </si>
  <si>
    <t>Edif. Y comp.</t>
  </si>
  <si>
    <t>Mob. Y equ. de ofic.</t>
  </si>
  <si>
    <t>Const. En Proceso</t>
  </si>
  <si>
    <t xml:space="preserve">Descripción                                                                                   </t>
  </si>
  <si>
    <t xml:space="preserve">Descripción                                                                              </t>
  </si>
  <si>
    <t xml:space="preserve">Descripción                                                                                  </t>
  </si>
  <si>
    <t xml:space="preserve">Descripción                                                                                       </t>
  </si>
  <si>
    <t xml:space="preserve">Sueldos                                                                                                 </t>
  </si>
  <si>
    <t>Sueldos fijos</t>
  </si>
  <si>
    <t>Sueldos al personal contratado o igualado</t>
  </si>
  <si>
    <t>Contribuciones al seguro de salud</t>
  </si>
  <si>
    <t>Contribuciones al seguro de pensiones</t>
  </si>
  <si>
    <t>Contribuciones al seguro de riesgo laboral</t>
  </si>
  <si>
    <t>Ayudas y donaciones ocasionales a hogares y personas</t>
  </si>
  <si>
    <t>Alimentos y bebidas para personas</t>
  </si>
  <si>
    <t>Hilados y telas</t>
  </si>
  <si>
    <t>Acabados textiles</t>
  </si>
  <si>
    <t>Prendas de vestir</t>
  </si>
  <si>
    <t>Productos de Papel. Cartón e impresos</t>
  </si>
  <si>
    <t>Papel de escritorio</t>
  </si>
  <si>
    <t>Libros, revistas y periodicos</t>
  </si>
  <si>
    <t>Especies timbradas</t>
  </si>
  <si>
    <t>Productos medicinales</t>
  </si>
  <si>
    <t>Articulos de caucho</t>
  </si>
  <si>
    <t>Articulos de plásticos</t>
  </si>
  <si>
    <t>Productos de Cemento</t>
  </si>
  <si>
    <t>Productos de cal</t>
  </si>
  <si>
    <t>Prodcutos de porcelana</t>
  </si>
  <si>
    <t>Herramientas menores</t>
  </si>
  <si>
    <t>Productos de hojalata</t>
  </si>
  <si>
    <t>Accesorio de metal</t>
  </si>
  <si>
    <t>Gasolina</t>
  </si>
  <si>
    <t>Gasoil</t>
  </si>
  <si>
    <t>Gas GLP</t>
  </si>
  <si>
    <t>Insecticidas, fumigantes y otros</t>
  </si>
  <si>
    <t>Pinturas, lacas, barnices, diluyentes y absorventes para pinturas</t>
  </si>
  <si>
    <t>Material para limpieza</t>
  </si>
  <si>
    <r>
      <rPr>
        <sz val="11"/>
        <color theme="1"/>
        <rFont val="Calibri"/>
        <family val="2"/>
      </rPr>
      <t>Ú</t>
    </r>
    <r>
      <rPr>
        <sz val="11"/>
        <color theme="1"/>
        <rFont val="Calibri"/>
        <family val="2"/>
        <scheme val="minor"/>
      </rPr>
      <t>tiles de escritorios, oficina informática y enseñanza</t>
    </r>
  </si>
  <si>
    <r>
      <rPr>
        <sz val="11"/>
        <color theme="1"/>
        <rFont val="Calibri"/>
        <family val="2"/>
      </rPr>
      <t>Ú</t>
    </r>
    <r>
      <rPr>
        <sz val="11"/>
        <color theme="1"/>
        <rFont val="Calibri"/>
        <family val="2"/>
        <scheme val="minor"/>
      </rPr>
      <t>tiles menores quirurgicos</t>
    </r>
  </si>
  <si>
    <t>Útiles destinados actividades deportivas y recreativas</t>
  </si>
  <si>
    <t>Útiles de cocina y comedor</t>
  </si>
  <si>
    <t>Productos eléctricos y afines</t>
  </si>
  <si>
    <t>Otros respuestos y accesorios menores</t>
  </si>
  <si>
    <t xml:space="preserve">Descripción                                                                                </t>
  </si>
  <si>
    <t>Depreciación de Mobiliarios, equipo de oficina y cómputos</t>
  </si>
  <si>
    <t>Depreciación equipos de transporte.</t>
  </si>
  <si>
    <t>Servicio de teléfono de larga distancia</t>
  </si>
  <si>
    <t>Teléfono local</t>
  </si>
  <si>
    <t>Servicio de internet y televisión por cable</t>
  </si>
  <si>
    <t>Agua</t>
  </si>
  <si>
    <t>Recoleción de residuos sólidos</t>
  </si>
  <si>
    <t>Pasaje</t>
  </si>
  <si>
    <t>Fletes</t>
  </si>
  <si>
    <t>Alquiler de equipo educacional</t>
  </si>
  <si>
    <t>Alquiler equipo de computación</t>
  </si>
  <si>
    <t>Alquiler equipo de comunicación</t>
  </si>
  <si>
    <t>Alquiler de equipo de oficina y muebles</t>
  </si>
  <si>
    <t>Obras menores en edificaciones</t>
  </si>
  <si>
    <t>Serviciios especiales de mantenimiento y reparación</t>
  </si>
  <si>
    <t>Limpieza, desmalezamiento de tierras y terrenos</t>
  </si>
  <si>
    <t>Instalaciones eléctricas</t>
  </si>
  <si>
    <t>Mantenimientos de reparación de maquinarias y equipos</t>
  </si>
  <si>
    <t>Gastos judiciales</t>
  </si>
  <si>
    <t>Fumigación</t>
  </si>
  <si>
    <t>Eventos generales</t>
  </si>
  <si>
    <t>Servicios técnicos y profesionales</t>
  </si>
  <si>
    <t>Comisiones bancarias</t>
  </si>
  <si>
    <t>Intereses sobre préstamos</t>
  </si>
  <si>
    <t>Cuenta Bancaria Venta de Servicios No. 010-390450-6</t>
  </si>
  <si>
    <t>Cuenta Bancaria Fondo de Anticipo No. 960-454417-5</t>
  </si>
  <si>
    <t xml:space="preserve">Cuentas por Cobrar por Ventas de Servicios                                                                   </t>
  </si>
  <si>
    <t xml:space="preserve">Cuentas por Cobrar Pacientes no Asegurados                                                           </t>
  </si>
  <si>
    <t>TOTAL GENERAL</t>
  </si>
  <si>
    <t xml:space="preserve">Inventario De Utiles y Suministro de Oficina                                                                   </t>
  </si>
  <si>
    <t>Inventario de Medicamentos</t>
  </si>
  <si>
    <t>Inventario de Laboratorio</t>
  </si>
  <si>
    <t>Inventario de Perecederos</t>
  </si>
  <si>
    <t>Retenciones por pagar 5%</t>
  </si>
  <si>
    <t>Retenciones por Pagar 10%</t>
  </si>
  <si>
    <t>Alimentos y Productos Agroforestales</t>
  </si>
  <si>
    <t>Productos de Papel, Carton e Impresos</t>
  </si>
  <si>
    <t>Combustibles, Lubricantes, Productos Quimicos y Conexos</t>
  </si>
  <si>
    <t>Productos y Utiles Varios</t>
  </si>
  <si>
    <t>Comisiones Bancarias</t>
  </si>
  <si>
    <t>Servicios Basicos</t>
  </si>
  <si>
    <t>Transporte y Almacenaje</t>
  </si>
  <si>
    <t>Alquileres</t>
  </si>
  <si>
    <t>Conservacion, Reparaciones Menores y Construcciones Temporales</t>
  </si>
  <si>
    <t>Otros Servicios No Personales</t>
  </si>
  <si>
    <t>Incentivo por Rendimiento Individual</t>
  </si>
  <si>
    <t>Otros Alquileres</t>
  </si>
  <si>
    <t>Productos químicos de uso personal y de laboratorios</t>
  </si>
  <si>
    <t>Utiles Varios</t>
  </si>
  <si>
    <t>Productos y útiles diversos</t>
  </si>
  <si>
    <t xml:space="preserve">Ingresos por Anticipo Financiero Cuenta Bancaria 960-454417-5            </t>
  </si>
  <si>
    <t>Efectivo y equivalentes al efectivo al principio del periodo 01/01/2022</t>
  </si>
  <si>
    <t>Remuneraciones al personal de carácter temporal</t>
  </si>
  <si>
    <t>Prestacion Laboral por desvinculacion</t>
  </si>
  <si>
    <t>Textiles y Vestuarios</t>
  </si>
  <si>
    <t>Otras Contrataciones de servicios</t>
  </si>
  <si>
    <t>Productos no ferrosos</t>
  </si>
  <si>
    <t>Mantenimiento y reparacion de equipo de oficina y muebles</t>
  </si>
  <si>
    <t>Otros servicios de mantenimiento y reparacion de maquinaria y equipos.</t>
  </si>
  <si>
    <t>Hospital Materno Infantil San Lorenzo de los Mina</t>
  </si>
  <si>
    <t>Ingresos por Fondos de Anticipo Financiero</t>
  </si>
  <si>
    <t>Ingresos por Venta de Servicos Hospitalarios</t>
  </si>
  <si>
    <t>Gastos Depreciacion</t>
  </si>
  <si>
    <t>Nota #8  Cuentas por cobrar a corto plazo</t>
  </si>
  <si>
    <t>Nota #9 Inventarios</t>
  </si>
  <si>
    <t>Nota#10 Propiedad planta y equipo</t>
  </si>
  <si>
    <t>Nota# 11 Cuentas por pagar a corto plazo</t>
  </si>
  <si>
    <t>Nota# 12 Retenciones y acumulaciones por pagar</t>
  </si>
  <si>
    <t>Nota# 13 Beneficios a empleados a corto plazo</t>
  </si>
  <si>
    <t>Nota# 14 Ingresos por transacciones con contraprestaciones</t>
  </si>
  <si>
    <t xml:space="preserve"> Nota # 15 Sueldos, Salarios y beneficios a empleados</t>
  </si>
  <si>
    <t>Nota# 16 Suministro y materiales para consumo</t>
  </si>
  <si>
    <t xml:space="preserve">Nota# 17 Gastos de depreciación y amortización </t>
  </si>
  <si>
    <t xml:space="preserve">Nota# 18 Otros gastos </t>
  </si>
  <si>
    <t xml:space="preserve">Nota# 19 Gastos Financieros </t>
  </si>
  <si>
    <t>Cuenta por cobrar a corto plazo (Notas 8)</t>
  </si>
  <si>
    <t>Inventarios (Nota 9)</t>
  </si>
  <si>
    <t>Propiedad, planta y equipo neto (Nota 10)</t>
  </si>
  <si>
    <t>Cuentas por pagar a corto plazo (Nota 11)</t>
  </si>
  <si>
    <t>Retenciones y acumulaciones por pagar (Nota 12)</t>
  </si>
  <si>
    <t>Beneficios a empleados a corto plazo (Nota 13)</t>
  </si>
  <si>
    <t>Nota# 18 Subvenciones y otros pagos por transferencias</t>
  </si>
  <si>
    <t>Licdo. Eugenio Rosario</t>
  </si>
  <si>
    <t>Encargado Administrativo y Financiero</t>
  </si>
  <si>
    <t>Licda. Milagros Martinez de la Rosa</t>
  </si>
  <si>
    <t>Contadora</t>
  </si>
  <si>
    <t>Dr. Leonardo Aquino</t>
  </si>
  <si>
    <t>Director General</t>
  </si>
  <si>
    <t>Las notas en las páginas 07 al 09 son parte integral de estos Estados Financieros.</t>
  </si>
  <si>
    <t>Nota a los Estados Financieros</t>
  </si>
  <si>
    <t xml:space="preserve">Activos Netos/Patrimonio </t>
  </si>
  <si>
    <t>Corte Semestral 31 de Julio 20222022</t>
  </si>
  <si>
    <t>Un detalle de los ingresos por transacciones con contraprestaciones al 31 de Julio 2022 de es como sigue::</t>
  </si>
  <si>
    <t>Un detalle de las cuentas sueldos, salarios, beneficios a empleados al31 de Julio 2022de es como sigue::</t>
  </si>
  <si>
    <t>Un detalle de la cuenta subvenciones y otros pagos por transferencia al31 de Julio 2022de es como sigue:: es como sigue:</t>
  </si>
  <si>
    <t>Un detalle de los gastos de suministro y materiales para consumo al 31 de Julio 2022de es como sigue:: es como sigue:</t>
  </si>
  <si>
    <t>Un detalle de los gastos de depreciación y amortización al 31 de Julio 2022de es como sigue:: es como sigue:</t>
  </si>
  <si>
    <t>Un detalle de otros gastos  al 31 de Julio 2022de es como sigue:: es como sigue:</t>
  </si>
  <si>
    <t>Un detalle de los gastos financieros   al 31 de Julio 2022de es como sigue:: es como sigue:</t>
  </si>
  <si>
    <t>Dirección de Control y Fiscalización</t>
  </si>
  <si>
    <t>Hospital Materno Infantil San Lorenzo de Los Mina</t>
  </si>
  <si>
    <t>Region Santo Domingo Este</t>
  </si>
  <si>
    <t>(Valore expresados en RD$)</t>
  </si>
  <si>
    <t>CUENTAS POR PAGAR AL 31/08/2022 DE AGOSTO  2022 (POR SUPLIDORES)</t>
  </si>
  <si>
    <t>#</t>
  </si>
  <si>
    <t>Suplidor</t>
  </si>
  <si>
    <t>Monto Deuda</t>
  </si>
  <si>
    <t>Acumulado 2015</t>
  </si>
  <si>
    <t>A &amp; S IMPORTADORA MEDICAS</t>
  </si>
  <si>
    <t>ACTUALIDADES  VD SRL</t>
  </si>
  <si>
    <t xml:space="preserve">ADALBERTO RAFEL SEVERINO RONDON </t>
  </si>
  <si>
    <t>ADLER AMICIS VALDEZ MARMOLEJOS</t>
  </si>
  <si>
    <t>AGAFARMED EIRL</t>
  </si>
  <si>
    <t xml:space="preserve">AIR LIQUIDE DOMINICANA, S. A. S. </t>
  </si>
  <si>
    <t>ALOHA IMPUTS DISTRIBUTION</t>
  </si>
  <si>
    <t>ALTAGRACIAS PHARMA SRL</t>
  </si>
  <si>
    <t>ALGEBRA PRODUTION SRL</t>
  </si>
  <si>
    <t>AMARAM ENTERPRISE, ERL</t>
  </si>
  <si>
    <t>ANEST</t>
  </si>
  <si>
    <t>ASK CONSULTING GROUP SRL</t>
  </si>
  <si>
    <t>AYUNTAMIENTO STO DGO ESTE</t>
  </si>
  <si>
    <t xml:space="preserve">BELLO LAB SRL </t>
  </si>
  <si>
    <t xml:space="preserve">BIO-NUCLEAR SA </t>
  </si>
  <si>
    <t>BIOVERDOLAGA, LAB DOMINICANO, SRL</t>
  </si>
  <si>
    <t>BIO-WIN, S.A</t>
  </si>
  <si>
    <t>BRONTILLO</t>
  </si>
  <si>
    <t>C&amp;C SALUD</t>
  </si>
  <si>
    <t>CAASD</t>
  </si>
  <si>
    <t>CALPEQ COMERCIAL</t>
  </si>
  <si>
    <t>CLAPE, S.R.L</t>
  </si>
  <si>
    <t>CARIBEAN MEDIA</t>
  </si>
  <si>
    <t>CEMEDI</t>
  </si>
  <si>
    <t>CASIMIRO MORETA</t>
  </si>
  <si>
    <t>CENTRO DE DIALISIS MOVIL GONZALEZ GONZALEZ</t>
  </si>
  <si>
    <t>CENTRO DE LA SANGRE Y ESPECIALIDADES</t>
  </si>
  <si>
    <t>CIENCIAS TECNOLOGIA Y CONSULTAS (CIENTEC)</t>
  </si>
  <si>
    <t>CIRCUIMED, SRL</t>
  </si>
  <si>
    <t>COMEDORES ECONOMICOS</t>
  </si>
  <si>
    <t>COMERCIALIZADORA DE ALIMENTOS PIÑARIAS, SRL</t>
  </si>
  <si>
    <t>CONSORCIO TOOLS &amp; RESOURCES- ECOCISA</t>
  </si>
  <si>
    <t>CONSTRUTORA DE PROYECTOS SARIH, SRL</t>
  </si>
  <si>
    <t>CORPORACION LEGIS, SRL</t>
  </si>
  <si>
    <t>COPEM HOSPICLINIC</t>
  </si>
  <si>
    <t>CRISTALIA</t>
  </si>
  <si>
    <t>CRISTINA ROSARIO ROSARIO</t>
  </si>
  <si>
    <t>CUSTOMED DOMINICANA, SRL.</t>
  </si>
  <si>
    <t>DAIKUI COMERCIAL</t>
  </si>
  <si>
    <t>DANILO MATA ROSARIO(MAQUINOR)</t>
  </si>
  <si>
    <t>DENTAL COSMETIC DR. PONCEANO, SRL</t>
  </si>
  <si>
    <t>DESECHEBLES FELIX &amp; BRAVO</t>
  </si>
  <si>
    <t>DESIGN, S.R.L</t>
  </si>
  <si>
    <t>DELIA JOSEFINA TATIS PERDOMO</t>
  </si>
  <si>
    <t>DIAMELAB, S.R.L</t>
  </si>
  <si>
    <t>DISTRIBUTION SERVICES GROUP (DISEGO)</t>
  </si>
  <si>
    <t>DIMERCA, S.R.L</t>
  </si>
  <si>
    <t>DIOLAT</t>
  </si>
  <si>
    <t>EME SOLUCIONES ELECTRICAS</t>
  </si>
  <si>
    <t>EPX DOMINICANA, SRL</t>
  </si>
  <si>
    <t>EXPRESS SERVICE CONSERG EXSERCON</t>
  </si>
  <si>
    <t>FARACH ,S.A</t>
  </si>
  <si>
    <t>FARMACIA EUROPA C POR A</t>
  </si>
  <si>
    <t>FARMACIA RUTH</t>
  </si>
  <si>
    <t>FARNASA,S.R.L.</t>
  </si>
  <si>
    <t xml:space="preserve">FEDERICO JOSE LLUBERES </t>
  </si>
  <si>
    <t>FRAVAX</t>
  </si>
  <si>
    <t>FRIFARMA, SRL</t>
  </si>
  <si>
    <t>GASTABLES DEL CARIBE, S.R.L.</t>
  </si>
  <si>
    <t>GEFARCA INSDUTRIA FARMACEUTICA</t>
  </si>
  <si>
    <t xml:space="preserve">   </t>
  </si>
  <si>
    <t>GLOBAL MULTI- PHARMA DOMINICA</t>
  </si>
  <si>
    <t>GRUPO Z HEAL THCARE PRODUCTS</t>
  </si>
  <si>
    <t>HAUSPITAL</t>
  </si>
  <si>
    <t>HIGIENE SUPLY SRL</t>
  </si>
  <si>
    <t>HOSPIFAR</t>
  </si>
  <si>
    <t xml:space="preserve">HOSPIRED </t>
  </si>
  <si>
    <t>HOSPITECH</t>
  </si>
  <si>
    <t xml:space="preserve">I.M.D. MEDIC-INTER,SRL </t>
  </si>
  <si>
    <t xml:space="preserve">IDEAL PRINT </t>
  </si>
  <si>
    <t>IG. M&amp;R INSULAR GROUP</t>
  </si>
  <si>
    <t>INDUMICA, S.R.L.</t>
  </si>
  <si>
    <t>ING. JOSE ANTONIO SANCHEZ</t>
  </si>
  <si>
    <t>INGENERIA TECNOLOGIA Y SERVICIOS  OROZCO</t>
  </si>
  <si>
    <t>INNOVACIONES MEDICAS DEL CARIBE</t>
  </si>
  <si>
    <t>INSERT OFFICE</t>
  </si>
  <si>
    <t>INVERSIONES DOS PUNTAS, S,R.L</t>
  </si>
  <si>
    <t xml:space="preserve">INVERSIONES TARAMACA </t>
  </si>
  <si>
    <t>JEL SERVICES, S.R.L</t>
  </si>
  <si>
    <t xml:space="preserve">JENAMA COMPANY SRL </t>
  </si>
  <si>
    <t>JOB COMERCIAL</t>
  </si>
  <si>
    <t>JOCACE, S.A</t>
  </si>
  <si>
    <t>JONES FARMACEUTICA</t>
  </si>
  <si>
    <t>KELNET COMPUTER, SRL</t>
  </si>
  <si>
    <t>KILNES SOLUTIONS</t>
  </si>
  <si>
    <t>KUMAGY SRL</t>
  </si>
  <si>
    <t>KYANRED SUPPLY, SRL</t>
  </si>
  <si>
    <t>LAB. CLINICO LIC. PATRIA RIVAS</t>
  </si>
  <si>
    <t>LABORATORIO QUIMICO, J.A.F.S.A</t>
  </si>
  <si>
    <t>LAMBDA DIAGNOSTICOS</t>
  </si>
  <si>
    <t>LEFP CONSULTORES</t>
  </si>
  <si>
    <t>LEROMED  FHARMA</t>
  </si>
  <si>
    <t>LINKDICOM, S.R.L</t>
  </si>
  <si>
    <t>LOLA EVENTOS</t>
  </si>
  <si>
    <t>LORATOR</t>
  </si>
  <si>
    <t>LUFISA COMERCIAL</t>
  </si>
  <si>
    <t>LUMERCON SRL</t>
  </si>
  <si>
    <t>LUZ ESTER BATISTA PEREZ</t>
  </si>
  <si>
    <t>MACROTECH</t>
  </si>
  <si>
    <t>MAX BIO PHARMA, S.R.L</t>
  </si>
  <si>
    <t>MATENERGIA ELECTRICA Y ABASTECIMIENTOS</t>
  </si>
  <si>
    <t>MECALA IMPORTADORA S.R.L</t>
  </si>
  <si>
    <t>MEDINA &amp; SMITH CONEXIÓN,SRL</t>
  </si>
  <si>
    <t>MEGA FRIO SRL</t>
  </si>
  <si>
    <t>MELOJALLOT MEDICAL</t>
  </si>
  <si>
    <t>MERCADO MEDIA</t>
  </si>
  <si>
    <t>MORAMI SRL</t>
  </si>
  <si>
    <t>MULT.SERV.ASCENSORES DEL CARIBE EIRL</t>
  </si>
  <si>
    <t>OFICCLIN  COMERCIAL</t>
  </si>
  <si>
    <t>ORTRO CHEMICAL, S. A.</t>
  </si>
  <si>
    <t xml:space="preserve">PAPELERIA E IMPRESOS CHRISHOAN </t>
  </si>
  <si>
    <t xml:space="preserve">PAT MELL </t>
  </si>
  <si>
    <t>PRO GESTION</t>
  </si>
  <si>
    <t>PRODUCTOS  MEDICINALES, SRL</t>
  </si>
  <si>
    <t>PRODUCTOS CANO(URSULA DILCIA)</t>
  </si>
  <si>
    <t>PROFARES SRL</t>
  </si>
  <si>
    <t>PROQUIA SRL</t>
  </si>
  <si>
    <t>REFRI SERVICES &amp; MAS FERMIN GOMEZ</t>
  </si>
  <si>
    <t>REMEGAL</t>
  </si>
  <si>
    <t>RENACER S.R.L</t>
  </si>
  <si>
    <t>RONAJUS FARMACEUTICA SRL</t>
  </si>
  <si>
    <t>ROPHARMA, SRL</t>
  </si>
  <si>
    <t>RYS SOLUCIONES E INVERSIONES INTEGRALES, SRL</t>
  </si>
  <si>
    <t>SANCHEZ Y MANCEBO SA</t>
  </si>
  <si>
    <t>SANDRY GOMEZ RODRIGUEZ</t>
  </si>
  <si>
    <t>SANOZ FARMACEUTICA, S.A</t>
  </si>
  <si>
    <t>SEAN DOMINICAN SRL</t>
  </si>
  <si>
    <t>SERBIOMED S.R.L</t>
  </si>
  <si>
    <t>SERTEDI, SRL</t>
  </si>
  <si>
    <t>SERVI SALUD  PREMIM</t>
  </si>
  <si>
    <t>SERVIAMED  DOMINICANA,SRL</t>
  </si>
  <si>
    <t>SERVICIOS HOSPITALARIOS</t>
  </si>
  <si>
    <t>SERVIMER DOMINICANA, S.R.L</t>
  </si>
  <si>
    <t>SIGMA FARMA SRL</t>
  </si>
  <si>
    <t>SLY KING GROUP SRL</t>
  </si>
  <si>
    <t>SOCIEDAD DOMINICANA DE GASTROENTEROLOGIA</t>
  </si>
  <si>
    <t>SUPLIDORA AMANILD, S.R.L</t>
  </si>
  <si>
    <t>SUPLIDORA ANEL, SRL</t>
  </si>
  <si>
    <t>SUPLIDORA DE CARNES Y EMBUTIDOS EL ANILLO</t>
  </si>
  <si>
    <t>SUPLIDORES Y LOGISTICA SRL (SULOGICA)</t>
  </si>
  <si>
    <t>SUPLIMED</t>
  </si>
  <si>
    <t>SUPLIRAMI, S.R.L.</t>
  </si>
  <si>
    <t>TENDAMED</t>
  </si>
  <si>
    <t>TINTAS GL</t>
  </si>
  <si>
    <t>TONER DEPOT, SRL</t>
  </si>
  <si>
    <t>TU AMIGO, S.R.L</t>
  </si>
  <si>
    <t>TROPIGAS</t>
  </si>
  <si>
    <t>UBALDO SUPLY</t>
  </si>
  <si>
    <t>UNICOMER</t>
  </si>
  <si>
    <t>VANGUARDIA SALUD, SRL</t>
  </si>
  <si>
    <t>VENDIFAR, S.R.L</t>
  </si>
  <si>
    <t>Z&amp;R</t>
  </si>
  <si>
    <t>DEUDA EN PODER DEL HOSPITAL SAN LORENZO DE LOS MINA</t>
  </si>
  <si>
    <t>DEUDA REMITIDA AL SERVICIO NACIONAL DE SALUD</t>
  </si>
  <si>
    <t>PREPARADO POR  Yohanna Cabrera</t>
  </si>
  <si>
    <t>CONTADOR (a) NATIVIDAD DE JESUS GOMEZ</t>
  </si>
  <si>
    <t>ADMINISTRADOR. LCDO. EUGENIO ROSARIO ROSARIO</t>
  </si>
  <si>
    <t>DIRECTOR.  DR. LEONARDO AQUINO ROSARIO</t>
  </si>
  <si>
    <t>EMPRESAS CABOD EIRL</t>
  </si>
  <si>
    <t>PRODUCTOS CANO</t>
  </si>
  <si>
    <t>COMPRA MED, S.R.L</t>
  </si>
  <si>
    <t>Conciliación Bancaria al 31 de diciembre 2022</t>
  </si>
  <si>
    <t>Banco:</t>
  </si>
  <si>
    <t>BANRESERVAS</t>
  </si>
  <si>
    <t>CUENTA: 010-390450-6</t>
  </si>
  <si>
    <t>LIBRO</t>
  </si>
  <si>
    <t>BALANCE EN INICIAL AL 1ERO DEL MES DE DICIEMBRE 2022</t>
  </si>
  <si>
    <t>MAS:</t>
  </si>
  <si>
    <t>Reintegro ck 36940</t>
  </si>
  <si>
    <t>Transferencia reintegradas</t>
  </si>
  <si>
    <t>Deposito</t>
  </si>
  <si>
    <t>Nota de Credito</t>
  </si>
  <si>
    <t>MENOS:</t>
  </si>
  <si>
    <t>Cheques Emitidos</t>
  </si>
  <si>
    <t>Nominas</t>
  </si>
  <si>
    <t>Cargos Bancarios</t>
  </si>
  <si>
    <t xml:space="preserve">Transferencia </t>
  </si>
  <si>
    <t>Nota de Debito</t>
  </si>
  <si>
    <t>Total de Debitos</t>
  </si>
  <si>
    <t xml:space="preserve">TOTAL CONCILIADO </t>
  </si>
  <si>
    <t>BANCO</t>
  </si>
  <si>
    <t>BALANCE EN BANCO</t>
  </si>
  <si>
    <t>Depósitos en tránsito</t>
  </si>
  <si>
    <t>TOTAL DISPONIBLE</t>
  </si>
  <si>
    <t>Transferencia</t>
  </si>
  <si>
    <t>Cheques en transito</t>
  </si>
  <si>
    <t>CUENTA: 960-454417-5</t>
  </si>
  <si>
    <t>Reintegro CB</t>
  </si>
  <si>
    <t>Reintegro de Transferencias 1614</t>
  </si>
  <si>
    <t>Licda.  Milagros Martinez de la Rosa</t>
  </si>
  <si>
    <t xml:space="preserve"> </t>
  </si>
  <si>
    <t>Conciliación Bancaria al 31 de enero 2023</t>
  </si>
  <si>
    <t>BALANCE EN INICIAL AL 1ERO DEL MES DE ENERO 2023</t>
  </si>
  <si>
    <t xml:space="preserve">Preparado por: </t>
  </si>
  <si>
    <t>Analista Financiera</t>
  </si>
  <si>
    <t>Aprobado Por</t>
  </si>
  <si>
    <t>Licdo Eugenio Rosario Rosario</t>
  </si>
  <si>
    <t>Director Administrativo y Financiero</t>
  </si>
  <si>
    <t>EINHEIT, SRL</t>
  </si>
  <si>
    <t xml:space="preserve"> Del ejercicio terminado al 31 de diciembre 2023</t>
  </si>
  <si>
    <t xml:space="preserve">Licda. Milagros Martinez </t>
  </si>
  <si>
    <t>BALANCE EN INICIAL AL 1ERO DEL MES DE MARZO 2023</t>
  </si>
  <si>
    <t>CUENTA: Cta. 960-454417-5</t>
  </si>
  <si>
    <t>KATMORE, SRL</t>
  </si>
  <si>
    <t>Conciliación Bancaria al30 de abril 2023</t>
  </si>
  <si>
    <t>GA INTERPRISE IMPORT, SRL</t>
  </si>
  <si>
    <t>Q&amp;Q MEDICAL</t>
  </si>
  <si>
    <t>BLAXCORP MEDICAL, SRL</t>
  </si>
  <si>
    <t>SUPER LAPTOP</t>
  </si>
  <si>
    <t>Transferencia en transito</t>
  </si>
  <si>
    <t>SMART SUPPLY MEDICAL DOMINICANA, SRL</t>
  </si>
  <si>
    <t>ARIZA BATLLE &amp; CO, SRL</t>
  </si>
  <si>
    <t>INSOCORP</t>
  </si>
  <si>
    <t>Conciliación Bancaria al 30 de septiembre 2023</t>
  </si>
  <si>
    <t>BALANCE EN INICIAL AL 1ERO DEL MES DE SEPTIEMBRE 2023</t>
  </si>
  <si>
    <t>Reintegro</t>
  </si>
  <si>
    <t>BALANCE EN INICIAL AL 1ERO DEL MES SEPTIEMBRE 2023</t>
  </si>
  <si>
    <t>Saldo al  31 de diciembre 2022</t>
  </si>
  <si>
    <t>Servicio Nacional de Salud</t>
  </si>
  <si>
    <t>AÑO</t>
  </si>
  <si>
    <t>TOTAL</t>
  </si>
  <si>
    <t xml:space="preserve">LABORATORIO QUIMICO J.A.F.S.A, </t>
  </si>
  <si>
    <t>N/S</t>
  </si>
  <si>
    <t>Galones de cloro y desifantante</t>
  </si>
  <si>
    <t>S/N</t>
  </si>
  <si>
    <t>GEFARCA INDUTRIA FARMACEUTICA PEREZ ESPINOSA,  C. POR A.</t>
  </si>
  <si>
    <t>19301</t>
  </si>
  <si>
    <t>Broncosamol solucion 20ml</t>
  </si>
  <si>
    <t>51908749 / 53680282</t>
  </si>
  <si>
    <t>SERVICIOS DE AGUA</t>
  </si>
  <si>
    <t>53628425 / 55612019</t>
  </si>
  <si>
    <t>55762890 / 57563516</t>
  </si>
  <si>
    <t>57742426 / 59830745</t>
  </si>
  <si>
    <t>60019251 / 62053746</t>
  </si>
  <si>
    <t>6225761 / 64111504</t>
  </si>
  <si>
    <t>64358222 / 67319668</t>
  </si>
  <si>
    <t>NO.0711</t>
  </si>
  <si>
    <t>medicamentos</t>
  </si>
  <si>
    <t>NO.0712</t>
  </si>
  <si>
    <t>NO.0713</t>
  </si>
  <si>
    <t>NO.0714</t>
  </si>
  <si>
    <t>NO.0715</t>
  </si>
  <si>
    <t>NO.0716</t>
  </si>
  <si>
    <t>NO.0762</t>
  </si>
  <si>
    <t>util menor med.quirurgcio</t>
  </si>
  <si>
    <t>NO.0758</t>
  </si>
  <si>
    <t>NO.0763</t>
  </si>
  <si>
    <t>NO.0764</t>
  </si>
  <si>
    <t>NO.1062</t>
  </si>
  <si>
    <t>NO.1063</t>
  </si>
  <si>
    <t>NO.1053</t>
  </si>
  <si>
    <t xml:space="preserve">Compra de reactivos y util med. </t>
  </si>
  <si>
    <t>NO.1064</t>
  </si>
  <si>
    <t>1936</t>
  </si>
  <si>
    <t>A0100100115500001229</t>
  </si>
  <si>
    <t>Compra de medicamentos utliles medico</t>
  </si>
  <si>
    <t>NO.1065</t>
  </si>
  <si>
    <t>NO.1094</t>
  </si>
  <si>
    <t>NO.1095</t>
  </si>
  <si>
    <t>NO.1097</t>
  </si>
  <si>
    <t>NO.1096</t>
  </si>
  <si>
    <t>NO.1220</t>
  </si>
  <si>
    <t>NO.1219</t>
  </si>
  <si>
    <t>NO.1217</t>
  </si>
  <si>
    <t>67544661 / 69401910</t>
  </si>
  <si>
    <t>NO.2038</t>
  </si>
  <si>
    <t xml:space="preserve">Compra de bupivacaina y biosidex </t>
  </si>
  <si>
    <t>NO.1957</t>
  </si>
  <si>
    <t>NO.1654</t>
  </si>
  <si>
    <t>Compra de medicamentos</t>
  </si>
  <si>
    <t>NO.1579</t>
  </si>
  <si>
    <t>A0100100115500001237</t>
  </si>
  <si>
    <t>Compra de utliles medico</t>
  </si>
  <si>
    <t>NO.2013</t>
  </si>
  <si>
    <t>NO.1958</t>
  </si>
  <si>
    <t>A0100100115500001238</t>
  </si>
  <si>
    <t>SANCHEZ Y MANCEBO, S. A.</t>
  </si>
  <si>
    <t>Compra de combustible para la caldera</t>
  </si>
  <si>
    <t>combustible para la planta</t>
  </si>
  <si>
    <t>alcohol isopropilico al 99%</t>
  </si>
  <si>
    <t>tickest combustible</t>
  </si>
  <si>
    <t>Gasto por servico grafico</t>
  </si>
  <si>
    <t>combustible p/planta</t>
  </si>
  <si>
    <t>A0100100115500001230</t>
  </si>
  <si>
    <t>A0100100115500001231</t>
  </si>
  <si>
    <t>A0100100115500001232</t>
  </si>
  <si>
    <t>Compra de nevera ejecutiva</t>
  </si>
  <si>
    <t>A0100100115500001233</t>
  </si>
  <si>
    <t>A0100100115500001234</t>
  </si>
  <si>
    <t>4</t>
  </si>
  <si>
    <t>compras de medicamento y ultil medico</t>
  </si>
  <si>
    <t>3</t>
  </si>
  <si>
    <t>5</t>
  </si>
  <si>
    <t xml:space="preserve">Compra de sueros </t>
  </si>
  <si>
    <t>Compra de vasos, cucharas, utiles de limpieza</t>
  </si>
  <si>
    <t>A0100100115500001240</t>
  </si>
  <si>
    <t xml:space="preserve">Compra de sedapore </t>
  </si>
  <si>
    <t>Compra de gentamicina</t>
  </si>
  <si>
    <t>A0100100115500001235</t>
  </si>
  <si>
    <t>A0100100115500001236</t>
  </si>
  <si>
    <t>69586948 / 71682071</t>
  </si>
  <si>
    <t>Compra de vasos y cucharas</t>
  </si>
  <si>
    <t>S/ORD</t>
  </si>
  <si>
    <t>Serv. De diseño y ejecucion de areas de ventil</t>
  </si>
  <si>
    <t>compra de medicamentos</t>
  </si>
  <si>
    <t>Compra de agua bacterodine,ect</t>
  </si>
  <si>
    <t>Compra de ranitidina</t>
  </si>
  <si>
    <t>Canula nasal</t>
  </si>
  <si>
    <t>Circuito de ventilacion neonatal</t>
  </si>
  <si>
    <t>compra de med.y util</t>
  </si>
  <si>
    <t>Compra de suero Latato de ringer</t>
  </si>
  <si>
    <t>compra de cartuchos</t>
  </si>
  <si>
    <t>Compra de counter,silla,juego de brazos</t>
  </si>
  <si>
    <t>Compras de toner y cartuchos</t>
  </si>
  <si>
    <t>Compras de cintas para maquina de escribir</t>
  </si>
  <si>
    <t>Recargas de toner y cartuchos</t>
  </si>
  <si>
    <t xml:space="preserve">compra de aires </t>
  </si>
  <si>
    <t>compras de toner</t>
  </si>
  <si>
    <t>71859001 / 7379727</t>
  </si>
  <si>
    <t>Compra de materiales desechables</t>
  </si>
  <si>
    <t>Compra de utiles de limpieza p/ la cocina</t>
  </si>
  <si>
    <t>Compra de medicamento</t>
  </si>
  <si>
    <t>Compra de alimentos</t>
  </si>
  <si>
    <t>s/o</t>
  </si>
  <si>
    <t>322</t>
  </si>
  <si>
    <t>Compra de Revista</t>
  </si>
  <si>
    <t>Compra de cilindro gas</t>
  </si>
  <si>
    <t>Compra de toner</t>
  </si>
  <si>
    <t>compra de cerradura</t>
  </si>
  <si>
    <t>compra de materiales</t>
  </si>
  <si>
    <t>1-2154</t>
  </si>
  <si>
    <t>Compra de util medico</t>
  </si>
  <si>
    <t>1-2202</t>
  </si>
  <si>
    <t>compra de medicamento y util</t>
  </si>
  <si>
    <t>1-2203</t>
  </si>
  <si>
    <t>Compra de util y  medicamento</t>
  </si>
  <si>
    <t>ING.JOSE SANCHEZ BIDO</t>
  </si>
  <si>
    <t>45321</t>
  </si>
  <si>
    <t>articulos</t>
  </si>
  <si>
    <t>73975033 / 75924892</t>
  </si>
  <si>
    <t>Compra de reactivo</t>
  </si>
  <si>
    <t>76178231 / 80139825</t>
  </si>
  <si>
    <t>16599</t>
  </si>
  <si>
    <t xml:space="preserve">compra de refrigerante </t>
  </si>
  <si>
    <t>16802</t>
  </si>
  <si>
    <t xml:space="preserve">compra de meteriales de refrigeracion </t>
  </si>
  <si>
    <t>SANCHEZ MANCEBO, SRL</t>
  </si>
  <si>
    <t>A01001001100002688</t>
  </si>
  <si>
    <t>compra de diesel</t>
  </si>
  <si>
    <t>10470</t>
  </si>
  <si>
    <t>compra de raciones de comida cocinadas</t>
  </si>
  <si>
    <t>A01001001100002700</t>
  </si>
  <si>
    <t>652</t>
  </si>
  <si>
    <t>A01001001100002709</t>
  </si>
  <si>
    <t>11</t>
  </si>
  <si>
    <t xml:space="preserve">compra de control </t>
  </si>
  <si>
    <t>A01001001100002725</t>
  </si>
  <si>
    <t>80301704 / 83043311</t>
  </si>
  <si>
    <t>A01001001100002758</t>
  </si>
  <si>
    <t xml:space="preserve">MULT.SERV.ASCENSORES DEL CARIBE EIRL. </t>
  </si>
  <si>
    <t>mantenimiento de ascensores y montacarga</t>
  </si>
  <si>
    <t>A01001001100002745</t>
  </si>
  <si>
    <t>mantenimiento de ascensores</t>
  </si>
  <si>
    <t>A01001001100002762</t>
  </si>
  <si>
    <t>CARIBE  MEDIA. S.A.</t>
  </si>
  <si>
    <t>249738</t>
  </si>
  <si>
    <t>PUBLICIDAD</t>
  </si>
  <si>
    <t>A01001001100002752</t>
  </si>
  <si>
    <t>00047</t>
  </si>
  <si>
    <t>B1500000006</t>
  </si>
  <si>
    <t>1693</t>
  </si>
  <si>
    <t>REVISTA GUIA DE SALUD</t>
  </si>
  <si>
    <t>B1500000015</t>
  </si>
  <si>
    <t>3198</t>
  </si>
  <si>
    <t>B1500000022</t>
  </si>
  <si>
    <t>Compra de combustible por ticket</t>
  </si>
  <si>
    <t>4689</t>
  </si>
  <si>
    <t>B1500000025</t>
  </si>
  <si>
    <t>6210</t>
  </si>
  <si>
    <t>B1500000042</t>
  </si>
  <si>
    <t>7706</t>
  </si>
  <si>
    <t>B1500000044</t>
  </si>
  <si>
    <t>9168</t>
  </si>
  <si>
    <t>10348</t>
  </si>
  <si>
    <t>B1500000054</t>
  </si>
  <si>
    <t>83226624 / 85482063</t>
  </si>
  <si>
    <t>1157572</t>
  </si>
  <si>
    <t>KILNES BUSINES SOLUTIONS</t>
  </si>
  <si>
    <t>04</t>
  </si>
  <si>
    <t>CAMILLA</t>
  </si>
  <si>
    <t>Z&amp;R INGENIEROS, S.R.L</t>
  </si>
  <si>
    <t>002</t>
  </si>
  <si>
    <t>Remodelacion</t>
  </si>
  <si>
    <t>B1500000060</t>
  </si>
  <si>
    <t>12683</t>
  </si>
  <si>
    <t>B1500000063</t>
  </si>
  <si>
    <t>13827</t>
  </si>
  <si>
    <t>B1500000070</t>
  </si>
  <si>
    <t>14829</t>
  </si>
  <si>
    <t>B1500000077</t>
  </si>
  <si>
    <t>15853</t>
  </si>
  <si>
    <t>B1500000083</t>
  </si>
  <si>
    <t>B1500000088</t>
  </si>
  <si>
    <t>B1500000090</t>
  </si>
  <si>
    <t>B1500000094</t>
  </si>
  <si>
    <t>B1500000102</t>
  </si>
  <si>
    <t>B1500000104</t>
  </si>
  <si>
    <t>B1500000106</t>
  </si>
  <si>
    <t>B1500000109</t>
  </si>
  <si>
    <t>B1500000110</t>
  </si>
  <si>
    <t>B1500000112</t>
  </si>
  <si>
    <t>KYAN RED SUPPLY</t>
  </si>
  <si>
    <t>088</t>
  </si>
  <si>
    <t>compras de placa</t>
  </si>
  <si>
    <t>B1500000113</t>
  </si>
  <si>
    <t>93</t>
  </si>
  <si>
    <t>Directvista blu film</t>
  </si>
  <si>
    <t>85657579 / 87874186</t>
  </si>
  <si>
    <t>B1500000107</t>
  </si>
  <si>
    <t xml:space="preserve">CIRCUIMED, SRL </t>
  </si>
  <si>
    <t>B1500000589</t>
  </si>
  <si>
    <t>Compras de util medico</t>
  </si>
  <si>
    <t>SEAN DOMINICANA</t>
  </si>
  <si>
    <t>2022-0040</t>
  </si>
  <si>
    <t>B1500003243</t>
  </si>
  <si>
    <t>estado</t>
  </si>
  <si>
    <t>B1500001135</t>
  </si>
  <si>
    <t>SERBIOMED S.R.L.</t>
  </si>
  <si>
    <t>reparacion de autoclave</t>
  </si>
  <si>
    <t xml:space="preserve">PRODUCTOS MEDICINALES, SRL </t>
  </si>
  <si>
    <t>2022-00279</t>
  </si>
  <si>
    <t>B1500000686</t>
  </si>
  <si>
    <t>servicios de sistema de trampa de agua</t>
  </si>
  <si>
    <t>B1500001412</t>
  </si>
  <si>
    <t>tubo de pecho</t>
  </si>
  <si>
    <t>GROUP Z HEALTHCARE PRODUCTS DOMINICANA, SRL</t>
  </si>
  <si>
    <t>2023-0004</t>
  </si>
  <si>
    <t>B1500001583</t>
  </si>
  <si>
    <t>Comp. De papel de grado</t>
  </si>
  <si>
    <t>2023-00011</t>
  </si>
  <si>
    <t>B1500005411</t>
  </si>
  <si>
    <t xml:space="preserve">compra de reactivos </t>
  </si>
  <si>
    <t xml:space="preserve">LEROMED  PHARMA. </t>
  </si>
  <si>
    <t>Util Medico</t>
  </si>
  <si>
    <t>MORAMI</t>
  </si>
  <si>
    <t>2023-00032</t>
  </si>
  <si>
    <t>B1500003691</t>
  </si>
  <si>
    <t>Dicloxacilina</t>
  </si>
  <si>
    <t xml:space="preserve">FARMACIA RUTH </t>
  </si>
  <si>
    <t>compas medicamentos</t>
  </si>
  <si>
    <t>2023-00074</t>
  </si>
  <si>
    <t>B1500001602</t>
  </si>
  <si>
    <t>sillon dental</t>
  </si>
  <si>
    <t>2023-00713</t>
  </si>
  <si>
    <t>B1500005858</t>
  </si>
  <si>
    <t>Gel lubricantes</t>
  </si>
  <si>
    <t>EPX DOMINICANA, SRL.</t>
  </si>
  <si>
    <t>B1500001369</t>
  </si>
  <si>
    <t>Comp. De utiles medicos</t>
  </si>
  <si>
    <t>B1500000200</t>
  </si>
  <si>
    <t>GLOBAL MULTI-PHARMA DOMINICANA THM, S.R.L</t>
  </si>
  <si>
    <t>Compra de reactivos</t>
  </si>
  <si>
    <t>2023-00298</t>
  </si>
  <si>
    <t>B1500001757</t>
  </si>
  <si>
    <t>Compras de sangre de carnero</t>
  </si>
  <si>
    <t>2023-00299</t>
  </si>
  <si>
    <t>B1500001765</t>
  </si>
  <si>
    <t>B1500000821</t>
  </si>
  <si>
    <t>B1500000233</t>
  </si>
  <si>
    <t>B1500001769</t>
  </si>
  <si>
    <t>Resistencia de maquina sellado</t>
  </si>
  <si>
    <t>SERVIAMED DOMINICANA SRL</t>
  </si>
  <si>
    <t>2023-00167</t>
  </si>
  <si>
    <t>Comp. De guantes latex en polvo</t>
  </si>
  <si>
    <t>B1500001775</t>
  </si>
  <si>
    <t>2022-00216</t>
  </si>
  <si>
    <t>B1500000087</t>
  </si>
  <si>
    <t>rastauracioncompleta de auto cleve</t>
  </si>
  <si>
    <t>2023-00149</t>
  </si>
  <si>
    <t>B1500003695</t>
  </si>
  <si>
    <t>2023-00215</t>
  </si>
  <si>
    <t>claritromicina</t>
  </si>
  <si>
    <t>SERVICIOS LOS QUICA, EIRL</t>
  </si>
  <si>
    <t>2023-00216</t>
  </si>
  <si>
    <t>Comp. De alimentos</t>
  </si>
  <si>
    <t>B1500000161</t>
  </si>
  <si>
    <t>B1500000236</t>
  </si>
  <si>
    <t>Compra de oxigeno medico</t>
  </si>
  <si>
    <t>B1500000002</t>
  </si>
  <si>
    <t>2023-00238</t>
  </si>
  <si>
    <t>B1500000569</t>
  </si>
  <si>
    <t>B1500103228</t>
  </si>
  <si>
    <t>Compras de utiles medicos</t>
  </si>
  <si>
    <t>2023-00295</t>
  </si>
  <si>
    <t>B1500000003</t>
  </si>
  <si>
    <t>canula</t>
  </si>
  <si>
    <t>B1500000294</t>
  </si>
  <si>
    <t>Jabon quirugico</t>
  </si>
  <si>
    <t>B1500000239</t>
  </si>
  <si>
    <t>2023-00319</t>
  </si>
  <si>
    <t>B1500000144</t>
  </si>
  <si>
    <t>Comp. De alimento</t>
  </si>
  <si>
    <t>2023-00320</t>
  </si>
  <si>
    <t>B1500000143</t>
  </si>
  <si>
    <t>2023-00318</t>
  </si>
  <si>
    <t>B1500000145</t>
  </si>
  <si>
    <t>2023-00331</t>
  </si>
  <si>
    <t>Bebedero y Nevera Ejecutiva</t>
  </si>
  <si>
    <t>INGENIERIA, TECNOLOGIA Y SERVICIOS OROZCO, SRL</t>
  </si>
  <si>
    <t>B1500001835</t>
  </si>
  <si>
    <t>ELPIROS PHARMACEUTICO, SRL</t>
  </si>
  <si>
    <t>2023-00350</t>
  </si>
  <si>
    <t>B1500000422</t>
  </si>
  <si>
    <t>Comp.de cateter de succion no. 10</t>
  </si>
  <si>
    <t>2023-00377</t>
  </si>
  <si>
    <t>B1500004184</t>
  </si>
  <si>
    <t>B1500000299</t>
  </si>
  <si>
    <t>OFICCLIN COMERCIAL, SRL</t>
  </si>
  <si>
    <t>Comp. De medicamentos</t>
  </si>
  <si>
    <t>B1500000009</t>
  </si>
  <si>
    <t>DOMINION BUSINESS ,SRL</t>
  </si>
  <si>
    <t>2023-00265</t>
  </si>
  <si>
    <t>B1500000012</t>
  </si>
  <si>
    <t>Comp. De carnes de pollo</t>
  </si>
  <si>
    <t>B1500000246</t>
  </si>
  <si>
    <t>B1500119561</t>
  </si>
  <si>
    <t>GESTIONES SANITARIA &amp; AMBIENTALES, S.RL.(GSA)</t>
  </si>
  <si>
    <t>REMPART GROUP SRL.</t>
  </si>
  <si>
    <t>Comp. De pinturas</t>
  </si>
  <si>
    <t>BELLO LAB SRL</t>
  </si>
  <si>
    <t>2023-00374</t>
  </si>
  <si>
    <t>B1500000788</t>
  </si>
  <si>
    <t>Compras de reactivos</t>
  </si>
  <si>
    <t>D, CORAL INDUSTRIAL, S.R.L</t>
  </si>
  <si>
    <t>2023-00334</t>
  </si>
  <si>
    <t>B1500003173</t>
  </si>
  <si>
    <t>Vid templado clro</t>
  </si>
  <si>
    <t>FRIFARMA, SRL.Tel</t>
  </si>
  <si>
    <t>comp. De medicamentos</t>
  </si>
  <si>
    <t>B1500000147</t>
  </si>
  <si>
    <t xml:space="preserve">VARA, SRL. </t>
  </si>
  <si>
    <t>2023-00409</t>
  </si>
  <si>
    <t>Comp. De proyector</t>
  </si>
  <si>
    <t>2023-00342</t>
  </si>
  <si>
    <t>B1500034323</t>
  </si>
  <si>
    <t xml:space="preserve">FARMADAL </t>
  </si>
  <si>
    <t>UNIQUE REPRESENTACIONES, S.R.L</t>
  </si>
  <si>
    <t>B1500003952</t>
  </si>
  <si>
    <t>Hoja de larinlogospia</t>
  </si>
  <si>
    <t>2023-00411</t>
  </si>
  <si>
    <t>B1500005883</t>
  </si>
  <si>
    <t>B1500034340</t>
  </si>
  <si>
    <t>sysmex cellpack</t>
  </si>
  <si>
    <t>B1500000004</t>
  </si>
  <si>
    <t>Compras de aire y masteriales</t>
  </si>
  <si>
    <t>B1500000250</t>
  </si>
  <si>
    <t>B1500000895</t>
  </si>
  <si>
    <t>Compra de pan en el mes de junio 2023</t>
  </si>
  <si>
    <t>2023-00469</t>
  </si>
  <si>
    <t>B1500000928</t>
  </si>
  <si>
    <t>kit calibrador</t>
  </si>
  <si>
    <t>2023-00422</t>
  </si>
  <si>
    <t>B1500003539</t>
  </si>
  <si>
    <t>sabanita</t>
  </si>
  <si>
    <t xml:space="preserve">ESTUDIOS </t>
  </si>
  <si>
    <t>2023-00480</t>
  </si>
  <si>
    <t>B1500001115</t>
  </si>
  <si>
    <t>paque quirurguico</t>
  </si>
  <si>
    <t>B1500000278</t>
  </si>
  <si>
    <t>AMERILINE</t>
  </si>
  <si>
    <t>RAMISOL  ( RAMIREZ SOLUCIONES)</t>
  </si>
  <si>
    <t>2023-00506</t>
  </si>
  <si>
    <t>B1500000901</t>
  </si>
  <si>
    <t>Soluciones salino 0.9%</t>
  </si>
  <si>
    <t>2023-00447</t>
  </si>
  <si>
    <t>B1500034582</t>
  </si>
  <si>
    <t>B1500003672</t>
  </si>
  <si>
    <t>compras de escarnet</t>
  </si>
  <si>
    <t>B1500000917</t>
  </si>
  <si>
    <t>Compra de pan en el mes de julio 2023</t>
  </si>
  <si>
    <t>2023-00545</t>
  </si>
  <si>
    <t>B1500003581</t>
  </si>
  <si>
    <t>Compras  medicamentos</t>
  </si>
  <si>
    <t>VIRRO S.R.L.</t>
  </si>
  <si>
    <t>2023-00575</t>
  </si>
  <si>
    <t>Compra  medicamento</t>
  </si>
  <si>
    <t>B1500000029</t>
  </si>
  <si>
    <t>2023-00582</t>
  </si>
  <si>
    <t>B1500035380</t>
  </si>
  <si>
    <t>2023-00589</t>
  </si>
  <si>
    <t>canula de yankawer</t>
  </si>
  <si>
    <t>2023-00586</t>
  </si>
  <si>
    <t>B1500001156</t>
  </si>
  <si>
    <t>papel para sonogradia</t>
  </si>
  <si>
    <t>B1500000007</t>
  </si>
  <si>
    <t>circuito de respiracion neonatal</t>
  </si>
  <si>
    <t xml:space="preserve">MACROTECH </t>
  </si>
  <si>
    <t>B1500000237</t>
  </si>
  <si>
    <t>B0100012462</t>
  </si>
  <si>
    <t>Util Medico y Medicamentos</t>
  </si>
  <si>
    <t>B1500000259</t>
  </si>
  <si>
    <t>B1500000935</t>
  </si>
  <si>
    <t>Compra de pan en el mes de agosto 2023</t>
  </si>
  <si>
    <t>Servicios de mantenimiento de rayos x portati</t>
  </si>
  <si>
    <t>2023-00563</t>
  </si>
  <si>
    <t>B1500000300</t>
  </si>
  <si>
    <t>kit de mantenimiento vetiladores newport</t>
  </si>
  <si>
    <t>Analisis Microbiologico a muetra agua</t>
  </si>
  <si>
    <t>2023-00569</t>
  </si>
  <si>
    <t>B1500000001</t>
  </si>
  <si>
    <t>2023-00620</t>
  </si>
  <si>
    <t>propofol, queteapina y ambu neonaral</t>
  </si>
  <si>
    <t>ACTUALIDADES VD SRL</t>
  </si>
  <si>
    <t>Compra de camarote</t>
  </si>
  <si>
    <t>B1500000951</t>
  </si>
  <si>
    <t>CARIBBEAN INTEGRATED SOLUTIONS</t>
  </si>
  <si>
    <t>2023-00655</t>
  </si>
  <si>
    <t>B1500000214</t>
  </si>
  <si>
    <t>Comp. De cateter jelco</t>
  </si>
  <si>
    <t>2023-00673</t>
  </si>
  <si>
    <t>TONER DEPOT INTERNACIONAL EORG, SRL.</t>
  </si>
  <si>
    <t>B1500000264</t>
  </si>
  <si>
    <t>2023-00700</t>
  </si>
  <si>
    <t>B1500036117</t>
  </si>
  <si>
    <t>B1500000953</t>
  </si>
  <si>
    <t>Compra de pan en el mes de septiembre 2023</t>
  </si>
  <si>
    <t>B1500000062</t>
  </si>
  <si>
    <t>BIO-NOVA, SRL</t>
  </si>
  <si>
    <t>Comp de medicamentos</t>
  </si>
  <si>
    <t>ABRIAS NOVO GRUOUP, SRL</t>
  </si>
  <si>
    <t>Compra de materiales de oficina</t>
  </si>
  <si>
    <t xml:space="preserve">SUPLIDORA MOL, SRL </t>
  </si>
  <si>
    <t>2023-00745</t>
  </si>
  <si>
    <t>2023-760</t>
  </si>
  <si>
    <t>insumo pruebas especiales</t>
  </si>
  <si>
    <t>TECNI MEDICA, S.R.L</t>
  </si>
  <si>
    <t>ALGEBRA PRODUCTION S.R.L</t>
  </si>
  <si>
    <t>B1500000095</t>
  </si>
  <si>
    <t>Servicios de transporte</t>
  </si>
  <si>
    <t>B1500000274</t>
  </si>
  <si>
    <t>B1500000976</t>
  </si>
  <si>
    <t>Compra de pan en el mes de  octubre 2024</t>
  </si>
  <si>
    <t>Compra de catete</t>
  </si>
  <si>
    <t>2023-00814</t>
  </si>
  <si>
    <t>B1500001083</t>
  </si>
  <si>
    <t>insumo de patologia</t>
  </si>
  <si>
    <t>BIO DESIFECCION</t>
  </si>
  <si>
    <t>TENDAMED , S.R.L</t>
  </si>
  <si>
    <t>2023-00826</t>
  </si>
  <si>
    <t>Transductor Convex</t>
  </si>
  <si>
    <t>2023-00746</t>
  </si>
  <si>
    <t>B1500036768</t>
  </si>
  <si>
    <t>SULIMA IMPORT, SRL</t>
  </si>
  <si>
    <t>Comp. De plafones radar de 2x4</t>
  </si>
  <si>
    <t>2023-00/853</t>
  </si>
  <si>
    <t>B1500000532</t>
  </si>
  <si>
    <t>Comp. De agujas</t>
  </si>
  <si>
    <t>2023-00811</t>
  </si>
  <si>
    <t>B1500000336</t>
  </si>
  <si>
    <t>Compra de detergente.</t>
  </si>
  <si>
    <t>B1500036932</t>
  </si>
  <si>
    <t>B1500000402</t>
  </si>
  <si>
    <t>2023-00739</t>
  </si>
  <si>
    <t>B1500000193</t>
  </si>
  <si>
    <t>2023-00888</t>
  </si>
  <si>
    <t>B1500000789</t>
  </si>
  <si>
    <t>Compras de hilo vicryl</t>
  </si>
  <si>
    <t>CENTRO DE LA SANGRE</t>
  </si>
  <si>
    <t>Compra de sangre</t>
  </si>
  <si>
    <t>2023-00858</t>
  </si>
  <si>
    <t>B1500000858</t>
  </si>
  <si>
    <t>Comp. Desechable</t>
  </si>
  <si>
    <t>B1500037033</t>
  </si>
  <si>
    <t>HBSAG 96T MUREX</t>
  </si>
  <si>
    <t>CLAPE, S.R.L.</t>
  </si>
  <si>
    <t>B1500000100</t>
  </si>
  <si>
    <t>B1500000096</t>
  </si>
  <si>
    <t>2023-00672</t>
  </si>
  <si>
    <t>B1500001002</t>
  </si>
  <si>
    <t>Compra de pan en el mes de noviembre   2025</t>
  </si>
  <si>
    <t>2023-00929</t>
  </si>
  <si>
    <t>B1500000968</t>
  </si>
  <si>
    <t>SSP SERVI SALUD  PREMIUM SRL</t>
  </si>
  <si>
    <t>GADECA, SRL</t>
  </si>
  <si>
    <t>B1500002156</t>
  </si>
  <si>
    <t>FARMACO INTERNACIONAL, SRL</t>
  </si>
  <si>
    <t>2023-00944</t>
  </si>
  <si>
    <t>B1500000828</t>
  </si>
  <si>
    <t>B1500000218</t>
  </si>
  <si>
    <t>LAMBDA DIGNOTICOS</t>
  </si>
  <si>
    <t>2023-003765</t>
  </si>
  <si>
    <t>B1500003726</t>
  </si>
  <si>
    <t>CRISTINA ROSARIO</t>
  </si>
  <si>
    <t>B1500002059</t>
  </si>
  <si>
    <t>B1500004025</t>
  </si>
  <si>
    <t>comp de medicamentos</t>
  </si>
  <si>
    <t>2023-00995</t>
  </si>
  <si>
    <t>2023-00974</t>
  </si>
  <si>
    <t>B1500000204</t>
  </si>
  <si>
    <t>2023-00994</t>
  </si>
  <si>
    <t>B1500000205</t>
  </si>
  <si>
    <t>B1500000742</t>
  </si>
  <si>
    <t>Corona funebre</t>
  </si>
  <si>
    <t>2023-00911</t>
  </si>
  <si>
    <t>B1500000289</t>
  </si>
  <si>
    <t>Comp. De acrilico</t>
  </si>
  <si>
    <t>TROPIGAS.</t>
  </si>
  <si>
    <t>Dr. Armando Camejo</t>
  </si>
  <si>
    <t>B1500004912</t>
  </si>
  <si>
    <t>B1500001665</t>
  </si>
  <si>
    <t>HSLM-2023-00341</t>
  </si>
  <si>
    <t>2023-00252</t>
  </si>
  <si>
    <t>B1500000013</t>
  </si>
  <si>
    <t>Comp. De carnes de huevos y jamon</t>
  </si>
  <si>
    <t>HSLM-2023-00224</t>
  </si>
  <si>
    <t>Compras de papel camilla</t>
  </si>
  <si>
    <t>2023-00514</t>
  </si>
  <si>
    <t>B1500034917</t>
  </si>
  <si>
    <t>B1500001722</t>
  </si>
  <si>
    <t>DUMAS PHARMACEUTICALS, S.R.L</t>
  </si>
  <si>
    <t>HSLM-2023-00860</t>
  </si>
  <si>
    <t xml:space="preserve">Comp. De mascarilla de oxigeno </t>
  </si>
  <si>
    <t>B1500000850</t>
  </si>
  <si>
    <t>SLYKING GROUP, SRL</t>
  </si>
  <si>
    <t>OFFITEK, S.R.L</t>
  </si>
  <si>
    <t>B1500005475</t>
  </si>
  <si>
    <t>Compras materiales de oficina</t>
  </si>
  <si>
    <t>2023-00977</t>
  </si>
  <si>
    <t>B1500013696</t>
  </si>
  <si>
    <t>Compra de pan en el mes de diciembre 2023</t>
  </si>
  <si>
    <t>B1500000206</t>
  </si>
  <si>
    <t>B1500000832</t>
  </si>
  <si>
    <t>SURGIPHARMA, S.R.L, SRL</t>
  </si>
  <si>
    <t>HSLM-2024-00004</t>
  </si>
  <si>
    <t>B1500000835</t>
  </si>
  <si>
    <t>2023-01017</t>
  </si>
  <si>
    <t>B1500000293</t>
  </si>
  <si>
    <t>Comp. De FLUJO METRO</t>
  </si>
  <si>
    <t>HSLM-2024-01007</t>
  </si>
  <si>
    <t>B1500003846</t>
  </si>
  <si>
    <t>Compras  de util medico</t>
  </si>
  <si>
    <t>B1500013725</t>
  </si>
  <si>
    <t>HSLM-2024-00026</t>
  </si>
  <si>
    <t>B1500000258</t>
  </si>
  <si>
    <t>Bata Quirugico y desechables y esteril</t>
  </si>
  <si>
    <t>HSLM-2024-00024</t>
  </si>
  <si>
    <t>B1500005112</t>
  </si>
  <si>
    <t>Comp. De solucioned salino</t>
  </si>
  <si>
    <t>HSLM-2024-00028</t>
  </si>
  <si>
    <t>HSLM-2024-00039</t>
  </si>
  <si>
    <t>B1500037922</t>
  </si>
  <si>
    <t xml:space="preserve">    </t>
  </si>
  <si>
    <t>HOSPITAL MATERNO INFANTIL SAN LORENZO DE LOS MINA</t>
  </si>
  <si>
    <t>Auxiliar Cuentas por Cobrar SeNaSa Subsidiado</t>
  </si>
  <si>
    <t>ARS</t>
  </si>
  <si>
    <t>FECHA DE CORTE AUDITORIA</t>
  </si>
  <si>
    <t>CANTIDAD DE EXPEDIENTES</t>
  </si>
  <si>
    <t>MONTO GENERAL DE FACTURACION</t>
  </si>
  <si>
    <t>MONTO AUDITADO</t>
  </si>
  <si>
    <t>MONTO GLOSADO</t>
  </si>
  <si>
    <t>%</t>
  </si>
  <si>
    <t xml:space="preserve">Valor Facturado </t>
  </si>
  <si>
    <t>Referencia Documento de pago (CK-T)</t>
  </si>
  <si>
    <t>Monto pagado</t>
  </si>
  <si>
    <t>Balance CxC</t>
  </si>
  <si>
    <t xml:space="preserve">TOTALES </t>
  </si>
  <si>
    <t>Auxiliar Cuentas por Cobrar Ars Privadas</t>
  </si>
  <si>
    <t xml:space="preserve">FECHA DE CORTE </t>
  </si>
  <si>
    <t>NCF</t>
  </si>
  <si>
    <t>CANTIDAD DE FACTURAS</t>
  </si>
  <si>
    <t>MONTO FACTURADO</t>
  </si>
  <si>
    <t>MONTO PAGADO</t>
  </si>
  <si>
    <t>DESMONTE POSTERIOR AL PAGO</t>
  </si>
  <si>
    <t>HUMANO</t>
  </si>
  <si>
    <t>APS</t>
  </si>
  <si>
    <t>RENACER</t>
  </si>
  <si>
    <t>B1500000192</t>
  </si>
  <si>
    <t>ARS SEMMA</t>
  </si>
  <si>
    <t>SIMAG</t>
  </si>
  <si>
    <t>MAPFRE HOSP.</t>
  </si>
  <si>
    <t>MAPFRE EMERG.</t>
  </si>
  <si>
    <t>ASEMAP</t>
  </si>
  <si>
    <t>P. HUMANO</t>
  </si>
  <si>
    <t>B1500000201</t>
  </si>
  <si>
    <t xml:space="preserve">RESERVAS </t>
  </si>
  <si>
    <t>YUNEN</t>
  </si>
  <si>
    <t>B1500000226</t>
  </si>
  <si>
    <t>MONUMENTAL</t>
  </si>
  <si>
    <t>B1500000232</t>
  </si>
  <si>
    <t>CMD</t>
  </si>
  <si>
    <t>MAPFRE AMB.</t>
  </si>
  <si>
    <t>B1500000242</t>
  </si>
  <si>
    <t>B1500000241</t>
  </si>
  <si>
    <t>B1500000245</t>
  </si>
  <si>
    <t>GMA</t>
  </si>
  <si>
    <t xml:space="preserve">FUTURO </t>
  </si>
  <si>
    <t>RESUMEN</t>
  </si>
  <si>
    <t>Total ARS Senasa Subsidiado</t>
  </si>
  <si>
    <t>Total ARS Privada</t>
  </si>
  <si>
    <t>2022-00391</t>
  </si>
  <si>
    <t>B1500001345</t>
  </si>
  <si>
    <t>BARRERO, SRL</t>
  </si>
  <si>
    <t>copia</t>
  </si>
  <si>
    <t>2023-00534</t>
  </si>
  <si>
    <t>B1500000203</t>
  </si>
  <si>
    <t>gasa compresa</t>
  </si>
  <si>
    <t>PRE</t>
  </si>
  <si>
    <t>B1500000268</t>
  </si>
  <si>
    <t>BAUCOMER, S.R.L</t>
  </si>
  <si>
    <t>2023-00813</t>
  </si>
  <si>
    <t>COMP. DE ALIMENTOS</t>
  </si>
  <si>
    <t xml:space="preserve">HSLM-2023-00885 </t>
  </si>
  <si>
    <t>B1500000267</t>
  </si>
  <si>
    <t>Comp. De acido tranexamico 500</t>
  </si>
  <si>
    <t>B1500000272</t>
  </si>
  <si>
    <t>2023-000953</t>
  </si>
  <si>
    <t>B1500002261</t>
  </si>
  <si>
    <t>B1500005770</t>
  </si>
  <si>
    <t>FLORISTE CALIZFLOR</t>
  </si>
  <si>
    <t>REPARACIONES DE MASILLADO LIJADO DE PARED</t>
  </si>
  <si>
    <t>COMP. DE frutas</t>
  </si>
  <si>
    <t>SERVICIOS DE ALMUERZO</t>
  </si>
  <si>
    <t>RM ROTRICOMERCIAL SRL</t>
  </si>
  <si>
    <t>B1500000809</t>
  </si>
  <si>
    <t>Comp. De maquina sella</t>
  </si>
  <si>
    <t>OSEAANA HEALTHCARE, S.R.L</t>
  </si>
  <si>
    <t>HSLM-2024-00020</t>
  </si>
  <si>
    <t>B1500000153</t>
  </si>
  <si>
    <t>Hilo vicryl</t>
  </si>
  <si>
    <t>B1500013839</t>
  </si>
  <si>
    <t>Comp. De hilo cromico</t>
  </si>
  <si>
    <t>B1500004475</t>
  </si>
  <si>
    <t>Comp. Sol dextrosa</t>
  </si>
  <si>
    <t>DISTRIBUIDORA RICCA E SANADIMEC, (RICCA E SANA) SRL</t>
  </si>
  <si>
    <t>MASTER CLEAN SRL</t>
  </si>
  <si>
    <t>B1500000126</t>
  </si>
  <si>
    <t>Compra de materiales impreso</t>
  </si>
  <si>
    <t>EQUIMAPHAR, SRL</t>
  </si>
  <si>
    <t>HSLM-2024-00060</t>
  </si>
  <si>
    <t>Electrodos Espuma 45*42</t>
  </si>
  <si>
    <t>SUPLIGENSA, ,SRL</t>
  </si>
  <si>
    <t>HSLM-2024-00076</t>
  </si>
  <si>
    <t>Comp. De papel higienico</t>
  </si>
  <si>
    <t>HSLM-2024-00048</t>
  </si>
  <si>
    <t>B1500000234</t>
  </si>
  <si>
    <t>HSLM-2024-00091</t>
  </si>
  <si>
    <t>B1500000235</t>
  </si>
  <si>
    <t>Compra de Balon  de yoga</t>
  </si>
  <si>
    <t>B1500135948</t>
  </si>
  <si>
    <t>Comp. De cateter y campo desechable</t>
  </si>
  <si>
    <t>B1500000103</t>
  </si>
  <si>
    <t>HSLM-2023-01036</t>
  </si>
  <si>
    <t>B1500000255</t>
  </si>
  <si>
    <t>B1500002083</t>
  </si>
  <si>
    <t>HSLM-2024-00133</t>
  </si>
  <si>
    <t>HSLM-2024-00122</t>
  </si>
  <si>
    <t>Compra de archivo</t>
  </si>
  <si>
    <t>HSLM-2024-00147</t>
  </si>
  <si>
    <t>B1500002194</t>
  </si>
  <si>
    <t>Comp. De CLIDAMICINA</t>
  </si>
  <si>
    <t>B1500000881</t>
  </si>
  <si>
    <t>B1500000407</t>
  </si>
  <si>
    <t>Limpieza del tinacos y transporte y movilizacion del equipo</t>
  </si>
  <si>
    <t>gas licuado de petroleo</t>
  </si>
  <si>
    <t>HSLM-2024-00169</t>
  </si>
  <si>
    <t>B1500000157</t>
  </si>
  <si>
    <t>Comp. De GUANTES #8</t>
  </si>
  <si>
    <t>B1500000101</t>
  </si>
  <si>
    <t>G &amp; M GELMAT COMERCIAL, SRL</t>
  </si>
  <si>
    <t>HSLM-2024-00192</t>
  </si>
  <si>
    <t>B1500000348</t>
  </si>
  <si>
    <t>Saldo al   31 de diciembre 2024</t>
  </si>
  <si>
    <t>Prop. planta y equipos neto 2024</t>
  </si>
  <si>
    <t>Fecha</t>
  </si>
  <si>
    <t>O/C #</t>
  </si>
  <si>
    <t>Factura #</t>
  </si>
  <si>
    <t>Monto  RD$</t>
  </si>
  <si>
    <t>VS/LIB</t>
  </si>
  <si>
    <t>B1500000017</t>
  </si>
  <si>
    <t>B1500000048</t>
  </si>
  <si>
    <t>HSLM-2022-003</t>
  </si>
  <si>
    <t>B1500001175</t>
  </si>
  <si>
    <t>FOOD CARABALLO &amp; NUÑEZ, SRL.</t>
  </si>
  <si>
    <t>HSLM-2023-00301</t>
  </si>
  <si>
    <t>B1500003445</t>
  </si>
  <si>
    <t>HSLM-2023-00383</t>
  </si>
  <si>
    <t>HSLM-2023-00414</t>
  </si>
  <si>
    <t>2023-00444</t>
  </si>
  <si>
    <t>B1500000630</t>
  </si>
  <si>
    <t>HSLM-2023-00450</t>
  </si>
  <si>
    <t>88912</t>
  </si>
  <si>
    <t>B1500120091</t>
  </si>
  <si>
    <t>B1500121954</t>
  </si>
  <si>
    <t>2023-00578</t>
  </si>
  <si>
    <t>B1500003118</t>
  </si>
  <si>
    <t>compra de medicamentos.</t>
  </si>
  <si>
    <t>B1500124083</t>
  </si>
  <si>
    <t>HSLM-2023-00679</t>
  </si>
  <si>
    <t>B1500128365</t>
  </si>
  <si>
    <t>Medicamentos</t>
  </si>
  <si>
    <t>B1500130256</t>
  </si>
  <si>
    <t>B1500132135</t>
  </si>
  <si>
    <t>2023-00956</t>
  </si>
  <si>
    <t>B1500000797</t>
  </si>
  <si>
    <t>Comp.Lapiz cauterio,cinta de autoclave y gorro</t>
  </si>
  <si>
    <t>HSLM-2023-00950</t>
  </si>
  <si>
    <t>HSLM-2023-01022</t>
  </si>
  <si>
    <t>HSLM-2023-00837</t>
  </si>
  <si>
    <t>IMPRESOS C &amp; M, SRL</t>
  </si>
  <si>
    <t>2023-01009</t>
  </si>
  <si>
    <t>B1500000215</t>
  </si>
  <si>
    <t>HSLM-2024-00014</t>
  </si>
  <si>
    <t>B150000883</t>
  </si>
  <si>
    <t>HSLM-2024-00097</t>
  </si>
  <si>
    <t>90160</t>
  </si>
  <si>
    <t>B1500000099</t>
  </si>
  <si>
    <t>CEMEDI, S.R.L</t>
  </si>
  <si>
    <t>B1500000291</t>
  </si>
  <si>
    <t>Estudios</t>
  </si>
  <si>
    <t>AGUA PLANETA AZUL</t>
  </si>
  <si>
    <t>HSLM-2024-00071</t>
  </si>
  <si>
    <t>B1500149530</t>
  </si>
  <si>
    <t>Comp. De botellista de agua</t>
  </si>
  <si>
    <t>HSLM-2024-00124</t>
  </si>
  <si>
    <t>B1500006814</t>
  </si>
  <si>
    <t>Sonda alimentaria no.14</t>
  </si>
  <si>
    <t>HSLM-2023-00829</t>
  </si>
  <si>
    <t>JM DISTRIBUCION, SRL</t>
  </si>
  <si>
    <t>HSLM-2024-00090</t>
  </si>
  <si>
    <t>B1500000176</t>
  </si>
  <si>
    <t>Comp. De platos desechables</t>
  </si>
  <si>
    <t xml:space="preserve">MABISELI, SRL </t>
  </si>
  <si>
    <t>HSLM-2024-01037</t>
  </si>
  <si>
    <t>Remozamiento a la centrica de frente al hospital</t>
  </si>
  <si>
    <t>HSLM-2024-00161</t>
  </si>
  <si>
    <t xml:space="preserve"> Util Medico</t>
  </si>
  <si>
    <t>B1500000067</t>
  </si>
  <si>
    <t>B1500002090</t>
  </si>
  <si>
    <t>HSLM-2024-00183</t>
  </si>
  <si>
    <t>B1500000884</t>
  </si>
  <si>
    <t>HSLM-2024-000194</t>
  </si>
  <si>
    <t>B1500003896</t>
  </si>
  <si>
    <t>Compras  de solucione salina</t>
  </si>
  <si>
    <t>HSLM-2024-00100</t>
  </si>
  <si>
    <t>B1500000138</t>
  </si>
  <si>
    <t>reparacion de autoclave de vapor  matechena</t>
  </si>
  <si>
    <t>HSLM-2024-00087</t>
  </si>
  <si>
    <t>B1500000139</t>
  </si>
  <si>
    <t>reparacion de autoclave chinva</t>
  </si>
  <si>
    <t>HSLM-2024-00134</t>
  </si>
  <si>
    <t>HSLM-2024-00200</t>
  </si>
  <si>
    <t>B1500000315</t>
  </si>
  <si>
    <t>HSLM-2024-00204</t>
  </si>
  <si>
    <t>B1500001431</t>
  </si>
  <si>
    <t>B1500001048</t>
  </si>
  <si>
    <t>Compra de pan en el mes de febrero 2024</t>
  </si>
  <si>
    <t>B1500000297</t>
  </si>
  <si>
    <t>JSM JOHANNDY SERVICIOS  MULTIPLES, S.A</t>
  </si>
  <si>
    <t>HSLM-2023-00706</t>
  </si>
  <si>
    <t>B1500000358</t>
  </si>
  <si>
    <t>Lamparas Led</t>
  </si>
  <si>
    <t>HSLM-2023-00197</t>
  </si>
  <si>
    <t>B1500002102</t>
  </si>
  <si>
    <t>HSLM-2024-00626</t>
  </si>
  <si>
    <t>B1500017289</t>
  </si>
  <si>
    <t>Comp.  de agua</t>
  </si>
  <si>
    <t>B1500000410</t>
  </si>
  <si>
    <t>HSLM-2024-00031</t>
  </si>
  <si>
    <t>Servicios de fiesta</t>
  </si>
  <si>
    <t>HSLM-2024-00217</t>
  </si>
  <si>
    <t>90386</t>
  </si>
  <si>
    <t>HSLM-2024-00015</t>
  </si>
  <si>
    <t>B1500001030</t>
  </si>
  <si>
    <t>Compra de claritromicina</t>
  </si>
  <si>
    <t>FASUMER INGENERIA,S.R.L.</t>
  </si>
  <si>
    <t>HSLM -2023-00818</t>
  </si>
  <si>
    <t>Remocion de lona asfaltica y remocion de tuberia</t>
  </si>
  <si>
    <t>HSLM-2024-00219</t>
  </si>
  <si>
    <t>B1500000261</t>
  </si>
  <si>
    <t>Compras de bata manga corta</t>
  </si>
  <si>
    <t>B1500002108</t>
  </si>
  <si>
    <t>Compra de escritorio 24x40 y archivo, sillon ejecutivo, sillas para visita y reloj de pared</t>
  </si>
  <si>
    <t>HSLM-2024-000227</t>
  </si>
  <si>
    <t>B1500003912</t>
  </si>
  <si>
    <t>Compras  de jeringa</t>
  </si>
  <si>
    <t>B1500172845</t>
  </si>
  <si>
    <t>INVERSIONES YAYE, SRL</t>
  </si>
  <si>
    <t>HSLM-2024-00078</t>
  </si>
  <si>
    <t>B1500000168</t>
  </si>
  <si>
    <t>HSLM-2024-00244</t>
  </si>
  <si>
    <t>B1500000857</t>
  </si>
  <si>
    <t>Comp.Lapiz cauterio y papel sonografia</t>
  </si>
  <si>
    <t>B1500149532</t>
  </si>
  <si>
    <t>HSLM-2024-00239</t>
  </si>
  <si>
    <t>Campo de misoprostol</t>
  </si>
  <si>
    <t>Comp. De reactivo</t>
  </si>
  <si>
    <t>HSLM-2024-00257</t>
  </si>
  <si>
    <t>B1500000738</t>
  </si>
  <si>
    <t>Brazalete ped</t>
  </si>
  <si>
    <t>B1500002114</t>
  </si>
  <si>
    <t>B1500172850</t>
  </si>
  <si>
    <t>despensas</t>
  </si>
  <si>
    <t>HSLM-2024-00113</t>
  </si>
  <si>
    <t>B1500000354</t>
  </si>
  <si>
    <t>HSLM-2024-00247</t>
  </si>
  <si>
    <t>B1500001979</t>
  </si>
  <si>
    <t>HSLM-2024-00103</t>
  </si>
  <si>
    <t>B1500000172</t>
  </si>
  <si>
    <t>Comp. De frasco de aspiradores</t>
  </si>
  <si>
    <t>HSLM-2024-00263</t>
  </si>
  <si>
    <t>B1500000413</t>
  </si>
  <si>
    <t>HSLM-2024-00265</t>
  </si>
  <si>
    <t>B1500000320</t>
  </si>
  <si>
    <t>HSLM-2024-00269</t>
  </si>
  <si>
    <t>B1500014135</t>
  </si>
  <si>
    <t>Comp de mezcladora y balanza de bolsas</t>
  </si>
  <si>
    <t>B1500002121</t>
  </si>
  <si>
    <t>DESTREZA COMERCIAL SRL</t>
  </si>
  <si>
    <t>B1500000035</t>
  </si>
  <si>
    <t>Compra de cortinas</t>
  </si>
  <si>
    <t>Compra citro1 control</t>
  </si>
  <si>
    <t>HSLM-2024-00273</t>
  </si>
  <si>
    <t>TRANSPORTES JESUS FERMIN MARTINEZ .</t>
  </si>
  <si>
    <t>B1500000371</t>
  </si>
  <si>
    <t>B1500172855</t>
  </si>
  <si>
    <t>HSLM-2024-00262</t>
  </si>
  <si>
    <t>Servicios de desifencios en todas las areas</t>
  </si>
  <si>
    <t>HSLM-2024-00277</t>
  </si>
  <si>
    <t>HSLM-2024-00280</t>
  </si>
  <si>
    <t>B1500001040</t>
  </si>
  <si>
    <t>HSLM-2024-00281</t>
  </si>
  <si>
    <t>B1500001447</t>
  </si>
  <si>
    <t>B1500001475</t>
  </si>
  <si>
    <t>B1500000208</t>
  </si>
  <si>
    <t>Alimentos</t>
  </si>
  <si>
    <t>B1500002128</t>
  </si>
  <si>
    <t>B1500000349</t>
  </si>
  <si>
    <t>B1500001069</t>
  </si>
  <si>
    <t>Compra de pan en el mes de marzo 2024</t>
  </si>
  <si>
    <t>B1500000303</t>
  </si>
  <si>
    <t>Mantenimiento</t>
  </si>
  <si>
    <t>JBL, S.R.L ( JEAN CARLOS BASULTO )</t>
  </si>
  <si>
    <t>B1500025190</t>
  </si>
  <si>
    <t>B1500025195</t>
  </si>
  <si>
    <t>HSLM-2024-00291</t>
  </si>
  <si>
    <t>B1500001449</t>
  </si>
  <si>
    <t>Activos Medicos</t>
  </si>
  <si>
    <t>B1500025201</t>
  </si>
  <si>
    <t>B1500025203</t>
  </si>
  <si>
    <t>B1500025204</t>
  </si>
  <si>
    <t>B1500025209</t>
  </si>
  <si>
    <t>INGENERIA ELECTROMECANICA</t>
  </si>
  <si>
    <t>B1500000225</t>
  </si>
  <si>
    <t>Mantenimiento profundo unidad ac</t>
  </si>
  <si>
    <t>HSLM-2024-00293</t>
  </si>
  <si>
    <t>HSLM-2024-00294</t>
  </si>
  <si>
    <t>B1500025223</t>
  </si>
  <si>
    <t>HSLM-2024-00288</t>
  </si>
  <si>
    <t>IGBT, SRL</t>
  </si>
  <si>
    <t>HSLM-2024-00198</t>
  </si>
  <si>
    <t>Banco de resistencia calefactora indutrial</t>
  </si>
  <si>
    <t>HSLM-2024-00287</t>
  </si>
  <si>
    <t>HSLM-2024-00299</t>
  </si>
  <si>
    <t>B1500002135</t>
  </si>
  <si>
    <t>HSLM-2024-00301</t>
  </si>
  <si>
    <t>HSLM-2024-00302</t>
  </si>
  <si>
    <t>B1500000010</t>
  </si>
  <si>
    <t>B1500025244</t>
  </si>
  <si>
    <t>HSLM-2024-00306</t>
  </si>
  <si>
    <t>HSLM-2024-00304</t>
  </si>
  <si>
    <t>HSLM-2024-00305</t>
  </si>
  <si>
    <t>B1500000897</t>
  </si>
  <si>
    <t>B1500025248</t>
  </si>
  <si>
    <t>B1500025249</t>
  </si>
  <si>
    <t>B1500025251</t>
  </si>
  <si>
    <t>JH DESIGN. S.R.L</t>
  </si>
  <si>
    <t>Valvula Hidrocefalia reg. P. media</t>
  </si>
  <si>
    <t>B1500025269</t>
  </si>
  <si>
    <t>B1500025275</t>
  </si>
  <si>
    <t>HSLM-2024-00310</t>
  </si>
  <si>
    <t xml:space="preserve">SUPLIDORA AMANILD SRL </t>
  </si>
  <si>
    <t>HSLM-2024-316</t>
  </si>
  <si>
    <t xml:space="preserve">Comp. De ups 1500va, </t>
  </si>
  <si>
    <t>HSLM-2024-00295</t>
  </si>
  <si>
    <t>Impresos</t>
  </si>
  <si>
    <t>HSLM-2024-00312</t>
  </si>
  <si>
    <t>HSLM-2024-00319</t>
  </si>
  <si>
    <t>HSLM-2024-00318</t>
  </si>
  <si>
    <t>HSLM-2023-00198</t>
  </si>
  <si>
    <t>B1500002140</t>
  </si>
  <si>
    <t>HSLM-2024-00313</t>
  </si>
  <si>
    <t>B1500025292</t>
  </si>
  <si>
    <t>HSLM-2024-00321</t>
  </si>
  <si>
    <t>HSLM-2024-00307</t>
  </si>
  <si>
    <t>HSLM-2024-00325</t>
  </si>
  <si>
    <t>B1500025297</t>
  </si>
  <si>
    <t>B1500025306</t>
  </si>
  <si>
    <t>B1500025327</t>
  </si>
  <si>
    <t>HSLM-2024-00329</t>
  </si>
  <si>
    <t>B1500000011</t>
  </si>
  <si>
    <t>HSLM-2024-00314</t>
  </si>
  <si>
    <t>HSLM-2024-00331</t>
  </si>
  <si>
    <t>B1500000870</t>
  </si>
  <si>
    <t>HSLM-2024-00327</t>
  </si>
  <si>
    <t>HSLM-2024-00320</t>
  </si>
  <si>
    <t>B1500001570</t>
  </si>
  <si>
    <t>HSLM-2024-00330</t>
  </si>
  <si>
    <t>Reactivos</t>
  </si>
  <si>
    <t>HSLM-2024-00274</t>
  </si>
  <si>
    <t>B1500014290</t>
  </si>
  <si>
    <t xml:space="preserve">CENTRO DE REFRIGERACION  ROSSO </t>
  </si>
  <si>
    <t>HSLM-2024-00285</t>
  </si>
  <si>
    <t>Aire Acondicionado</t>
  </si>
  <si>
    <t>HSLM-2024-00338</t>
  </si>
  <si>
    <t>B1500000330</t>
  </si>
  <si>
    <t>B1500025316</t>
  </si>
  <si>
    <t>B1500025328</t>
  </si>
  <si>
    <t>B1500025343</t>
  </si>
  <si>
    <t>HSLM-2024-00336</t>
  </si>
  <si>
    <t>HSLM-2024-00333</t>
  </si>
  <si>
    <t>B1500000898</t>
  </si>
  <si>
    <t>HSLM-2024-00337</t>
  </si>
  <si>
    <t>B1500002181</t>
  </si>
  <si>
    <t>HSLM-2024-00341</t>
  </si>
  <si>
    <t>B1500025348</t>
  </si>
  <si>
    <t>HSLM-2023-01015</t>
  </si>
  <si>
    <t>HSLM-2024-00322</t>
  </si>
  <si>
    <t>HSLM-2024-00342</t>
  </si>
  <si>
    <t>B1500000424</t>
  </si>
  <si>
    <t>B1500002149</t>
  </si>
  <si>
    <t>B1500025352</t>
  </si>
  <si>
    <t>HSLM-2024-00347</t>
  </si>
  <si>
    <t>B1500000202</t>
  </si>
  <si>
    <t>HSLM-2024-00328</t>
  </si>
  <si>
    <t>B1500000230</t>
  </si>
  <si>
    <t>HSLM-2024-00344</t>
  </si>
  <si>
    <t>B1500004357</t>
  </si>
  <si>
    <t>B1500025360</t>
  </si>
  <si>
    <t>B1500025362</t>
  </si>
  <si>
    <t>HSLM-2024-00354</t>
  </si>
  <si>
    <t>HSLM-2024-00358</t>
  </si>
  <si>
    <t>HSLM-2024-00352</t>
  </si>
  <si>
    <t>B1500001423</t>
  </si>
  <si>
    <t>HSLM-2024-00343</t>
  </si>
  <si>
    <t>B1500002693</t>
  </si>
  <si>
    <t>B1500025371</t>
  </si>
  <si>
    <t>B1500025374</t>
  </si>
  <si>
    <t>HSLM-2024-00351</t>
  </si>
  <si>
    <t>HSLM-DAF-CM-2024-0104</t>
  </si>
  <si>
    <t>HSLM-2024-00350</t>
  </si>
  <si>
    <t>HSLM-2024-00357</t>
  </si>
  <si>
    <t>B1500000538</t>
  </si>
  <si>
    <t>HSLM-2024-00353</t>
  </si>
  <si>
    <t>HSLM-2024-00363</t>
  </si>
  <si>
    <t>B1500003974</t>
  </si>
  <si>
    <t>HSLM-2024-00355</t>
  </si>
  <si>
    <t>HSLM-2024-00360</t>
  </si>
  <si>
    <t>HSLM-2024-00371</t>
  </si>
  <si>
    <t>B1500001457</t>
  </si>
  <si>
    <t>HSLM-2024-00339</t>
  </si>
  <si>
    <t>B1500001458</t>
  </si>
  <si>
    <t>B1500007493</t>
  </si>
  <si>
    <t>HSLM-2024-00335</t>
  </si>
  <si>
    <t>B1500014380</t>
  </si>
  <si>
    <t>HSLM-2024-00372</t>
  </si>
  <si>
    <t>HSLM-2024-00379</t>
  </si>
  <si>
    <t>B1500000447</t>
  </si>
  <si>
    <t>FERNUMO MULTISERVICIOS</t>
  </si>
  <si>
    <t>HSLM-2024-00349</t>
  </si>
  <si>
    <t>Protectores de ventana</t>
  </si>
  <si>
    <t>HSLM-2024-00382</t>
  </si>
  <si>
    <t>B1500000428</t>
  </si>
  <si>
    <t>Retencion de ITBIS</t>
  </si>
  <si>
    <t>B1500000257</t>
  </si>
  <si>
    <t>REPUBLICA DOMINICANA</t>
  </si>
  <si>
    <t>SERVICIO NACIONAL DE SALUD</t>
  </si>
  <si>
    <t>LISTADO DE ORDENES DE COMPRAS  DURANTE EL MES ABRIL 2024, VENTA DE SERVICIOS</t>
  </si>
  <si>
    <r>
      <t xml:space="preserve">ESTABLECIMIENTO  </t>
    </r>
    <r>
      <rPr>
        <b/>
        <u/>
        <sz val="11"/>
        <color theme="1"/>
        <rFont val="Calibri"/>
        <family val="2"/>
        <scheme val="minor"/>
      </rPr>
      <t xml:space="preserve">HOSPITAL MATERNO INFANTIL SAN LORENZO DE LOS MINA </t>
    </r>
    <r>
      <rPr>
        <b/>
        <sz val="11"/>
        <color theme="1"/>
        <rFont val="Calibri"/>
        <family val="2"/>
        <scheme val="minor"/>
      </rPr>
      <t>REGION</t>
    </r>
    <r>
      <rPr>
        <b/>
        <u/>
        <sz val="11"/>
        <color theme="1"/>
        <rFont val="Calibri"/>
        <family val="2"/>
        <scheme val="minor"/>
      </rPr>
      <t xml:space="preserve"> SANTO DOMINGO ESTE</t>
    </r>
  </si>
  <si>
    <t>No. Orden de Compra o Servicios</t>
  </si>
  <si>
    <t>No. De Factura Fiscal NCF</t>
  </si>
  <si>
    <t>Fuente. Financ      FR-VS</t>
  </si>
  <si>
    <t>Beneficiario</t>
  </si>
  <si>
    <t>Rubro</t>
  </si>
  <si>
    <t>No. Cta. Objetal del Gasto</t>
  </si>
  <si>
    <t>Valor pesos dominicanos</t>
  </si>
  <si>
    <t>HSLM-DAF-CM-2024-0086</t>
  </si>
  <si>
    <t>CARLOS RAFAEL DE PAULA ROSSO</t>
  </si>
  <si>
    <t>2.2.7.2.08</t>
  </si>
  <si>
    <t>HSLM-2024-00286</t>
  </si>
  <si>
    <t>HSLM-DAF-CD-2024-0050</t>
  </si>
  <si>
    <t>LEFP CONSULTORES, SRL</t>
  </si>
  <si>
    <t>2.2.5.9.01</t>
  </si>
  <si>
    <t>HSLM-DAF-CD-2024-0104</t>
  </si>
  <si>
    <t>OFICLIN COMERCIAL, SRL</t>
  </si>
  <si>
    <t>2.6.1.4.01</t>
  </si>
  <si>
    <t>HSLM-DAF-CD-2024-0105</t>
  </si>
  <si>
    <t>HSLM-2024-00289</t>
  </si>
  <si>
    <t>HSLM-DAF-CM-2024-0087</t>
  </si>
  <si>
    <t>INSOCORP, SRL</t>
  </si>
  <si>
    <t>2.6.3.1.01</t>
  </si>
  <si>
    <t>HSLM-2024-00290</t>
  </si>
  <si>
    <t>HSLM-DAF-CM-2024-0085</t>
  </si>
  <si>
    <t>BIO NOVA, SRL</t>
  </si>
  <si>
    <t>2.6.3.4.01</t>
  </si>
  <si>
    <t>HSLM-DAF-CD-2024-0088</t>
  </si>
  <si>
    <t>OSIRIS &amp; CO, SA</t>
  </si>
  <si>
    <t>HSLM-2024-00292</t>
  </si>
  <si>
    <t>HSLM-DAF-CD-2024-0108</t>
  </si>
  <si>
    <t>SAVEV SERVICIOS GENERALES, SRL</t>
  </si>
  <si>
    <t>2.3.9.3.01</t>
  </si>
  <si>
    <t>HSLM-DAF-CD-2024-0106</t>
  </si>
  <si>
    <t>GLOBAL MULTIPHARMA DOMINICANA RHM, SRL</t>
  </si>
  <si>
    <t>HSLM-DAF-CD-2024-0107</t>
  </si>
  <si>
    <t>HSLM-DAF-CD-2024-0103</t>
  </si>
  <si>
    <t>2.3.9.9.05</t>
  </si>
  <si>
    <t>HSLM-2024-00296</t>
  </si>
  <si>
    <t>HSLM-DAF-CM-2024-0089</t>
  </si>
  <si>
    <t xml:space="preserve">Xavier Vargas, Ingeniería Electromecánica, EIRL
</t>
  </si>
  <si>
    <t>HSLM-2024-00297</t>
  </si>
  <si>
    <t>HSLM-DAF-CD-2024-0109</t>
  </si>
  <si>
    <t>2.3.3.3.01</t>
  </si>
  <si>
    <t>HSLM-2024-00298</t>
  </si>
  <si>
    <t>HSLM-DAF-CD-2024-0110</t>
  </si>
  <si>
    <t>JESUS FERMIN MARTINEZ LOPEZ</t>
  </si>
  <si>
    <t>2.2.4.2.01</t>
  </si>
  <si>
    <t>HSLM-DAF-CD-2024-0112</t>
  </si>
  <si>
    <t>FARMACO INTERNACIONAL</t>
  </si>
  <si>
    <t>HSLM-2024-00300</t>
  </si>
  <si>
    <t>HSLM-DAF-CD-2024-0114</t>
  </si>
  <si>
    <t>HSLM-DAF-CD-2024-0115</t>
  </si>
  <si>
    <t>FRI FARMA, SRL</t>
  </si>
  <si>
    <t>2.3.4.1.01</t>
  </si>
  <si>
    <t>HSLM-DAF-CD-2024-0113</t>
  </si>
  <si>
    <t>2.6.1.1.01</t>
  </si>
  <si>
    <t>HSLM-2024-00303</t>
  </si>
  <si>
    <t>HSLM-DAF-CD-2024-0111</t>
  </si>
  <si>
    <t>CEM CARIBBEAN EQUIPMENT MEDICAL, SRL</t>
  </si>
  <si>
    <t>2.3.9.8.02</t>
  </si>
  <si>
    <t>HSLM-DAF-CD-2024-0118</t>
  </si>
  <si>
    <t>BAUCOMER, SRL</t>
  </si>
  <si>
    <t>HSLM-DAF-CD-2024-0119</t>
  </si>
  <si>
    <t>HSLM-DAF-CD-2024-0120</t>
  </si>
  <si>
    <t>COMPRA- MED, SRL</t>
  </si>
  <si>
    <t>HSLM-DAF-CM-2024-0096</t>
  </si>
  <si>
    <t>CABOD, EIRL</t>
  </si>
  <si>
    <t>2.3.7.2.99</t>
  </si>
  <si>
    <t>HSLM-2024-00308</t>
  </si>
  <si>
    <t>HSLM-DAF-CD-2024-0117</t>
  </si>
  <si>
    <t>MASTER CLEAN FBE IMPORT, SRL</t>
  </si>
  <si>
    <t>2.3.9.1.01</t>
  </si>
  <si>
    <t>HSLM-2024-00309</t>
  </si>
  <si>
    <t>HSLM-DAF-CD-2024-0121</t>
  </si>
  <si>
    <t>BIO NUCLEAR, SRL</t>
  </si>
  <si>
    <t>2.3.7.2.03</t>
  </si>
  <si>
    <t>HSLM-DAF-CD-2024-0123</t>
  </si>
  <si>
    <t>FRI FARMA</t>
  </si>
  <si>
    <t>HSLM-2024-00311</t>
  </si>
  <si>
    <t>HSLM-DAF-CD-2024-0122</t>
  </si>
  <si>
    <t>HSLM-DAF-CD-2024-0124</t>
  </si>
  <si>
    <t>DUMAS PHARMA, SRL</t>
  </si>
  <si>
    <t>HSLM-DAF-CD-2024-0125</t>
  </si>
  <si>
    <t>MORAMI, SRL</t>
  </si>
  <si>
    <t>HSLM-DAF-CD-2024-0127</t>
  </si>
  <si>
    <t>HSLM-2024-00315</t>
  </si>
  <si>
    <t>HSLM-DAF-CD-2024-0126</t>
  </si>
  <si>
    <t>HSLM-2024-00316</t>
  </si>
  <si>
    <t>HSLM-DAF-CD-2024-0133</t>
  </si>
  <si>
    <t>SUPLIDORA AMANILD, SRL</t>
  </si>
  <si>
    <t>2.6.5.6.01</t>
  </si>
  <si>
    <t>HSLM-2024-00317</t>
  </si>
  <si>
    <t>HSLM-DAF-CD-2024-0131</t>
  </si>
  <si>
    <t>INVERSIONES FH, SRL</t>
  </si>
  <si>
    <t>2.3.7.1.01</t>
  </si>
  <si>
    <t>HSLM-DAF-CD-2024-0129</t>
  </si>
  <si>
    <t>RAMISOL, SRL</t>
  </si>
  <si>
    <t>HSLM-DAF-CD-2024-0128</t>
  </si>
  <si>
    <t>HSLM-DAF-CD-2024-0132</t>
  </si>
  <si>
    <t>SSP SERVISALUD PREMIUM, SRL</t>
  </si>
  <si>
    <t>HSLM-DAF-CD-2024-0135</t>
  </si>
  <si>
    <t>EMPRESA ROTRICOMERCIAL, SRL</t>
  </si>
  <si>
    <t>HSLM-DAF-CD-2024-0134</t>
  </si>
  <si>
    <t>GASTABLES DEL CARIBE (GADECA) SRL</t>
  </si>
  <si>
    <t>2.6.5.8.01</t>
  </si>
  <si>
    <t>HSLM-2024-00323</t>
  </si>
  <si>
    <t>GLOBAL MULTIPHARMA DOMINICANA THM, SRL</t>
  </si>
  <si>
    <t>2.3.9.6.01</t>
  </si>
  <si>
    <t>HSLM-2024-00324</t>
  </si>
  <si>
    <t>HSLM-DAF-CD-2024-0136</t>
  </si>
  <si>
    <t>L &amp; C SUPPLY PRODUCTS, SRL</t>
  </si>
  <si>
    <t>HSLM-DAF-CM-2024-0098</t>
  </si>
  <si>
    <t>LAMBDA DIAGNOSTICOS, SRL</t>
  </si>
  <si>
    <t>HSLM-2024-00326</t>
  </si>
  <si>
    <t>HSLM-DAF-CM-2024-0097</t>
  </si>
  <si>
    <t>FOOD CARABALLO &amp; NUÑEZ, SRL</t>
  </si>
  <si>
    <t>2.3.1.1.01</t>
  </si>
  <si>
    <t>HSLM-DAF-CM-2024-0092</t>
  </si>
  <si>
    <t>HSLM-DAF-CD-2024-0139</t>
  </si>
  <si>
    <t>2.2.2.2.01</t>
  </si>
  <si>
    <t>HSLM-DAF-CD-2024-0130</t>
  </si>
  <si>
    <t>G &amp; M GELMANT COMERCIAL</t>
  </si>
  <si>
    <t>CIENCIA TECNOLOGIA Y CONSULTAS, SRL</t>
  </si>
  <si>
    <t>FARMACO INTERNAIONAL, SRL</t>
  </si>
  <si>
    <t>HSLM-2024-00332</t>
  </si>
  <si>
    <t>HSLM-DAF-CD-2024-0140</t>
  </si>
  <si>
    <t>VENTAS DIVERSAS FARMACCEUTICAS</t>
  </si>
  <si>
    <t>HSLM-DAF-CM-2024-0100</t>
  </si>
  <si>
    <t>BELLO LAB, SRL</t>
  </si>
  <si>
    <t>HSLM-2024-00334</t>
  </si>
  <si>
    <t>HSLM-DAF-CD-2024-0138</t>
  </si>
  <si>
    <t>CARRIBEAN INTEGRATED SOLITUIONS, SRL</t>
  </si>
  <si>
    <t>JEAN CARLOS BASULTO LOPEZ</t>
  </si>
  <si>
    <t>HSLM-DAF-CD-2024-0143</t>
  </si>
  <si>
    <t>HSLM-DAF-CM-2024-0090</t>
  </si>
  <si>
    <t>HSLM-2024-00340</t>
  </si>
  <si>
    <t>HSLM-DAF-CM-2024-0063</t>
  </si>
  <si>
    <t>CONSTRUTRONIC, SRL</t>
  </si>
  <si>
    <t>2.2.8.7.06</t>
  </si>
  <si>
    <t>HSLM-DAF-CD-2024-0145</t>
  </si>
  <si>
    <t>CIENCIA TECNOLOGIA Y CONSULTA, SRL</t>
  </si>
  <si>
    <t>HSLM-DAF-CD-2024-0146</t>
  </si>
  <si>
    <t>HSLM-DAF-CD-2024-0147</t>
  </si>
  <si>
    <t>COPEM HOSPICLINIC, SRL</t>
  </si>
  <si>
    <t>HSLM-DAF-CD-2024-0150</t>
  </si>
  <si>
    <t>LEROMED PHARMA, SRL</t>
  </si>
  <si>
    <t>HSLM-2024-00345</t>
  </si>
  <si>
    <t>HSLM-DAF-CD-2024-0154</t>
  </si>
  <si>
    <t>INVERIONES YAYE, SRL</t>
  </si>
  <si>
    <t>HSLM-2024-00346</t>
  </si>
  <si>
    <t>HSLM-DAF-CM-2024-0105</t>
  </si>
  <si>
    <t>PROYEFIC PROYECTOS DE CONSTRUCCION EFICIENTE, SRL</t>
  </si>
  <si>
    <t>HSLM-DAF-CM-2024-0102</t>
  </si>
  <si>
    <t>TECNIMEDICA, SRL</t>
  </si>
  <si>
    <t>HSLM-2024-00348</t>
  </si>
  <si>
    <t>SERVICIO DE BIOMEDICINA MEDICO SERBIOMED, SRL</t>
  </si>
  <si>
    <t>HSLM-DAF-CD-2024-0153</t>
  </si>
  <si>
    <t>MULTISERVICIOS FERNUMO, SRÑ</t>
  </si>
  <si>
    <t>HSLM-DAF-CD-2024-0148</t>
  </si>
  <si>
    <t>CARIBBEAN INTEGRATED SOLUTIONS, SRL</t>
  </si>
  <si>
    <t>HSLM-DAF-CD-2024-0161</t>
  </si>
  <si>
    <t>DISTRIBUIDORA RICEA E SANA DI M.C</t>
  </si>
  <si>
    <t>19/4/20224</t>
  </si>
  <si>
    <t>HSLM-DAF-CM-2024-0103</t>
  </si>
  <si>
    <t>SERVIAMED DOMINICANA, SR.</t>
  </si>
  <si>
    <t>HSLM-DAF-CD-2024-0149</t>
  </si>
  <si>
    <t>VENTAS DIVERSAS FARMACEUTICAS,SRL</t>
  </si>
  <si>
    <t>HSLM-DAF-CD-2024-0152</t>
  </si>
  <si>
    <t>HSLM-DAF-CD-2024-0157</t>
  </si>
  <si>
    <t>HSLM-2024-00356</t>
  </si>
  <si>
    <t>JM Distribución, SRL</t>
  </si>
  <si>
    <t>2.3.2.3.01</t>
  </si>
  <si>
    <t>HSLM-DAF-CD-2024-0158</t>
  </si>
  <si>
    <t>TENDAMED, SRL</t>
  </si>
  <si>
    <t>HSLM-DAF-CD-2024-0159</t>
  </si>
  <si>
    <t>COMPRA-MED, SRL</t>
  </si>
  <si>
    <t>HSLM-2024-00359</t>
  </si>
  <si>
    <t>HSLM-DAF-CD-2024-0160</t>
  </si>
  <si>
    <t>IMPRESOS C Y M, SRL</t>
  </si>
  <si>
    <t>HSLM-DAF-CD-2024-0156</t>
  </si>
  <si>
    <t>HSLM-2024-00361</t>
  </si>
  <si>
    <t>HSLM-2024-00362</t>
  </si>
  <si>
    <t>HSLM-DAF-CD-2024-0163</t>
  </si>
  <si>
    <t>2.2.8.6.01</t>
  </si>
  <si>
    <t>HSLM-DAF-CD-2024-0164</t>
  </si>
  <si>
    <t>VENDIFAR, SRL</t>
  </si>
  <si>
    <t>HSLM-2024-00364</t>
  </si>
  <si>
    <t>HSLM-DAF-CD-2024-0166</t>
  </si>
  <si>
    <t>MUEBLES OMAR</t>
  </si>
  <si>
    <t>HSLM-2024-00365</t>
  </si>
  <si>
    <t>HSLM-DAF-CD-2024-0165</t>
  </si>
  <si>
    <t>Distribuidora Ricca E Sana DI M.C, SRL</t>
  </si>
  <si>
    <t>HSLM-2024-00366</t>
  </si>
  <si>
    <t>HSLM-DAF-CD-2024-0167</t>
  </si>
  <si>
    <t>IMPRESOS UREÑA, SRL</t>
  </si>
  <si>
    <t>HSLM-2024-00367</t>
  </si>
  <si>
    <t>HSLM-DAF-CD-2024-0169</t>
  </si>
  <si>
    <t>PAPELERIA E IMPRESOS CRISHOAN, SRL</t>
  </si>
  <si>
    <t>HSLM-2024-00368</t>
  </si>
  <si>
    <t>HSLM-DAF-CD-2024-0172</t>
  </si>
  <si>
    <t>HOSPIFAR, SRL</t>
  </si>
  <si>
    <t>HSLM-2024-00369</t>
  </si>
  <si>
    <t>THMARIFABI DOMINICANA, SRL</t>
  </si>
  <si>
    <t>HSLM-2024-00370</t>
  </si>
  <si>
    <t>HSLM-DAF-CM-2024-0107</t>
  </si>
  <si>
    <t>ACTUALIDADES VD, SRL</t>
  </si>
  <si>
    <t>HSLM-DAF-CM-2024-0110</t>
  </si>
  <si>
    <t>OSIRIS S. A</t>
  </si>
  <si>
    <t>HSLM-DAF-CD-2024-0173</t>
  </si>
  <si>
    <t>SMARTBMEDOM, SRL</t>
  </si>
  <si>
    <t>HSLM-2024-00373</t>
  </si>
  <si>
    <t>HSLM-DAF-CM-2024-0112</t>
  </si>
  <si>
    <t>EXPRESS SERVICE CONSERG,SRL</t>
  </si>
  <si>
    <t>HSLM-2024-00374</t>
  </si>
  <si>
    <t>HSLM-DAF-CD-2024-0174</t>
  </si>
  <si>
    <t>HSLM-2024-00375</t>
  </si>
  <si>
    <t>HSLM-DAF-CM-2024-0108</t>
  </si>
  <si>
    <t>HSLM-2024-00376</t>
  </si>
  <si>
    <t>HSLM-DAF-CM-2024-0113</t>
  </si>
  <si>
    <t>LIVAO FARMACEUTICA, SRL</t>
  </si>
  <si>
    <t>HSLM-2024-00377</t>
  </si>
  <si>
    <t>HSLM-DAF-CD-2024-0170</t>
  </si>
  <si>
    <t>LORA Y ALMONTE REPARACIONES</t>
  </si>
  <si>
    <t>HSLM-2024-00378</t>
  </si>
  <si>
    <t>HSLM-DAF-CD-2024-0175</t>
  </si>
  <si>
    <t>HSLM-2024-00380</t>
  </si>
  <si>
    <t>HSLM-DAF-CD-2024-0178</t>
  </si>
  <si>
    <t xml:space="preserve"> Q&amp;Q Medical RD, SRL </t>
  </si>
  <si>
    <t>HSLM-2024-00381</t>
  </si>
  <si>
    <t>HSLM-DAF-CM-2024-0114</t>
  </si>
  <si>
    <t>ARDAN, SRL</t>
  </si>
  <si>
    <t xml:space="preserve">81112501
</t>
  </si>
  <si>
    <t>HMISLM-DAF-CD-2024-0179</t>
  </si>
  <si>
    <t>HSLM-2024-00383</t>
  </si>
  <si>
    <t>HMISLM-DAF-CD-2024-0181</t>
  </si>
  <si>
    <t>HSLM-2024-00384</t>
  </si>
  <si>
    <t>HMISLM-DAF-CD-2024-0180</t>
  </si>
  <si>
    <t>IGBT SRL</t>
  </si>
  <si>
    <t>HSLM-2024-00385</t>
  </si>
  <si>
    <t>HSLM-DAF-CM-2024-0116</t>
  </si>
  <si>
    <t>2.3.9.5.01</t>
  </si>
  <si>
    <t>HSLM-2024-00386</t>
  </si>
  <si>
    <t>HSLM-DAF-CM-2024-0117</t>
  </si>
  <si>
    <t>EXPRES SERVICE CONSERG EXSERCON, SRL</t>
  </si>
  <si>
    <t>HSLM-2024-00387</t>
  </si>
  <si>
    <t>HSLM-2024-00388</t>
  </si>
  <si>
    <t>HSLM-DAF-CM-2024-0120</t>
  </si>
  <si>
    <t>MANTENERGIA ELECTRICA Y ABASTECIMIENTOS, SRL</t>
  </si>
  <si>
    <t>HSLM-2024-00389</t>
  </si>
  <si>
    <t xml:space="preserve">Súper Laptop Browsing, SRL
</t>
  </si>
  <si>
    <t>Total Ordenes Compras RD$</t>
  </si>
  <si>
    <t>RESUMEN DE COMPRAS O SERVICIOS POR CUENTAS:</t>
  </si>
  <si>
    <t>RESUMEN DE PROCESO SEGÚN MODALIDAD:</t>
  </si>
  <si>
    <t xml:space="preserve">CUENTAS No. </t>
  </si>
  <si>
    <t>CANTIDAD</t>
  </si>
  <si>
    <t>MONTO</t>
  </si>
  <si>
    <t>TIPO</t>
  </si>
  <si>
    <t>Compra Directa</t>
  </si>
  <si>
    <t>Compra Menor</t>
  </si>
  <si>
    <t>Comparacion de precio</t>
  </si>
  <si>
    <t xml:space="preserve">TOTAL COMPRAS       </t>
  </si>
  <si>
    <t>2.3.3.1.01</t>
  </si>
  <si>
    <t>ENC. DE COMPRAS:__________________________</t>
  </si>
  <si>
    <t>CERTIFICO CORRECTO:</t>
  </si>
  <si>
    <t>TOTAL RESUMEN</t>
  </si>
  <si>
    <t>__________________________</t>
  </si>
  <si>
    <t>DIRECTOR</t>
  </si>
  <si>
    <t>ADMINISTRADOR:</t>
  </si>
  <si>
    <t>2.2.2</t>
  </si>
  <si>
    <t>2.2.4</t>
  </si>
  <si>
    <t>2.2.5</t>
  </si>
  <si>
    <t>2.2.7</t>
  </si>
  <si>
    <t>2.2.8</t>
  </si>
  <si>
    <t>2.3.1</t>
  </si>
  <si>
    <t>2.3.2</t>
  </si>
  <si>
    <t>2.3.3</t>
  </si>
  <si>
    <t>2.3.4</t>
  </si>
  <si>
    <t>2.3.7</t>
  </si>
  <si>
    <t>2.3.9</t>
  </si>
  <si>
    <t>2.6.1</t>
  </si>
  <si>
    <t>2.6.3</t>
  </si>
  <si>
    <t>2.6.5</t>
  </si>
  <si>
    <t>CONCEPTO</t>
  </si>
  <si>
    <t>SERVICIO REGIONAL DE SALUD</t>
  </si>
  <si>
    <t>DIRECCIÓN DE FISCALIZACIÓN Y CONTROL</t>
  </si>
  <si>
    <t>A</t>
  </si>
  <si>
    <t>B</t>
  </si>
  <si>
    <t>C</t>
  </si>
  <si>
    <t>D</t>
  </si>
  <si>
    <t>E</t>
  </si>
  <si>
    <t>F</t>
  </si>
  <si>
    <t>PERÍODO</t>
  </si>
  <si>
    <t>STATUS PRESTAMO</t>
  </si>
  <si>
    <t>DESDE</t>
  </si>
  <si>
    <t>HASTA</t>
  </si>
  <si>
    <t>MONTO ORIGEN</t>
  </si>
  <si>
    <t>MONTO AMORTIZADO</t>
  </si>
  <si>
    <t>BALANCE PENDIENTE</t>
  </si>
  <si>
    <t>PROMESE CAL</t>
  </si>
  <si>
    <t>RETENCIONES DE IMPUESTOS (DGII)</t>
  </si>
  <si>
    <t>APROVISIONAMIENTOS DE INCENTIVOS</t>
  </si>
  <si>
    <t xml:space="preserve">SEGURIDAD SOCIAL </t>
  </si>
  <si>
    <t>APROVISIONAMIENTO DE REGALIA PASCUAL</t>
  </si>
  <si>
    <t>PRESTACIONES LABORALES</t>
  </si>
  <si>
    <t>VIATICOS</t>
  </si>
  <si>
    <t>PRÉSTAMOS Y/O ANTICIPOS FINANCIEROS OTORGADOS POR SENASA</t>
  </si>
  <si>
    <r>
      <rPr>
        <b/>
        <sz val="12"/>
        <color theme="1"/>
        <rFont val="Calibri"/>
        <family val="2"/>
        <scheme val="minor"/>
      </rPr>
      <t>Nota</t>
    </r>
    <r>
      <rPr>
        <sz val="12"/>
        <color theme="1"/>
        <rFont val="Calibri"/>
        <family val="2"/>
        <scheme val="minor"/>
      </rPr>
      <t>. En el caso de las columnas D, E y F, solo aplican para llenado de los préstamos otogados por SENASA.</t>
    </r>
  </si>
  <si>
    <t xml:space="preserve">Revisado por: </t>
  </si>
  <si>
    <t>CUENTAS POR PAGAR 30 DE JUNIO 2024</t>
  </si>
  <si>
    <t>BENEFICIARIO</t>
  </si>
  <si>
    <t>AÑOS ANTERIORES MONTO ANTES DEL 2019</t>
  </si>
  <si>
    <t>AL 31 DE DICIEMBRE AÑO 2020</t>
  </si>
  <si>
    <t>AL 31 DE DICIEMBRE AÑO 2021</t>
  </si>
  <si>
    <t>AL 31 DE DICIEMBRE AÑO 2022</t>
  </si>
  <si>
    <t>AL 31 DE DICIEMBRE DEL AÑO 2023</t>
  </si>
  <si>
    <t>25</t>
  </si>
  <si>
    <t>alquiler de mesa,sillas,manteles etc.</t>
  </si>
  <si>
    <t>B150017</t>
  </si>
  <si>
    <t>02</t>
  </si>
  <si>
    <t>JORNADA</t>
  </si>
  <si>
    <t>OSIRIS &amp; CO,, S. A. (OSISA)</t>
  </si>
  <si>
    <t>Microscopio</t>
  </si>
  <si>
    <t>2023-00352</t>
  </si>
  <si>
    <t>Compra de embutidos</t>
  </si>
  <si>
    <t>2023-00497</t>
  </si>
  <si>
    <t>B1500000033</t>
  </si>
  <si>
    <t>Compra de carnes</t>
  </si>
  <si>
    <t>Para verificar colocado según estado</t>
  </si>
  <si>
    <t>B1500000158</t>
  </si>
  <si>
    <t>EXPRESS SERVICE CONSERG EXSERCON, S.R.L</t>
  </si>
  <si>
    <t>B1500000791</t>
  </si>
  <si>
    <t>Reparacion Modulo de luz</t>
  </si>
  <si>
    <t>2023-01003</t>
  </si>
  <si>
    <t xml:space="preserve">Contratacion servicios de getion de eventos </t>
  </si>
  <si>
    <t>HSLM-2024-00006</t>
  </si>
  <si>
    <t>B1500000813</t>
  </si>
  <si>
    <t>LE.F.P CONSULTORES SRL</t>
  </si>
  <si>
    <t>B1500000335</t>
  </si>
  <si>
    <t>Mantenimiento SGA</t>
  </si>
  <si>
    <t>HSLM-2024-00988</t>
  </si>
  <si>
    <t>B1500000880</t>
  </si>
  <si>
    <t>HSLM-2024-00196</t>
  </si>
  <si>
    <t>B1500002494</t>
  </si>
  <si>
    <t>HSLM-2024-00197</t>
  </si>
  <si>
    <t>HSLM-2024-00210</t>
  </si>
  <si>
    <t xml:space="preserve">Aspirador </t>
  </si>
  <si>
    <t>NCF EN PROCESO DE CAMBIO</t>
  </si>
  <si>
    <t>DUPLICIDAD</t>
  </si>
  <si>
    <t>HSLM-2024-00157</t>
  </si>
  <si>
    <t>B1500001470</t>
  </si>
  <si>
    <t>Servicios transporte de medicamentos</t>
  </si>
  <si>
    <t>SUPLIMED,SRL</t>
  </si>
  <si>
    <t>HSLM-2024-00268</t>
  </si>
  <si>
    <t>Servicios genius express 24 horas</t>
  </si>
  <si>
    <t>B1500173403</t>
  </si>
  <si>
    <t>SONICRU, SRL</t>
  </si>
  <si>
    <t>HSLM-2024-00105</t>
  </si>
  <si>
    <t>SUPLIDORA DE PRODUCTOS DIVERSOS (SUPRODI)</t>
  </si>
  <si>
    <t>B1500000174</t>
  </si>
  <si>
    <t>B1500000252</t>
  </si>
  <si>
    <t>Equipos Medicos</t>
  </si>
  <si>
    <t>B1500000073</t>
  </si>
  <si>
    <t>Comp. De archivo de metal y locke</t>
  </si>
  <si>
    <t>B1500000021</t>
  </si>
  <si>
    <t>Comp. De bolza zilpoc</t>
  </si>
  <si>
    <t>B1500000877</t>
  </si>
  <si>
    <t>B1500025384</t>
  </si>
  <si>
    <t>B1500025388</t>
  </si>
  <si>
    <t>Comp. De tubo endotraqueal</t>
  </si>
  <si>
    <t>B1500025400</t>
  </si>
  <si>
    <t>B1500025408</t>
  </si>
  <si>
    <t>B1500025416</t>
  </si>
  <si>
    <t>B1500000064</t>
  </si>
  <si>
    <t>B1500014379</t>
  </si>
  <si>
    <t>B1500000751</t>
  </si>
  <si>
    <t>Comp. De especulo y espatula</t>
  </si>
  <si>
    <t>B1500001068</t>
  </si>
  <si>
    <t>servicios de impresión</t>
  </si>
  <si>
    <t>B1500025432</t>
  </si>
  <si>
    <t>B1500000309</t>
  </si>
  <si>
    <t>B1500000353</t>
  </si>
  <si>
    <t>B1500002720</t>
  </si>
  <si>
    <t>B1500001090</t>
  </si>
  <si>
    <t>HSLM-2024-00392</t>
  </si>
  <si>
    <t>B1500005408</t>
  </si>
  <si>
    <t>B1500000127</t>
  </si>
  <si>
    <t>compras de telefono celulares</t>
  </si>
  <si>
    <t>HSLM-2023-00375</t>
  </si>
  <si>
    <t>B1500001551</t>
  </si>
  <si>
    <t>B1500025470</t>
  </si>
  <si>
    <t>B1500025471</t>
  </si>
  <si>
    <t>B1500025472</t>
  </si>
  <si>
    <t>B1500000359</t>
  </si>
  <si>
    <t>B1500002160</t>
  </si>
  <si>
    <t>B1500025543</t>
  </si>
  <si>
    <t>B1500025485</t>
  </si>
  <si>
    <t>B1500025483</t>
  </si>
  <si>
    <t>HSLM-2024-00421</t>
  </si>
  <si>
    <t>B1500174388</t>
  </si>
  <si>
    <t>B1500025544</t>
  </si>
  <si>
    <t>placa de reconocimientos</t>
  </si>
  <si>
    <t>B1500025499</t>
  </si>
  <si>
    <t>L&amp;C SUPPLYSRL</t>
  </si>
  <si>
    <t>Compras de escritorio, archivo y sillones</t>
  </si>
  <si>
    <t>MEDEQUIP, SRL</t>
  </si>
  <si>
    <t>HSL-2024-00396</t>
  </si>
  <si>
    <t>Comp. De vitrina para medicamentos 5.91*2.83</t>
  </si>
  <si>
    <t>HSLM-2024-00395</t>
  </si>
  <si>
    <t>B1500003983</t>
  </si>
  <si>
    <t>Comp.glutapack</t>
  </si>
  <si>
    <t>HSLM-2024-00402</t>
  </si>
  <si>
    <t>Rotulacion de puertas</t>
  </si>
  <si>
    <t>B1500025514</t>
  </si>
  <si>
    <t>B1500025513</t>
  </si>
  <si>
    <t>HSLM-2024-00404</t>
  </si>
  <si>
    <t>Comp. De tela de algodón</t>
  </si>
  <si>
    <t>B1500025523</t>
  </si>
  <si>
    <t>HSLM-2024-00415</t>
  </si>
  <si>
    <t>B1500000434</t>
  </si>
  <si>
    <t>Compra de ketorolaco</t>
  </si>
  <si>
    <t>B1500000433</t>
  </si>
  <si>
    <t>HSLM-2024-00416</t>
  </si>
  <si>
    <t>B1500000914</t>
  </si>
  <si>
    <t>Compras  de tablillas pediatrica</t>
  </si>
  <si>
    <t>B1500000212</t>
  </si>
  <si>
    <t>SANDRY  GOMEZ RODRIGUEZ</t>
  </si>
  <si>
    <t>HSLM-2024-00390</t>
  </si>
  <si>
    <t>B1500000524</t>
  </si>
  <si>
    <t>Comp. De vegetales</t>
  </si>
  <si>
    <t>B1500000529</t>
  </si>
  <si>
    <t>Comp. De carne</t>
  </si>
  <si>
    <t>HSLM-2024-00406</t>
  </si>
  <si>
    <t>B1500000530</t>
  </si>
  <si>
    <t>Comp. De embutidos</t>
  </si>
  <si>
    <t>HSLM-2024-00410</t>
  </si>
  <si>
    <t>B1500004239</t>
  </si>
  <si>
    <t>B1500018375</t>
  </si>
  <si>
    <t>VAL- KAMED, SRL</t>
  </si>
  <si>
    <t>HSLM-2024-00411</t>
  </si>
  <si>
    <t>B1500003553</t>
  </si>
  <si>
    <t>Comp. Dexametona de 8MG</t>
  </si>
  <si>
    <t>HSLM-2023-00370</t>
  </si>
  <si>
    <t>B1500001807</t>
  </si>
  <si>
    <t>Compra de juegos de sabana</t>
  </si>
  <si>
    <t>B1500025568</t>
  </si>
  <si>
    <t>B1500025571</t>
  </si>
  <si>
    <t>B1500002164</t>
  </si>
  <si>
    <t>HSLM-2024-00424</t>
  </si>
  <si>
    <t>B1500004738</t>
  </si>
  <si>
    <t>HSLM-2024-00409</t>
  </si>
  <si>
    <t>B1500005265</t>
  </si>
  <si>
    <t>B1500002112</t>
  </si>
  <si>
    <t>HSLM-2024-00401</t>
  </si>
  <si>
    <t>B1500004379</t>
  </si>
  <si>
    <t>HSLM-2024-00427</t>
  </si>
  <si>
    <t>B1500001460</t>
  </si>
  <si>
    <t>B1500000247</t>
  </si>
  <si>
    <t xml:space="preserve">SUPLIDORES INSTITUCIONALES SRL </t>
  </si>
  <si>
    <t>B1500000223</t>
  </si>
  <si>
    <t>Comp. De catering</t>
  </si>
  <si>
    <t>B1500000224</t>
  </si>
  <si>
    <t>HSLM-2024-00413</t>
  </si>
  <si>
    <t>B1500003554</t>
  </si>
  <si>
    <t>Comp. De ascorbico</t>
  </si>
  <si>
    <t>B1500003990</t>
  </si>
  <si>
    <t>HSLM-2024-00434</t>
  </si>
  <si>
    <t>B1500002254</t>
  </si>
  <si>
    <t>Comp. De espatula cervica</t>
  </si>
  <si>
    <t>HSLM-2024-00431</t>
  </si>
  <si>
    <t>B1500000437</t>
  </si>
  <si>
    <t xml:space="preserve">Compra nebulizadora </t>
  </si>
  <si>
    <t>HSLM-2024-00426</t>
  </si>
  <si>
    <t>B1500000343</t>
  </si>
  <si>
    <t>Comp. De dispensador de gel antibacterial</t>
  </si>
  <si>
    <t>HSLM-2024-00425</t>
  </si>
  <si>
    <t>B1500000919</t>
  </si>
  <si>
    <t>HSLM-2024-00432</t>
  </si>
  <si>
    <t>B1500000755</t>
  </si>
  <si>
    <t>Comp. De jerigan 10 cc</t>
  </si>
  <si>
    <t>HSLM-2024-00430</t>
  </si>
  <si>
    <t>B1500002231</t>
  </si>
  <si>
    <t>Comp. De agua destilada</t>
  </si>
  <si>
    <t>HSLM-2024-00428</t>
  </si>
  <si>
    <t>B1500001461</t>
  </si>
  <si>
    <t>B1500149536</t>
  </si>
  <si>
    <t>Comp.  de botellas de guas</t>
  </si>
  <si>
    <t>B1500025582</t>
  </si>
  <si>
    <t>B1500025585</t>
  </si>
  <si>
    <t>B1500025588</t>
  </si>
  <si>
    <t>B1500025593</t>
  </si>
  <si>
    <t>HSLM-2024-00442</t>
  </si>
  <si>
    <t>B1500000910</t>
  </si>
  <si>
    <t>B1500000216</t>
  </si>
  <si>
    <t>Desechables</t>
  </si>
  <si>
    <t>B1500000217</t>
  </si>
  <si>
    <t>HSLM-2024-00435</t>
  </si>
  <si>
    <t>B1500000450</t>
  </si>
  <si>
    <t>HSLM-2024-00438</t>
  </si>
  <si>
    <t>B1500000531</t>
  </si>
  <si>
    <t>Comp. De lechugas y tomate de ensalada</t>
  </si>
  <si>
    <t>B1500025618</t>
  </si>
  <si>
    <t>HSLM-2024-00453</t>
  </si>
  <si>
    <t>Aire Acondicionado 12</t>
  </si>
  <si>
    <t>B1500000927</t>
  </si>
  <si>
    <t>FUMIGACIONES MARINO NUÑEZ</t>
  </si>
  <si>
    <t>Servicios de fumigacion</t>
  </si>
  <si>
    <t>HSLM-2024-00444</t>
  </si>
  <si>
    <t>E450000000014</t>
  </si>
  <si>
    <t>Comp. De equipo de rayos x dental de pared</t>
  </si>
  <si>
    <t>HSLM-2024-00451</t>
  </si>
  <si>
    <t>B1500002031</t>
  </si>
  <si>
    <t>B1500000346</t>
  </si>
  <si>
    <t>Compras de fundas rojas</t>
  </si>
  <si>
    <t>ZEN PHARMACEUTHICAL, SRL</t>
  </si>
  <si>
    <t>B1500000593</t>
  </si>
  <si>
    <t>B1500174392</t>
  </si>
  <si>
    <t>B1500025625</t>
  </si>
  <si>
    <t>B1500025633</t>
  </si>
  <si>
    <t>B1500002171</t>
  </si>
  <si>
    <t>GTA ELEVATORS, SRL</t>
  </si>
  <si>
    <t>Reparacion  bocina</t>
  </si>
  <si>
    <t>HSLM-2024-00456</t>
  </si>
  <si>
    <t>B1500005451</t>
  </si>
  <si>
    <t>B1500000151</t>
  </si>
  <si>
    <t>Compra de sensor de oxigeno yfiltro antibateriano</t>
  </si>
  <si>
    <t>HSLM-2024-00452</t>
  </si>
  <si>
    <t>B1500003998</t>
  </si>
  <si>
    <t>B1500025639</t>
  </si>
  <si>
    <t>HSLM-2024-00459</t>
  </si>
  <si>
    <t>HSLM-2024-00440</t>
  </si>
  <si>
    <t>HSLM-2024-00461</t>
  </si>
  <si>
    <t>Impresora de etiqueta</t>
  </si>
  <si>
    <t>HSLM-2024-00446</t>
  </si>
  <si>
    <t>B1500000451</t>
  </si>
  <si>
    <t>HSLM-2024-454</t>
  </si>
  <si>
    <t>Comp. Materiales de limpieza</t>
  </si>
  <si>
    <t>B1500025647</t>
  </si>
  <si>
    <t>B1500025648</t>
  </si>
  <si>
    <t>HSLM-2024-00465</t>
  </si>
  <si>
    <t>HSLM-2024-00467</t>
  </si>
  <si>
    <t>B1500001463</t>
  </si>
  <si>
    <t>HSLM-2024-00470</t>
  </si>
  <si>
    <t>Comp. De medicamnetos</t>
  </si>
  <si>
    <t>HSLM-2024-00466</t>
  </si>
  <si>
    <t>B1500001503</t>
  </si>
  <si>
    <t>Reactivos para maquina de gasomtro</t>
  </si>
  <si>
    <t>HSLM-2024-00474</t>
  </si>
  <si>
    <t>Comp. De talonario</t>
  </si>
  <si>
    <t>HSLM-2024-00473</t>
  </si>
  <si>
    <t>Comp. De t-shirts actividad de medio ambiente</t>
  </si>
  <si>
    <t>HSLM-2024-00476</t>
  </si>
  <si>
    <t>B1500025666</t>
  </si>
  <si>
    <t>B1500025675</t>
  </si>
  <si>
    <t>HSLM-2024-00471</t>
  </si>
  <si>
    <t>B1500001504</t>
  </si>
  <si>
    <t>HSLM-2024-00479</t>
  </si>
  <si>
    <t>B1500025680</t>
  </si>
  <si>
    <t>B1500002179</t>
  </si>
  <si>
    <t>HSLM-2024-00481</t>
  </si>
  <si>
    <t>B1500000333</t>
  </si>
  <si>
    <t>Comp. De kit  cirugia general</t>
  </si>
  <si>
    <t>HSLM-2024-00468</t>
  </si>
  <si>
    <t>B1500000883</t>
  </si>
  <si>
    <t>PRODUCTOS DIVERSO DEL CARIBE (PRODIDCA)</t>
  </si>
  <si>
    <t>HSLM-2024-00472</t>
  </si>
  <si>
    <t>B1500000005</t>
  </si>
  <si>
    <t>Comp. De licuadora indutrial, abanico y extractor de grasa</t>
  </si>
  <si>
    <t>HSLM-2024-00482</t>
  </si>
  <si>
    <t>B1500001073</t>
  </si>
  <si>
    <t>B1500174942</t>
  </si>
  <si>
    <t>HSLM-2024-00275</t>
  </si>
  <si>
    <t>Adquisicion de incubadora</t>
  </si>
  <si>
    <t>HSLM-2024-00488</t>
  </si>
  <si>
    <t>HSLM-2024-00480</t>
  </si>
  <si>
    <t>B1500000074</t>
  </si>
  <si>
    <t>B1500025717</t>
  </si>
  <si>
    <t>ALTAPHARMA DOMINICANA, S.RL</t>
  </si>
  <si>
    <t>HSLM-2024-00490</t>
  </si>
  <si>
    <t>HSLM-2024-00498</t>
  </si>
  <si>
    <t>B1500000886</t>
  </si>
  <si>
    <t>HSLM-2024-00487</t>
  </si>
  <si>
    <t>B1500004270</t>
  </si>
  <si>
    <t>E450000002303</t>
  </si>
  <si>
    <t>HSLM-2024-00477</t>
  </si>
  <si>
    <t>B1500000038</t>
  </si>
  <si>
    <t>HSLM-2024-00504</t>
  </si>
  <si>
    <t>B1500002827</t>
  </si>
  <si>
    <t>HEBROM MEDICAL, S.R.L</t>
  </si>
  <si>
    <t>HSLM-2024-00499</t>
  </si>
  <si>
    <t>B1500000136</t>
  </si>
  <si>
    <t>HSLM-2024-00502</t>
  </si>
  <si>
    <t>B1500005484</t>
  </si>
  <si>
    <t>HSLM-2024-00485</t>
  </si>
  <si>
    <t>B1500007577</t>
  </si>
  <si>
    <t>B1500174948</t>
  </si>
  <si>
    <t>HSLM-2024-00505</t>
  </si>
  <si>
    <t>B1500000055</t>
  </si>
  <si>
    <t>HSLM-2024-00503</t>
  </si>
  <si>
    <t>B1500000940</t>
  </si>
  <si>
    <t>B1500001105</t>
  </si>
  <si>
    <t>Compra de pan en el mes de noviembre   2026</t>
  </si>
  <si>
    <t>HSLM-2024-00511</t>
  </si>
  <si>
    <t>HSLM-2024-00507</t>
  </si>
  <si>
    <t>B1500001074</t>
  </si>
  <si>
    <t>HSLM-2024-00484</t>
  </si>
  <si>
    <t>Compra de televisores</t>
  </si>
  <si>
    <t>B1500000228</t>
  </si>
  <si>
    <t>HSLM-2024-00510</t>
  </si>
  <si>
    <t>Compra de sensor  de flujo para vetilador</t>
  </si>
  <si>
    <t>Servicios de catering</t>
  </si>
  <si>
    <t>HSLM-2024-00403</t>
  </si>
  <si>
    <t>HSLM-2024-00509</t>
  </si>
  <si>
    <t>B1500001445</t>
  </si>
  <si>
    <t>Monitores multiparametro</t>
  </si>
  <si>
    <t>HSLM-2024-00441</t>
  </si>
  <si>
    <t>B1500001446</t>
  </si>
  <si>
    <t>Comp. De maquina de anestesias</t>
  </si>
  <si>
    <t xml:space="preserve">SUMECA, SRL </t>
  </si>
  <si>
    <t>Levantamiento y evaluacion</t>
  </si>
  <si>
    <t>HSLM-2024-00523</t>
  </si>
  <si>
    <t>B1500000334</t>
  </si>
  <si>
    <t>HSLM-2024-00506</t>
  </si>
  <si>
    <t>B1500004274</t>
  </si>
  <si>
    <t>HSLM-2024-00522</t>
  </si>
  <si>
    <t>B1500004011</t>
  </si>
  <si>
    <t>HSLM-2024-00494</t>
  </si>
  <si>
    <t>B1500001843</t>
  </si>
  <si>
    <t>Compra de sillas de visitas</t>
  </si>
  <si>
    <t>B1500025819</t>
  </si>
  <si>
    <t>B1500025820</t>
  </si>
  <si>
    <t>B1500025821</t>
  </si>
  <si>
    <t>B1500025815</t>
  </si>
  <si>
    <t>B1500002188</t>
  </si>
  <si>
    <t>HSLM-2024-00532</t>
  </si>
  <si>
    <t>B1500000949</t>
  </si>
  <si>
    <t>HSLM-2024-00529</t>
  </si>
  <si>
    <t>B1500000947</t>
  </si>
  <si>
    <t>HSLM-2024-00533</t>
  </si>
  <si>
    <t>B1500000950</t>
  </si>
  <si>
    <t>HSLM-2024-00530</t>
  </si>
  <si>
    <t>B1500000948</t>
  </si>
  <si>
    <t>HSLM-2024-00469</t>
  </si>
  <si>
    <t>B1500000421</t>
  </si>
  <si>
    <t>Servicios de cultivo de agua y recoleccion y preservacion de agua</t>
  </si>
  <si>
    <t>KRONGEL COMER, SRL.</t>
  </si>
  <si>
    <t>HSLM-2024-00520</t>
  </si>
  <si>
    <t>B1500000275</t>
  </si>
  <si>
    <t>Compras de equipoe tecnologico</t>
  </si>
  <si>
    <t>HSLM-2024-00528</t>
  </si>
  <si>
    <t>B1500001079</t>
  </si>
  <si>
    <t>HSLM-2024-00489</t>
  </si>
  <si>
    <t>B1500000039</t>
  </si>
  <si>
    <t xml:space="preserve">Compra de escritorio </t>
  </si>
  <si>
    <t>HSLM-2024-00497</t>
  </si>
  <si>
    <t>B1500000040</t>
  </si>
  <si>
    <t>B1500025831</t>
  </si>
  <si>
    <t>B1500025851</t>
  </si>
  <si>
    <t>B1500025889</t>
  </si>
  <si>
    <t>HSLM-2024-00536</t>
  </si>
  <si>
    <t>B1500000231</t>
  </si>
  <si>
    <t>Servicios de desifencios de las habitaciones</t>
  </si>
  <si>
    <t>HSLM-2024-00541</t>
  </si>
  <si>
    <t>B1500000892</t>
  </si>
  <si>
    <t>HSLM-2024-00539</t>
  </si>
  <si>
    <t>B1500000276</t>
  </si>
  <si>
    <t>B1500025879</t>
  </si>
  <si>
    <t>B1500025876</t>
  </si>
  <si>
    <t>HSLM-2024-00550</t>
  </si>
  <si>
    <t>B1500006856</t>
  </si>
  <si>
    <t>HSLM-2024-00531</t>
  </si>
  <si>
    <t>B1500000066</t>
  </si>
  <si>
    <t>HSLM-2024-00542</t>
  </si>
  <si>
    <t>B1500001454</t>
  </si>
  <si>
    <t>Materiales de limpieza</t>
  </si>
  <si>
    <t>EVESA COMERCIAL, SRL</t>
  </si>
  <si>
    <t>HSLM-2024-00460</t>
  </si>
  <si>
    <t>Comp. De zafacon</t>
  </si>
  <si>
    <t xml:space="preserve">ARDAN </t>
  </si>
  <si>
    <t>Sorft de gestion hospitalizacion</t>
  </si>
  <si>
    <t>B1500025887</t>
  </si>
  <si>
    <t>HSLM-2024-00549</t>
  </si>
  <si>
    <t>HSLM-2024-00538</t>
  </si>
  <si>
    <t>Comp de nebulizadores pediatria</t>
  </si>
  <si>
    <t>HSLM-2024-00546</t>
  </si>
  <si>
    <t>B1500005123</t>
  </si>
  <si>
    <t>B1500002192</t>
  </si>
  <si>
    <t>HSLM-2024-00565</t>
  </si>
  <si>
    <t>HSLM-2024-00562</t>
  </si>
  <si>
    <t>B1500000960</t>
  </si>
  <si>
    <t>HSLM-2024-00563</t>
  </si>
  <si>
    <t>B1500000961</t>
  </si>
  <si>
    <t>FELIPE ANTONIO MORE PAULINO</t>
  </si>
  <si>
    <t>HSLM-2024-00501</t>
  </si>
  <si>
    <t>B1500000108</t>
  </si>
  <si>
    <t>Materiales impresos</t>
  </si>
  <si>
    <t>HSLM-2024-00500</t>
  </si>
  <si>
    <t>GRUPO XERON MEDIC, SRL</t>
  </si>
  <si>
    <t>HSLM-2024-00553</t>
  </si>
  <si>
    <t>HSLM-2024-00552</t>
  </si>
  <si>
    <t>B1500000041</t>
  </si>
  <si>
    <t>Compra de silla de visita,sofa de 3 plaza</t>
  </si>
  <si>
    <t>HSLM-2024-00571</t>
  </si>
  <si>
    <t>HSLM-2024-00557</t>
  </si>
  <si>
    <t>E450000000470</t>
  </si>
  <si>
    <t>HSLM-2024-00574</t>
  </si>
  <si>
    <t>E450000000082</t>
  </si>
  <si>
    <t>Cateter</t>
  </si>
  <si>
    <t>HSLM-2024-00575</t>
  </si>
  <si>
    <t>B1500005534</t>
  </si>
  <si>
    <t>HSLM-2024-00560</t>
  </si>
  <si>
    <t>B1500000460</t>
  </si>
  <si>
    <t>HSLM-2024-00566</t>
  </si>
  <si>
    <t>B1500001084</t>
  </si>
  <si>
    <t>HSLM-2024-00561</t>
  </si>
  <si>
    <t>B1500004017</t>
  </si>
  <si>
    <t>B1500025941</t>
  </si>
  <si>
    <t>HSLM-2024-00554</t>
  </si>
  <si>
    <t>B1500000924</t>
  </si>
  <si>
    <t>HSLM-2024-00569</t>
  </si>
  <si>
    <t>B1500014700</t>
  </si>
  <si>
    <t>HSLM-2024-00556</t>
  </si>
  <si>
    <t>B1500014698</t>
  </si>
  <si>
    <t>CEM CARIBBEAN EQUIPMENT MEDICAL, ERL.</t>
  </si>
  <si>
    <t>HSLM-2024-570</t>
  </si>
  <si>
    <t>B1500000802</t>
  </si>
  <si>
    <t>oximetro de pulso</t>
  </si>
  <si>
    <t>INGENIERIA MULTIPLES INTEGRAL MORETA BAUTISTA (IMMI MB)</t>
  </si>
  <si>
    <t>HSLM-2024-00568</t>
  </si>
  <si>
    <t>Servicios de instalacion de plafones</t>
  </si>
  <si>
    <t>HSLM-2024-00555</t>
  </si>
  <si>
    <t>B1500002335</t>
  </si>
  <si>
    <t>HSLM-2024-00564</t>
  </si>
  <si>
    <t>HSLM-2024-00540</t>
  </si>
  <si>
    <t>B1500004418</t>
  </si>
  <si>
    <t>HSLM-2024-00576</t>
  </si>
  <si>
    <t>B1500000019</t>
  </si>
  <si>
    <t>B1500000512</t>
  </si>
  <si>
    <t>Adquisicion de Medicamentos</t>
  </si>
  <si>
    <t>HSLM-2024-00583</t>
  </si>
  <si>
    <t>B1500001387</t>
  </si>
  <si>
    <t>B1500002201</t>
  </si>
  <si>
    <t>HSLM-2024-00585</t>
  </si>
  <si>
    <t>B1500000014</t>
  </si>
  <si>
    <t>HSLM-2024-00581</t>
  </si>
  <si>
    <t>B1500001599</t>
  </si>
  <si>
    <t>B1500000383</t>
  </si>
  <si>
    <t>HSLM-2024-00589</t>
  </si>
  <si>
    <t>B1500014743</t>
  </si>
  <si>
    <t>B1500001088</t>
  </si>
  <si>
    <t>HSLM-2024-00593</t>
  </si>
  <si>
    <t>B1500001087</t>
  </si>
  <si>
    <t>HSLM-2024-00591</t>
  </si>
  <si>
    <t>B1500000273</t>
  </si>
  <si>
    <t>Comp. De gasoil</t>
  </si>
  <si>
    <t>HSLM-2024-00594</t>
  </si>
  <si>
    <t>B1500004028</t>
  </si>
  <si>
    <t>B1500000020</t>
  </si>
  <si>
    <t>B1500007666</t>
  </si>
  <si>
    <t>B1500002409</t>
  </si>
  <si>
    <t>HSLM-2024-00603</t>
  </si>
  <si>
    <t>B1500005564</t>
  </si>
  <si>
    <t>HSLM-2024-00602</t>
  </si>
  <si>
    <t>B1500000337</t>
  </si>
  <si>
    <t>COSMOS SOLUTIONS, SRL</t>
  </si>
  <si>
    <t>HSLM-2024-00579</t>
  </si>
  <si>
    <t>B1500000076</t>
  </si>
  <si>
    <t>Electrodos</t>
  </si>
  <si>
    <t>META SALUD</t>
  </si>
  <si>
    <t xml:space="preserve">Del ejercicio terminado al  30 de junio 2024 y 2023 </t>
  </si>
  <si>
    <t>corregir el encabezado del estado, valido para todos</t>
  </si>
  <si>
    <t>Cod.Capí­tulo</t>
  </si>
  <si>
    <t>Capí­tulo</t>
  </si>
  <si>
    <t>Cod.SubCapitulo</t>
  </si>
  <si>
    <t>SubCapitulo</t>
  </si>
  <si>
    <t>Cod.Unidad Ejecutora</t>
  </si>
  <si>
    <t>Unidad Ejecutora</t>
  </si>
  <si>
    <t>Cod.Fuentes Financiamiento</t>
  </si>
  <si>
    <t>Fuentes Financiamiento</t>
  </si>
  <si>
    <t>Cod.Actividad / Obra</t>
  </si>
  <si>
    <t>Actividad / Obra</t>
  </si>
  <si>
    <t>Cod.Función</t>
  </si>
  <si>
    <t>Función</t>
  </si>
  <si>
    <t>Cod.Programa</t>
  </si>
  <si>
    <t>Programa</t>
  </si>
  <si>
    <t>Cod.Organismos Financiadores</t>
  </si>
  <si>
    <t>Organismos Financiadores</t>
  </si>
  <si>
    <t>Cod.Fuente Especifica</t>
  </si>
  <si>
    <t>Fuente Especifica</t>
  </si>
  <si>
    <t>Cod.Tp. Transacción</t>
  </si>
  <si>
    <t>Tp. Transacción</t>
  </si>
  <si>
    <t>Número Documento</t>
  </si>
  <si>
    <t>Cod.Inst. Rec.</t>
  </si>
  <si>
    <t>Inst. Rec.</t>
  </si>
  <si>
    <t>Concepto Formulario</t>
  </si>
  <si>
    <t>Fch.Hist.Imputación</t>
  </si>
  <si>
    <t>Fch.Hist.Registro</t>
  </si>
  <si>
    <t>Cod.Ref CCP Cuenta</t>
  </si>
  <si>
    <t>Ref CCP Cuenta</t>
  </si>
  <si>
    <t>Cod.Ref CCP SubCuenta</t>
  </si>
  <si>
    <t>Ref CCP SubCuenta</t>
  </si>
  <si>
    <t>Cod.Ref CCP Aux</t>
  </si>
  <si>
    <t>Ref CCP Aux</t>
  </si>
  <si>
    <t>Devengado Aprobado</t>
  </si>
  <si>
    <t>Pagado Aprobado</t>
  </si>
  <si>
    <t>5180</t>
  </si>
  <si>
    <t>DIRECCION CENTRAL DEL SERVICIO NACIONAL DE SALUD</t>
  </si>
  <si>
    <t>01</t>
  </si>
  <si>
    <t>0014</t>
  </si>
  <si>
    <t>HOSPITAL MATERNO-INFANTIL SAN LORENZO DE LOS MINA</t>
  </si>
  <si>
    <t>10</t>
  </si>
  <si>
    <t>FONDO GENERAL</t>
  </si>
  <si>
    <t>0001</t>
  </si>
  <si>
    <t>Dirección y Coordinación</t>
  </si>
  <si>
    <t>001</t>
  </si>
  <si>
    <t>N/A</t>
  </si>
  <si>
    <t>40</t>
  </si>
  <si>
    <t>Salud materno neonatal</t>
  </si>
  <si>
    <t>100</t>
  </si>
  <si>
    <t>TESORO NACIONAL</t>
  </si>
  <si>
    <t>0100</t>
  </si>
  <si>
    <t>000001</t>
  </si>
  <si>
    <t>Pago</t>
  </si>
  <si>
    <t>8</t>
  </si>
  <si>
    <t>0000</t>
  </si>
  <si>
    <t>NO APLICA</t>
  </si>
  <si>
    <t>HOSANLORE. SUELDO ENERO 2024_x000D_
HOSPITAL SAN LORENZO DE LOS MINA_x000D_
FIJOS</t>
  </si>
  <si>
    <t>25/01/2024</t>
  </si>
  <si>
    <t>2.1.1</t>
  </si>
  <si>
    <t>REMUNERACIONES</t>
  </si>
  <si>
    <t>2.1.1.1</t>
  </si>
  <si>
    <t>Remuneraciones al personal fijo</t>
  </si>
  <si>
    <t>2.1.1.1.01</t>
  </si>
  <si>
    <t>Sueldos empleados fijos</t>
  </si>
  <si>
    <t>2.1.2</t>
  </si>
  <si>
    <t>SOBRESUELDOS</t>
  </si>
  <si>
    <t>2.1.2.1</t>
  </si>
  <si>
    <t>Primas por antigüedad</t>
  </si>
  <si>
    <t>2.1.2.1.01</t>
  </si>
  <si>
    <t>2.1.2.2</t>
  </si>
  <si>
    <t>Compensación</t>
  </si>
  <si>
    <t>2.1.2.2.08</t>
  </si>
  <si>
    <t>Compensaciones especiales</t>
  </si>
  <si>
    <t>2.1.2.2.12</t>
  </si>
  <si>
    <t>Compensación por cargo al personal policial</t>
  </si>
  <si>
    <t>2.1.2.2.13</t>
  </si>
  <si>
    <t>Incentivo por riesgo laboral al personal militar y policial</t>
  </si>
  <si>
    <t>2.1.5</t>
  </si>
  <si>
    <t>CONTRIBUCIONES A LA SEGURIDAD SOCIAL</t>
  </si>
  <si>
    <t>2.1.5.1</t>
  </si>
  <si>
    <t>2.1.5.1.01</t>
  </si>
  <si>
    <t>2.1.5.2</t>
  </si>
  <si>
    <t>2.1.5.2.01</t>
  </si>
  <si>
    <t>2.1.5.3</t>
  </si>
  <si>
    <t>2.1.5.3.01</t>
  </si>
  <si>
    <t>9</t>
  </si>
  <si>
    <t>HOSANLORE. SUELDO ENERO 2024_x000D_
HOSPITAL SAN LORENZO DE LOS MINA_x000D_
TEMPORAL</t>
  </si>
  <si>
    <t>2.1.1.2</t>
  </si>
  <si>
    <t>2.1.1.2.08</t>
  </si>
  <si>
    <t>Empleados temporales</t>
  </si>
  <si>
    <t>16</t>
  </si>
  <si>
    <t>HOSANLORE. SUELDO FEBRERO 2024_x000D_
HOSPITAL SAN LORENZO DE LOS MINA_x000D_
TEMPORAL</t>
  </si>
  <si>
    <t>23/02/2024</t>
  </si>
  <si>
    <t>17</t>
  </si>
  <si>
    <t>HOSANLORE. SUELDO FEBRERO 2024_x000D_
HOSPITAL SAN LORENZO DE LOS MINA_x000D_
FIJO</t>
  </si>
  <si>
    <t>HOSANLORE. PAGO DE VACACIONES NO DISFRUTADAS  A EX- EMPLEADOS_x000D_
NOMINA FINAL FEBRERO 2024</t>
  </si>
  <si>
    <t>04/03/2024</t>
  </si>
  <si>
    <t>2.1.1.5</t>
  </si>
  <si>
    <t>Prestaciones económicas</t>
  </si>
  <si>
    <t>2.1.1.5.04</t>
  </si>
  <si>
    <t>Proporción de vacaciones no disfrutadas</t>
  </si>
  <si>
    <t>26</t>
  </si>
  <si>
    <t>HOSANLORE. PAGO DE PRESTACIONES LABORALES EX-EMPLEADO._x000D_
NOMINA FINAL FEBRERO 2024</t>
  </si>
  <si>
    <t>2.1.1.5.03</t>
  </si>
  <si>
    <t>Prestación laboral por desvinculación</t>
  </si>
  <si>
    <t>165</t>
  </si>
  <si>
    <t>HOSANLORE. SUELDO DE MARZO 2024_x000D_
NOMINA FIJOS</t>
  </si>
  <si>
    <t>21/03/2024</t>
  </si>
  <si>
    <t>166</t>
  </si>
  <si>
    <t>HOSANLORE. SUELDO DE MARZO 2024_x000D_
NOMINA TEMPORAL</t>
  </si>
  <si>
    <t>240</t>
  </si>
  <si>
    <t>Pago de Fact NCF No. B1500000390, por adquisicion de medicamentos, según orden de compra HSLM-2024-00044</t>
  </si>
  <si>
    <t>26/03/2024</t>
  </si>
  <si>
    <t>PRODUCTOS FARMACÉUTICOS</t>
  </si>
  <si>
    <t>2.3.4.1</t>
  </si>
  <si>
    <t>Productos medicinales para uso humano</t>
  </si>
  <si>
    <t>241</t>
  </si>
  <si>
    <t>Pago de Fact NCF No. B1500000247, por adquisicion de medicamentos, según orden de compra HSLM-2023-00880</t>
  </si>
  <si>
    <t>242</t>
  </si>
  <si>
    <t>PAGO DE FACT NCF NO. B1500000389, POR ADQUISICION DE MEDICAMENTOS, SEGÚN ORDEN DE COMPRA HSLM-2024-00022.</t>
  </si>
  <si>
    <t>386</t>
  </si>
  <si>
    <t>Pago de Fact NCF No. B1500001921, por adquisicion de reactivos, según orden de compra HSLM-2024-00033</t>
  </si>
  <si>
    <t>01/04/2024</t>
  </si>
  <si>
    <t>COMBUSTIBLES, LUBRICANTES, PRODUCTOS QUÍMICOS Y CONEXOS</t>
  </si>
  <si>
    <t>2.3.7.2</t>
  </si>
  <si>
    <t>Productos químicos y conexos</t>
  </si>
  <si>
    <t>387</t>
  </si>
  <si>
    <t>PAGO DE FACT NCF B1500001006 POR ADQUISICION DE MEDICAMENTOS SEGUN O/C HSLM-2023-01014.</t>
  </si>
  <si>
    <t>388</t>
  </si>
  <si>
    <t>PAGO DE FACT NCF B1500000196 POR ADQUISICION DE ESTANTERIA DE ANGULOS RANURADOS SEGUN O/C HSLM-2024-00052.</t>
  </si>
  <si>
    <t>MOBILIARIO Y EQUIPO</t>
  </si>
  <si>
    <t>2.6.1.1</t>
  </si>
  <si>
    <t>Muebles, equipos de oficina y estantería</t>
  </si>
  <si>
    <t>389</t>
  </si>
  <si>
    <t>Pago de Fact NCF No. B1500003846, por adquisicion de útil medico, según orden de compra  HSLM-2024-00007</t>
  </si>
  <si>
    <t>PRODUCTOS Y ÚTILES VARIOS</t>
  </si>
  <si>
    <t>2.3.9.3</t>
  </si>
  <si>
    <t>Útiles menores médico, quirúrgicos o de laboratorio</t>
  </si>
  <si>
    <t>390</t>
  </si>
  <si>
    <t>PAGO DE FACT NCF B1500003853 POR ADQUISICION DE BROMURO IPATROPIO SEGUN O/C HSLM-2024-00036.</t>
  </si>
  <si>
    <t>411</t>
  </si>
  <si>
    <t>Pago de Fact NCF No. B1500000253, por adquisicion de medicamentos, según orden de compra HSLM-2023-00882</t>
  </si>
  <si>
    <t>02/04/2024</t>
  </si>
  <si>
    <t>412</t>
  </si>
  <si>
    <t>PAGO DE FACT NCF B1500000396 POR ADQUISICION DE SEVOFLURANO 250ML SEGUN O/C HSLM-2024-00121.</t>
  </si>
  <si>
    <t>413</t>
  </si>
  <si>
    <t>Pago de Fact NCF No. B1500003838, por adquisicion de medicamentos, según orden de compra HSLM-2023-01001</t>
  </si>
  <si>
    <t>414</t>
  </si>
  <si>
    <t>PAGO NCF B1500000012 ADQUISICION DE BATAS PARA PACIENTES SEGUN O/C HSLM-2024-00150.</t>
  </si>
  <si>
    <t>415</t>
  </si>
  <si>
    <t>Pago de Fact NCF No. B1500000811, por adquisicion de útil medico, según orden de compra HSLM-2023-01034</t>
  </si>
  <si>
    <t>416</t>
  </si>
  <si>
    <t>PAGO DE FACT NCF B1500002191 POR ADQUISICION DE SILLA DE RUEDA SEGUN O/C HSLM-2024-00082.</t>
  </si>
  <si>
    <t>EQUIPO E INSTRUMENTAL, CIENTÍFICO Y LABORATORIO</t>
  </si>
  <si>
    <t>2.6.3.1</t>
  </si>
  <si>
    <t>Equipo médico y de laboratorio</t>
  </si>
  <si>
    <t>417</t>
  </si>
  <si>
    <t>PAGO NCF B1500000325 ADQUISICION DE MEDICAMENTOS SEGUN O/C HSLM-2023-00969.</t>
  </si>
  <si>
    <t>418</t>
  </si>
  <si>
    <t>Pago de Fact NCF No. B1500006507, por adquisicion de reactivos, según orden de compra HSLM-2024-00061</t>
  </si>
  <si>
    <t>420</t>
  </si>
  <si>
    <t>Pago de Fact NCF No. B1500000464, por adquisicion de medicamentos, según orden de compra HSLM-2024-00010</t>
  </si>
  <si>
    <t>03/04/2024</t>
  </si>
  <si>
    <t>421</t>
  </si>
  <si>
    <t>PAGO DE FACT NCF B1500005162 POR ADQUISICION DE SOLUCION SALINO 0.9% 100ML SEGUN O/C HSLM-2024-00101.</t>
  </si>
  <si>
    <t>422</t>
  </si>
  <si>
    <t>Pago de Fact NCF No. B1500003841, por adquisicion de medicamentos, según orden de compra HSLM-2023-01025</t>
  </si>
  <si>
    <t>423</t>
  </si>
  <si>
    <t>PAGO NCF B1500000257 ADQUISICION DE MEDICAMENTOS SEGUN O/C HSLM-2023-01013.</t>
  </si>
  <si>
    <t>424</t>
  </si>
  <si>
    <t>Pago de Fact NCF No. B1500000831, por adquisicion de medicamentos, segun orden de compra HSLM-2023-00996</t>
  </si>
  <si>
    <t>448</t>
  </si>
  <si>
    <t>Pago de Fact NCF No. B1500003854, por adquisicion de medicamentos, segun orden de compra HSLM-2024-00035</t>
  </si>
  <si>
    <t>449</t>
  </si>
  <si>
    <t>PAGO DE FACT NCF B1500001083 POR ADQUISICION DE SOLUCION SALINO 0.9% 100ML SEGUN O/C HSLM-2024-00023.</t>
  </si>
  <si>
    <t>495</t>
  </si>
  <si>
    <t>Pago de Fact NCF No. B1500004475, por adquisicion de medicamentos, según orden de compra HSLM-2024-00032</t>
  </si>
  <si>
    <t>04/04/2024</t>
  </si>
  <si>
    <t>496</t>
  </si>
  <si>
    <t>Pago de Fact NCF No. B1500000873, por adquisicion de reactivos, según orden de compra HSLM-2024-00048</t>
  </si>
  <si>
    <t>510</t>
  </si>
  <si>
    <t>PAGO DE FACT NCF B1500000266 POR ADQUISICION DE GASOIL SEGUN O/C HSLM-2024-00092.</t>
  </si>
  <si>
    <t>05/04/2024</t>
  </si>
  <si>
    <t>2.3.7.1</t>
  </si>
  <si>
    <t>Combustibles y lubricantes</t>
  </si>
  <si>
    <t>2.3.7.1.02</t>
  </si>
  <si>
    <t>529</t>
  </si>
  <si>
    <t>Pago de Fact Varias, correspondientes al mes de enero 2024, según certificación de contrato BS-0015088-2023</t>
  </si>
  <si>
    <t>08/04/2024</t>
  </si>
  <si>
    <t>530</t>
  </si>
  <si>
    <t>Pago de Fact NCF No. B1500000840, por adquisicion de sensor de oximetría, según orden de compra HSLM-2024-00045.</t>
  </si>
  <si>
    <t>531</t>
  </si>
  <si>
    <t>PAGO DE FACT NCF B1500003843 POR ADQUISICION DE UTILES MEDICOS SEGUN O/C HSLM-2023-00999.</t>
  </si>
  <si>
    <t>532</t>
  </si>
  <si>
    <t>PAGO DE FACT NCF B1500001443 POR ADQUISICION DE ESCRITORIO, LOCKER, MESAS Y VITRINAS SEGUN O/C HSLM-2024-00001.</t>
  </si>
  <si>
    <t>533</t>
  </si>
  <si>
    <t>PAGO DE FACT NCF B1500000834 POR ADQUISICION DE OMEPRAZOL Y GEL DE SONOGRAFIA SEGUN O/C HSLM-2024-00144.</t>
  </si>
  <si>
    <t>534</t>
  </si>
  <si>
    <t>PAGO DE FACT NCF B1500003877 POR ADQUISICION DE MEDICAMENTOS SEGUN O/C HSLM-2024-00115.</t>
  </si>
  <si>
    <t>535</t>
  </si>
  <si>
    <t>PAGO DE FACT NCF B1500000190 POR ADQUISICION DE COLCHON PILLOW TOP SEGUN O/C HSLM-2024-00080.</t>
  </si>
  <si>
    <t>2.6.1.2</t>
  </si>
  <si>
    <t>Muebles de alojamiento</t>
  </si>
  <si>
    <t>2.6.1.2.01</t>
  </si>
  <si>
    <t>536</t>
  </si>
  <si>
    <t>PAGO DE FACT NCF B1500000833 POR ADQUISICION DE MEDICAMENTOS Y UTILES MEDICOS SEGUN O/C HSLM-2024-00143.</t>
  </si>
  <si>
    <t>537</t>
  </si>
  <si>
    <t>PAGO NCF B1500000822 ADQUISICION DE CINTA  AUTO CLAVE SEGUN O/C HSLM-2024-00088.</t>
  </si>
  <si>
    <t>538</t>
  </si>
  <si>
    <t>PAGO NCF B1500000057 ADQUISICION DE CATETER JELCO #22 SEGUN O/C HSLM-2024-00038</t>
  </si>
  <si>
    <t>539</t>
  </si>
  <si>
    <t>PAGO NCF B1500002177 ADQUISICION DE UTILES MEDICOS SEGUN O/C HSLM-2024-00008</t>
  </si>
  <si>
    <t>540</t>
  </si>
  <si>
    <t>PAGO DE FACT NCF B1500001685 POR ADQUISICION DE BEBEDEROS SEGUN O/C HSLM-2024-00098.</t>
  </si>
  <si>
    <t>2.6.1.4</t>
  </si>
  <si>
    <t>Electrodomésticos</t>
  </si>
  <si>
    <t>541</t>
  </si>
  <si>
    <t>PAGO DE FACT NCF B1500000302 POR ADQUISICION DE UTILES MEDICOS, SECADOR DE MANOS, Y DISPENSADORES SEGUN O/C HSLM-2024-00120</t>
  </si>
  <si>
    <t>2.3.9.1</t>
  </si>
  <si>
    <t>Útiles y materiales de limpieza e higiene</t>
  </si>
  <si>
    <t>MAQUINARIA, OTROS EQUIPOS Y HERRAMIENTAS</t>
  </si>
  <si>
    <t>2.6.5.2</t>
  </si>
  <si>
    <t>Maquinaria y equipo industrial</t>
  </si>
  <si>
    <t>2.6.5.2.01</t>
  </si>
  <si>
    <t>587</t>
  </si>
  <si>
    <t>PAGO NCF B1500000807 ADQUISICION DE PAPEL CAMILLA SEGUN O/C HSLM-2023-01008.</t>
  </si>
  <si>
    <t>09/04/2024</t>
  </si>
  <si>
    <t>592</t>
  </si>
  <si>
    <t>PAGO DE FACT NCF B1500000337 POR ADQUISICION DE MEDICAMENTOS SEGUN O/C HSLM-2024-00102.</t>
  </si>
  <si>
    <t>594</t>
  </si>
  <si>
    <t>PAGO DE FACT NCF B1500000155 POR ADQUISICION DE GASAS COMPRESAS SEGUN O/C HSLM-2024-00111.</t>
  </si>
  <si>
    <t>10/04/2024</t>
  </si>
  <si>
    <t>595</t>
  </si>
  <si>
    <t>PAGO DE NCF B1500000002 POR ADQUISICION DE MOBILIARIOS DE OFICINA, VITRINA, SILLAS PLASTICAS Y MESAS AUXILIARES SEGUN O/C HSLM-2024-00070.</t>
  </si>
  <si>
    <t>2.6.1.9</t>
  </si>
  <si>
    <t>Otros mobiliarios y equipos no identificados precedentemente</t>
  </si>
  <si>
    <t>2.6.1.9.01</t>
  </si>
  <si>
    <t>Otros Mobiliarios y Equipos no Identificados Precedentemente</t>
  </si>
  <si>
    <t>642</t>
  </si>
  <si>
    <t>Pago de Fact NCF No. B1500003370, por adquisicion de útil medico y medicamentos, según orden de compra HSLM-2024-00081</t>
  </si>
  <si>
    <t>13/04/2024</t>
  </si>
  <si>
    <t>650</t>
  </si>
  <si>
    <t>PAGO DE FACT NCF B1500001426 POR ADQUISICION DE LIBREROS DE MADERA SEGUN O/C HSLM-2023-00970.</t>
  </si>
  <si>
    <t>654</t>
  </si>
  <si>
    <t>Pago de Fact NCf No. B1500000203, por adquisicion de alimentos, segun orden de compra HSLM-2024-00043</t>
  </si>
  <si>
    <t>15/04/2024</t>
  </si>
  <si>
    <t>ALIMENTOS Y PRODUCTOS AGROFORESTALES</t>
  </si>
  <si>
    <t>2.3.1.1</t>
  </si>
  <si>
    <t>655</t>
  </si>
  <si>
    <t>Pago de Fact NCf No. B1500000204, por adquisicion de alimentos, segun orden de compra HSLM-2024-00075</t>
  </si>
  <si>
    <t>656</t>
  </si>
  <si>
    <t>Pago de Fact NCf No. B1500000201, por adquisicion de alimentos, según orden de compra HSLM-2024-00072</t>
  </si>
  <si>
    <t>657</t>
  </si>
  <si>
    <t>Pago de Fact NCf No. B1500000202, por adquisicion de alimentos, segun orden de compra HSLM-2024-00056</t>
  </si>
  <si>
    <t>658</t>
  </si>
  <si>
    <t>PAGO DE FACT NCF B1500003723 POR ADQUISICION DE MEDICAMENTOS SEGUN O/C HSLM-2023-00863.</t>
  </si>
  <si>
    <t>659</t>
  </si>
  <si>
    <t>PAGO DE FACT NCF NO, B1500001398, POR ADQUISICION DE INCUBADORA DE TRANSPORTE, SEGUN ORDEN DE COMPRA HSLM-2024-00066</t>
  </si>
  <si>
    <t>662</t>
  </si>
  <si>
    <t>PAGO DE FACT NCF B1500001156 POR ADQUISICION DE NORADRENALINA AMP SEGUN O/C HSLM-2023-00586.</t>
  </si>
  <si>
    <t>701</t>
  </si>
  <si>
    <t>Pago de Fact B1500000065, por adquisicion de lampara LED de Quirófano, según orden de compra HSLM-2023-00995</t>
  </si>
  <si>
    <t>702</t>
  </si>
  <si>
    <t>Pago de Fact B1500001369, por adquisicion de carro de paro y desfribilador con monitor, según orden de compra HSLM-2023-00812</t>
  </si>
  <si>
    <t>704</t>
  </si>
  <si>
    <t>Pago de Fact NCF No. B1500000317, por adquisicion de transductor y servicio de mantenimiento, segun orden de compra HSLM-2023-00723</t>
  </si>
  <si>
    <t>706</t>
  </si>
  <si>
    <t>PAGO DE FACT NCF B1500000166 POR ADQUISICION DE TERMOS DE CAFE 2.2 LITROS Y AZUCARERA SEGUN O/C HSLM-2023-00096.</t>
  </si>
  <si>
    <t>867</t>
  </si>
  <si>
    <t>PAGO DE FACT NCF B1500001028 POR ADQUISICION DE ANAQUELES Y LOCKERS SEGUN O/C HSLM-2023-00711.</t>
  </si>
  <si>
    <t>18/04/2024</t>
  </si>
  <si>
    <t>901</t>
  </si>
  <si>
    <t>Pago de Fact NCF No. B1500000206. por adquisicion de alimentos, según orden de compra HSLM-2024-00167</t>
  </si>
  <si>
    <t>22/04/2024</t>
  </si>
  <si>
    <t>902</t>
  </si>
  <si>
    <t>HOSANLORE. SUELDOS  NOMINA FIJO ABRIL 2024</t>
  </si>
  <si>
    <t>904</t>
  </si>
  <si>
    <t>HOSANLORE. SUELDOS  NOMINA TEMPORAL  ABRIL 2024</t>
  </si>
  <si>
    <t>931</t>
  </si>
  <si>
    <t>PAGO FACT NCF NO. B1500000207, POR ADQUISICION DE ALIMENTOS, SEGÚN ORDEN DE COMPRA HSLM-2024-00165</t>
  </si>
  <si>
    <t>24/04/2024</t>
  </si>
  <si>
    <t>932</t>
  </si>
  <si>
    <t>Pago de Fact NCF No. B1500000306, por adquisicion de medicamentos, según orden de compra HSLM-2024-00149</t>
  </si>
  <si>
    <t>941</t>
  </si>
  <si>
    <t>Pago de Fact NCF No, B1500013725 y B1500013696, por adquisicion de reactivos, según orden de compra HSLM-2023-00977</t>
  </si>
  <si>
    <t>1011</t>
  </si>
  <si>
    <t>PAGO NCF B1500000428 ADQUISICION DE SENTROL COMPUESTO AMPOLLA SEGUN O/C HSLM-2024-00067.</t>
  </si>
  <si>
    <t>25/04/2024</t>
  </si>
  <si>
    <t>1019</t>
  </si>
  <si>
    <t>Pago de Fact NCF No. B1500001954, por adquisicion de reactivos, según orden de compra HSLM-2024-00140</t>
  </si>
  <si>
    <t>29/04/2024</t>
  </si>
  <si>
    <t>PAPEL, CARTÓN E IMPRESOS</t>
  </si>
  <si>
    <t>2.3.3.1</t>
  </si>
  <si>
    <t>1021</t>
  </si>
  <si>
    <t>PAGO DE FACT NCF NO. B1500000724, POR ADQUISICION DE UTIL MEDICO, SEGUN ORDEN DE COMPRA HSLM-2024-00148</t>
  </si>
  <si>
    <t>1023</t>
  </si>
  <si>
    <t>PAGO DE FACT NCF B1500000880 POR ADQUISICION DE REACTIVOS SEGUN O/C HSLM-2024-00139.</t>
  </si>
  <si>
    <t>30/04/2024</t>
  </si>
  <si>
    <t>1026</t>
  </si>
  <si>
    <t>Pago de Fact NCF No. B1500001792, por adquisicion de taburete y escalinata metálica, según orden de compra HSLM-2024-00141</t>
  </si>
  <si>
    <t>01/05/2024</t>
  </si>
  <si>
    <t>1028</t>
  </si>
  <si>
    <t>PAGO DE FACT NCF B1500000205 POR ADQUISICION DE ALIMENTOS SEGUN O/C HSLM-2024-00164.</t>
  </si>
  <si>
    <t>1030</t>
  </si>
  <si>
    <t>PAGO DE FACT NCF B1500004077 POR ADQUISICION DE MEDICAMENTOS SEGUN O/C HSLM-2023-00884.</t>
  </si>
  <si>
    <t>1044</t>
  </si>
  <si>
    <t>Pago de Fact NCF No. B1500000008, por adquisicion de maquina industrial de costura, según orden de compra HSLM-2023-00755</t>
  </si>
  <si>
    <t>03/05/2024</t>
  </si>
  <si>
    <t>1045</t>
  </si>
  <si>
    <t>HOSANLORE. ADICIONAL FIJO ABRIL 2024</t>
  </si>
  <si>
    <t>1049</t>
  </si>
  <si>
    <t>PAGO DE FACT NCF B1500000522 POR ADQUISICION DE ASPIRADOR DE SECRECIONES ELECTRICA SEGUN O/C HSLM-2023-00820.</t>
  </si>
  <si>
    <t>07/05/2024</t>
  </si>
  <si>
    <t>1050</t>
  </si>
  <si>
    <t>PAGO DE FACT NCF B1500000832 POR ADQUISICION UTILES MEDICOS SEGUN O/C HSLM-2023-00958.</t>
  </si>
  <si>
    <t>1089</t>
  </si>
  <si>
    <t>PAGO DE FACT NCF B1500000318 POR ADQUISICION DE DISPARADOR DE MANOS DE RAYOS X, BATERIA Y  SERVICIO DE MANTENIMIENTO DE RAYOS X SEGUN O/C HSLM-2023-00933.</t>
  </si>
  <si>
    <t>10/05/2024</t>
  </si>
  <si>
    <t>1098</t>
  </si>
  <si>
    <t>PAGO DE FACT NCF B1500000098 POR ADQUISICION DE CAMILLA GINECOLOGICA AZUL SEGUN O/C HSLM-2024-00259.</t>
  </si>
  <si>
    <t>13/05/2024</t>
  </si>
  <si>
    <t>1133</t>
  </si>
  <si>
    <t>PAGO DE FACT NCF B1500000096 POR ADQUISICION DE  CARROS DE PARO SEGUN O/C HSLM-2024-00271.</t>
  </si>
  <si>
    <t>15/05/2024</t>
  </si>
  <si>
    <t>1175</t>
  </si>
  <si>
    <t>Pago de Fact NCF No. B1500000216, por adquisicion de mobiliario, según orden de compra HSLM-2023-00734</t>
  </si>
  <si>
    <t>1295</t>
  </si>
  <si>
    <t>HOSANLORE. SULEDO NOMINA TEMPORAL MAYO 2024</t>
  </si>
  <si>
    <t>21/05/2024</t>
  </si>
  <si>
    <t>1296</t>
  </si>
  <si>
    <t>HOSANLORE. SUELDO NOMINA FIJOS MAYO 2024</t>
  </si>
  <si>
    <t>1330</t>
  </si>
  <si>
    <t>Pago de Fact NCF No. B1500002030, por adquisicion de reactivos según orden de compra HSLM-2024-00151</t>
  </si>
  <si>
    <t>22/05/2024</t>
  </si>
  <si>
    <t>1331</t>
  </si>
  <si>
    <t>Pago de Fact NCF Varios, correspondiente al periodo enero-marzo 2024, por adquisicion de material de limpieza, según orden de compra HSLM-2024-00012</t>
  </si>
  <si>
    <t>1346</t>
  </si>
  <si>
    <t>Pago de Fact NCF No B1500000061, por adquisicion de carro para electrocauterio, segun orden de compra HSLM-2023-00635</t>
  </si>
  <si>
    <t>1359</t>
  </si>
  <si>
    <t>Pago de Fact NCF No. B1500001437, por adquisicion de materiales impresos, según orden de compra HSLM-2024-00030</t>
  </si>
  <si>
    <t>2.3.3.3</t>
  </si>
  <si>
    <t>Productos de artes gráficas</t>
  </si>
  <si>
    <t>1379</t>
  </si>
  <si>
    <t>Pago de Fact NCF No. B1500000024, por adquisicion de utensilios de cocina, según orden de compra HSLM-2023-01032</t>
  </si>
  <si>
    <t>27/05/2024</t>
  </si>
  <si>
    <t>1435</t>
  </si>
  <si>
    <t>Pago de Fact NCF No. B1500000227, por adquisicion de materiales impresos, según orden de compra HSLM-2024-00248</t>
  </si>
  <si>
    <t>29/05/2024</t>
  </si>
  <si>
    <t>1436</t>
  </si>
  <si>
    <t>Pago de Fact NCF No. B1500000226, por adquisicion de artículos para la despensa, según orden de compra HSLM-2024-00079</t>
  </si>
  <si>
    <t>2.3.3.2</t>
  </si>
  <si>
    <t>Papel y cartón</t>
  </si>
  <si>
    <t>2.3.3.2.01</t>
  </si>
  <si>
    <t>1437</t>
  </si>
  <si>
    <t>Pago de Fact NCF No. B1500000308, por adquisicion de fundas plásticas, según orden de compra HSLM-2024-00211</t>
  </si>
  <si>
    <t>1451</t>
  </si>
  <si>
    <t>Pago de Fact NCF No. B1500001449, por adquisicion de equipos médicos, según orden de compra HSLM-2024-00291</t>
  </si>
  <si>
    <t>1452</t>
  </si>
  <si>
    <t>PAGO DE FACT NCF B1500013736 POR ADQUISICION DE MEZCLADORA Y BALANZA DE BOLSAS SEGUN O/C HSLM-2024-00028.</t>
  </si>
  <si>
    <t>31/05/2024</t>
  </si>
  <si>
    <t>2.6.3.2</t>
  </si>
  <si>
    <t>Instrumental médico y de laboratorio</t>
  </si>
  <si>
    <t>2.6.3.2.01</t>
  </si>
  <si>
    <t>1458</t>
  </si>
  <si>
    <t>PAGO DE FACT NCF B1500000234 POR ADQUISICION DE MUEBLES Y EQUIPOS DE OFICINA, NEVERA EJECUTIVA, TABURETE, SELLADOR ESPUMA SEGUN O/C HSLM-2024-00077.</t>
  </si>
  <si>
    <t>1460</t>
  </si>
  <si>
    <t>PAGO DE FACT NCF B1500001345 POR ADQUISICION DE BALANZA ADULTO, BALANZA PEDIATRICA, OTOSCOPIO Y ESPECULO SEGUN O/C HSLM-2024-00047.</t>
  </si>
  <si>
    <t>1532</t>
  </si>
  <si>
    <t>PAGO DE FACT NCF B1500000218 POR ADQUISICION DE MEDICAMENTOS, SEGUN O/C HSLM-2023-00851.</t>
  </si>
  <si>
    <t>04/06/2024</t>
  </si>
  <si>
    <t>1534</t>
  </si>
  <si>
    <t>PAGO NCF B1500000194 POR ADQUISICION DE MINI BOMBA DE LIMPIEZA DE AIRE ACONDICIONADO Y LONA PARA RECOGIDA DE AGUA SEGUN O/C HSLM-2024-00057.</t>
  </si>
  <si>
    <t>1536</t>
  </si>
  <si>
    <t>PAGO DE FACT NCF B1500000188 POR ADQUISICION DE EQUIPOS ODONTOLOGICOS SEGUN O/C HSLM-2024-00058.</t>
  </si>
  <si>
    <t>1537</t>
  </si>
  <si>
    <t>PAGO DE FACT NCF B1500000170 POR ADQUISICION DE TUBO DE CO2 PARA CIRUGIA LAPARASCOPICA SEGUN O/C HSLM-2024-00246.</t>
  </si>
  <si>
    <t>1557</t>
  </si>
  <si>
    <t>PAGO DE FACT NCF B1500000235 POR ADQUISICION DE GERDEX DESINFECTANTE SEGUN O/C HSLM-2024-00267.</t>
  </si>
  <si>
    <t>05/06/2024</t>
  </si>
  <si>
    <t>1589</t>
  </si>
  <si>
    <t>Pago de Fact NCF No, B1500000209, por adquisicion de insumos para la despensa , según orden de compra HSLM-2024-00222</t>
  </si>
  <si>
    <t>07/06/2024</t>
  </si>
  <si>
    <t>1650</t>
  </si>
  <si>
    <t>PAGO DE FACT NCF B1500000831 POR ADQUISICION DE UTILES MEDICOS SEGUN O/C HSLM-2024-00132.</t>
  </si>
  <si>
    <t>10/06/2024</t>
  </si>
  <si>
    <t>1688</t>
  </si>
  <si>
    <t>HOSANLORE. PAGO DE PRESTACIONES LABORALEX EX-EMPLEADOS</t>
  </si>
  <si>
    <t>11/06/2024</t>
  </si>
  <si>
    <t>1690</t>
  </si>
  <si>
    <t>HOSANLORE. PAGO DE VACACIONES NO DISFRUTADAS A EX-EMPLEADOS</t>
  </si>
  <si>
    <t>1699</t>
  </si>
  <si>
    <t>Pago de Fact NCF No. B1500000956, por adquisicion de horno, segun orden de compra HSLM-2023-00429</t>
  </si>
  <si>
    <t>12/06/2024</t>
  </si>
  <si>
    <t>1700</t>
  </si>
  <si>
    <t>Pago de Fact NCF No. B1500000067, por adquisicion de insumos de despensa, según orden de compra HSLM-2024-00158</t>
  </si>
  <si>
    <t>13/06/2024</t>
  </si>
  <si>
    <t>1701</t>
  </si>
  <si>
    <t>Pago de Facts NCFs Nos B1500000173 Y B1500000164, por adquisicion de instrumental medico, segun orden de compra HSLM-2023-00688</t>
  </si>
  <si>
    <t>1704</t>
  </si>
  <si>
    <t>Pago de Fact NCF No. B1500000413, por adquisicion de medicamentos, según orden de compra HSLM-2024-00263</t>
  </si>
  <si>
    <t>1707</t>
  </si>
  <si>
    <t>Pago de Fact NCF No. B1500004697, por adquisicion util medico y medicamentos, según orden de compra HSLM-2023-01006</t>
  </si>
  <si>
    <t>14/06/2024</t>
  </si>
  <si>
    <t>1710</t>
  </si>
  <si>
    <t>PAGO DE FACT NCF B1500000878 POR ADQUISICION DE ELECTROCAUTERIO SEGUN O/C HSLM-2024-00327.</t>
  </si>
  <si>
    <t>1713</t>
  </si>
  <si>
    <t>PAGO DE FACT NCF  B1500000015 POR ADQUISICION DE PINZAS SEGUN O/C HSLM-2024-00016.</t>
  </si>
  <si>
    <t>1728</t>
  </si>
  <si>
    <t>PAGO DE FACT NCF B1500002002 POR ADQUISICION DE REACTIVOS SEGUN O/C HSLM-2024-00325.</t>
  </si>
  <si>
    <t>17/06/2024</t>
  </si>
  <si>
    <t>1822</t>
  </si>
  <si>
    <t>PAGO DE FACT NCF B1500000103 POR ADQUISICION DE SILLON, BANCOS GIRATORIOS Y ESCALINATA SEGUN O/C HSLM-2024-00086.</t>
  </si>
  <si>
    <t>20/06/2024</t>
  </si>
  <si>
    <t>1882</t>
  </si>
  <si>
    <t>PAGO DE FACT NCF B1500006702 POR ADQUISICION DE REACTIVOS SEGUN O/C HSLM-2024-00330.</t>
  </si>
  <si>
    <t>21/06/2024</t>
  </si>
  <si>
    <t>1883</t>
  </si>
  <si>
    <t>HOSANLORE. SUELDO NOMINA FIJO JUNIO 2024_x000D_
NOMINA FIJO JUNIO 2024</t>
  </si>
  <si>
    <t>1884</t>
  </si>
  <si>
    <t>PAGO DE FACT NCF B1500013928 POR ADQUISICION DE INSUMOS PARA LABORATORIO SEGUN O/C HSLM-2024-00152.</t>
  </si>
  <si>
    <t>1885</t>
  </si>
  <si>
    <t>PAGO DE FACT NCF B1500000891 POR ADQUISICION DE REACTIVOS Y UTILES MEDICOS SEGUN O/C HSLM-2024-00240.</t>
  </si>
  <si>
    <t>1886</t>
  </si>
  <si>
    <t>PAGO DE FACT NCF B1500039022 POR ADQUISICION DE CONTROL HEMATOLOGICO EQAS SEGUN O/C HSLM-2024-00273.</t>
  </si>
  <si>
    <t>1887</t>
  </si>
  <si>
    <t>PAGO DE FACT NCF B1500000839 POR ADQUISICION DE AGUA OXIGENADA SEGUN O/C HSLM-2024-00154.</t>
  </si>
  <si>
    <t>1888</t>
  </si>
  <si>
    <t>PAGO DE FACT NCF B1500000229 POR ADQUISICION DE LETREROS EN ACRILICO SEGUN O/C HSLM-2024-00295.</t>
  </si>
  <si>
    <t>1889</t>
  </si>
  <si>
    <t>PAGO DE FACT NCF B1500000236 POR ADQUISICION DE REACTIVOS SEGUN O/C HSLM-2024-00242.</t>
  </si>
  <si>
    <t>1891</t>
  </si>
  <si>
    <t>PAGO DE FACT NCF B1500000951 POR ADQUISICION DE MEDICAMENTOS, UTIL MEDICO Y LUBRICANTE EN GEL SEGUN O/C HSLM-2023-00648.</t>
  </si>
  <si>
    <t>1892</t>
  </si>
  <si>
    <t>PAGO DE FACT NCF B1500038726 POR ADQUISICION DE BOLSA P/ SANGRE SEGUN O/C HSLM-2024-00136.</t>
  </si>
  <si>
    <t>1893</t>
  </si>
  <si>
    <t>PAGO DE FACT NCF B1500037456 POR ADQUISICION DE CONTROLES EQAS HEMATOLOGIA Y SYSMEX EIGHTCHECK SEGUN O/C HSLM-2023-00964.</t>
  </si>
  <si>
    <t>1895</t>
  </si>
  <si>
    <t>PAGO DE FACT NCF B1500003952 POR ADQUISICION DE ESPIROMETRO Y LARINGOSCOPIO CON LUZ LED SEGUN O/C HSLM-2023-00414.</t>
  </si>
  <si>
    <t>1896</t>
  </si>
  <si>
    <t>PAGO DE FACT NCF B1500000441 POR ADQUISICION DE MICROONDA, ABANICO Y NEVERA EJECUTIVA SEGUN O/C HSLM-2024-00287.</t>
  </si>
  <si>
    <t>1897</t>
  </si>
  <si>
    <t>PAGO DE FACT NCF B1500000161 POR ADQUISICION DE UTIL MEDICO SEGUN O/C HSLM-2024-00131.</t>
  </si>
  <si>
    <t>1898</t>
  </si>
  <si>
    <t>PAGO DE FACT NCF B1500000004 POR ADQUISICION DE TABLILLAS PEDIATRICAS SEGUN O/C HSLM-2024-00253.</t>
  </si>
  <si>
    <t>1899</t>
  </si>
  <si>
    <t>HOSANLORE. NOMINA SUELDO TEMPORAL JUNIO 2024_x000D_
SUELDO TEMPORAL JUNIO 2024</t>
  </si>
  <si>
    <t>1900</t>
  </si>
  <si>
    <t>PAGO DE FACT NCF B1500006633 POR ADQUISICION DE INSUMOS PARA  EQUIPO BS-380 DE LABORATORIO SEGUN O/C HSLM-2024-00249.</t>
  </si>
  <si>
    <t>1937</t>
  </si>
  <si>
    <t>PAGO DE FACT NCF B1500000884 POR ADQUISICION DE INSUMOS DE PATOLOGIA SEGUN O/C HSLM-2024-00183.</t>
  </si>
  <si>
    <t>24/06/2024</t>
  </si>
  <si>
    <t>1938</t>
  </si>
  <si>
    <t>PAGO DE FACT NCF B1500014288 POR ADQUISICION DE INSUMOS PARA LABORATORIO SEGUN O/C HSLM-2024-00241.</t>
  </si>
  <si>
    <t>1939</t>
  </si>
  <si>
    <t>PAGO DE FACT NCF B1500039021 POR ADQUISICION DE INSUMOS PARA EQUIPO ELISA MURX DE LABORATORIO SEGUN O/C HSLM-2024-00250.</t>
  </si>
  <si>
    <t>2033</t>
  </si>
  <si>
    <t>PAGO DE FACT NCF B1500013946 POR ADQUISICION DE INSUMOS DE LABORATORIO PARA EQUIPO MEDMAY SEGUN O/C HSLM-2024-00160.</t>
  </si>
  <si>
    <t>27/06/2024</t>
  </si>
  <si>
    <t>2035</t>
  </si>
  <si>
    <t>HOSANLORE. SUELDO NOMINA ADICIONAL TEMPORAL POR CREACION DE PLAZA  CORRESPONDIENTE AL MES DE JUNIO 2024_x000D_
NOMINA ADICIONAL TEMPORAL POR CREACION DE PLAZA  CORRESPONDIENTE AL MES DE JUNIO 2024</t>
  </si>
  <si>
    <t>2037</t>
  </si>
  <si>
    <t>PAGO DE FACT NCF B1500006477 POR ADQUISICION DE INSUMOS DE EQUIPO BS-380 SEGUN O/C HSLM-2023-01026.</t>
  </si>
  <si>
    <t>2038</t>
  </si>
  <si>
    <t>PAGO DE FACT NCF B1500000033 POR ADQUISICION DE MOBILIARIOS DE OFICINA Y MONITOR SEGUN O/C HSLM-2024-00214.</t>
  </si>
  <si>
    <t>19/03/2024</t>
  </si>
  <si>
    <t>27/03/2024</t>
  </si>
  <si>
    <t>20/03/2024</t>
  </si>
  <si>
    <t>PAGO DE FACT NCF B1500000029 POR ADQUISICION DE MOBILIARIO, RELOJ DE PARED, BEBEDERO, TELEVISOR Y PIZARRA SEGUN O/C HSLM-2024-00142.</t>
  </si>
  <si>
    <t>2.3.9.2</t>
  </si>
  <si>
    <t>Útiles  y materiales de escritorio, oficina, informática, escolares y de enseñanza</t>
  </si>
  <si>
    <t>2.3.9.2.01</t>
  </si>
  <si>
    <t>Útiles  y materiales de escritorio, oficina e informática</t>
  </si>
  <si>
    <t>2.6.2</t>
  </si>
  <si>
    <t>MOBILIARIO Y EQUIPO DE AUDIO, AUDIOVISUAL, RECREATIVO Y EDUCACIONAL</t>
  </si>
  <si>
    <t>2.6.2.1</t>
  </si>
  <si>
    <t>Equipos y aparatos audiovisuales</t>
  </si>
  <si>
    <t>2.6.2.1.01</t>
  </si>
  <si>
    <t>Equipos y Aparatos Audiovisuales</t>
  </si>
  <si>
    <t>22/03/2024</t>
  </si>
  <si>
    <t>25/03/2024</t>
  </si>
  <si>
    <t>PAGO DE FACT NCF B1500000016 POR ADQUISICION DE ALIMENTOS SEGUN O/C HSLM-2023-00246.</t>
  </si>
  <si>
    <t>17/04/2024</t>
  </si>
  <si>
    <t>11/04/2024</t>
  </si>
  <si>
    <t>19/04/2024</t>
  </si>
  <si>
    <t>23/04/2024</t>
  </si>
  <si>
    <t>16/04/2024</t>
  </si>
  <si>
    <t>26/04/2024</t>
  </si>
  <si>
    <t>06/05/2024</t>
  </si>
  <si>
    <t>14/05/2024</t>
  </si>
  <si>
    <t>16/05/2024</t>
  </si>
  <si>
    <t>17/05/2024</t>
  </si>
  <si>
    <t>28/05/2024</t>
  </si>
  <si>
    <t>26/06/2024</t>
  </si>
  <si>
    <t>06/06/2024</t>
  </si>
  <si>
    <t>18/06/2024</t>
  </si>
  <si>
    <t>PAGO DE FACT NCF B1500000537 POR ADQUISICION DE MEDICAMENTOS SEGUN O/C HSLM-2022-00238</t>
  </si>
  <si>
    <t>19/06/2024</t>
  </si>
  <si>
    <t>PAGO DE FACT NCF B1500000200 POR ADQUISICION DE EQUIPOS COMPUTACIONALES, ESCANER Y MESAS PARA COMPUTADORAS SEGUN O/C HSLM-2024-00233.</t>
  </si>
  <si>
    <t>PAGO DE FACT NCF B1500000009 POR ADQUISICION DE BEBEDEROS Y CAFETERA ELECTRICA SEGUN O/C HSLM-2024-00288.</t>
  </si>
  <si>
    <t>28/06/2024</t>
  </si>
  <si>
    <t>PAGO DE FACT NCF B1500000010 POR ADQUISICION DE CAFETERIA ELECTRICA Y MESAS, SILLAS PLASTICAS SEGUN O/C HSLM-2024-00302.</t>
  </si>
  <si>
    <t>PAGO DE FACT NCF B1500000025 POR ADQUISICION DE MESA DE ACERO INOXIDABLE Y VENTANILLA PARA PUERTA DE CRISTAL SEGUN O/C HSLM-2024-00093</t>
  </si>
  <si>
    <t>2.6.9</t>
  </si>
  <si>
    <t>EDIFICIOS, ESTRUCTURAS, TIERRAS, TERRENOS Y OBJETOS DE VALOR</t>
  </si>
  <si>
    <t>2.6.9.6</t>
  </si>
  <si>
    <t>Accesorios para edificaciones residenciales y no residenciales</t>
  </si>
  <si>
    <t>2.6.9.6.01</t>
  </si>
  <si>
    <t>PAGO DE FACT NCF B1500000029 POR ADQUISICION DE MOBILIARIOS DE OFICINA, RELOJ DE PARED, BEBEDERO, TELEVISOR SEGUN O/C HSLM-2024-00142.</t>
  </si>
  <si>
    <t>PAGO DE FACT NCF B1500000032 POR ADQUISICION DE MOBILIARIOS DE OFICINA Y RELOJ DE PARED SEGUN O/C HSLM-2024-00213.</t>
  </si>
  <si>
    <t>PAGO DE FACT NCF B1500000187 POR ADQUISICION DE SOFAS DE OFICINA SEGUN O/C HSLM-2023-00938</t>
  </si>
  <si>
    <t>PAGO DE FACT NCF B1500000197 POR ADQUISICION DE CAFETERA ELECTRICA, OLLA DE PRESION, Y UTENSILIOS DE COCINA SEGUN OC/ HSLM-2024-00215.</t>
  </si>
  <si>
    <t>PAGO DE FACT NCF B1500001737 POR ADQUISICION DE SILLA PARA TOMA DE MUESTRAS SEGUN O/C HSLM-2023-00769</t>
  </si>
  <si>
    <t>PAGO DE FACT NCF B1500000233 POR ADQUISICION DE BALANZA CON TALLIMETRO SEGUN O/C HSLM-2024-00017.</t>
  </si>
  <si>
    <t>2.6.3.4</t>
  </si>
  <si>
    <t>EQUIPO E INSTRUMENTOS DE MEDICIÓN CIENTÍFICA</t>
  </si>
  <si>
    <t>Equipos e instrumentos de medición científica</t>
  </si>
  <si>
    <t>PAGO DE FACT NCF B1500000236 POR ADQUISICION DE ARCHIVO METALICO Y DESTUPIDOR DE CAÑERIA SEGUN O/C HSLM-2024-00122.</t>
  </si>
  <si>
    <t>2.6.5.7</t>
  </si>
  <si>
    <t>Máquinas-herramientas</t>
  </si>
  <si>
    <t>2.6.5.7.01</t>
  </si>
  <si>
    <t>PAGO DE NCF B1500000808 POR ADQUISICION DE GUILLOTINA (CORTADORA) SEGUN O/C HSLM-2024-00003.</t>
  </si>
  <si>
    <t>PAGO DE FACTS NCF B1500000774, B1500000742, Y B1500000749 POR ADQUISICION DE PAPEL BOND SEGUN O/C HSLM2024-00065.</t>
  </si>
  <si>
    <t>PAGO DE FACT NCF B1500001736 POR ADQUISICION DE MESA METALICA SEGUN O/C HSLM-2023-00750.</t>
  </si>
  <si>
    <t>PAGO DE FACT NCF B1500001550 POR ADQUISICION DE MOBILIARIO DE OFICINA SEGUN O/C HSLM-2023-00698</t>
  </si>
  <si>
    <t>PAGO DE FACT NCF B1500001520 POR ADQUISICION DE CAMAROTE Y COLCHON SEGUN O/C HSLM-2023-00642.</t>
  </si>
  <si>
    <t>PAGO DE FACT NCF B1500001371 POR ADQUISICION DE PORTA SUERO DE 4 GANCHOS SEGUN O/C HSLM-2024-00146.</t>
  </si>
  <si>
    <t>PAGO DE FACT NCF B1500001393 POR ADQUISICION DE PORTA SUERO DE 4 GANCHOS SEGUN O/C HSLM-2024-00216.</t>
  </si>
  <si>
    <t>PAGO DE FACT NCF B1500014289 POR ADQUISICION AUTOCLAVE TIPO OLLA SEGUN O/C HSLM-2024-00270.</t>
  </si>
  <si>
    <t>PAGO DE FACT NCF B1500006711 POR ADQUISICION DE SPECTROFOTOMETRO SEGUN O/C HSLM-2024-00341.</t>
  </si>
  <si>
    <t>PAGO DE FACT NCF B1500005355 POR ADQUISICION DE UTILES MEDICOS SEGUN O/C HSLM-2024-00313.</t>
  </si>
  <si>
    <t>PAGO DE FACT NCF B1500001458 POR ADQUISICION DE VENTILADOR MECANICO UCI ADULTO SEGUN O/C HSLM-2024-00339.</t>
  </si>
  <si>
    <t>13/03/2024</t>
  </si>
  <si>
    <t>18/03/2024</t>
  </si>
  <si>
    <t>Pago de Fact NCF No. B1500006550, por adquisicion de reactivos, según orden de compra HSLM-2024-00137</t>
  </si>
  <si>
    <t>Pago de Fact NCF No. B1500004077, por adquisicion de medicamentos, según orden de compra HSLM-2023-0084</t>
  </si>
  <si>
    <t>Pago de Fact B1500000317 por adquisicion de util medico, según orden de compra HSLM-2023-00870</t>
  </si>
  <si>
    <t>Pago Fact NCF No. B1500000127, por adquisicion de alimentos, según orden de compra HSLM-2024-00164</t>
  </si>
  <si>
    <t>Pago de Fact NCF No. B1500000814, por adquisicion de util medico, según orden de compra HSLM-2024-00132</t>
  </si>
  <si>
    <t>12/04/2024</t>
  </si>
  <si>
    <t>Pago de Fact NCF No. B1500006550, por adquisicion reactivos, según orden de compra HSLM-2024-00137</t>
  </si>
  <si>
    <t>08/05/2024</t>
  </si>
  <si>
    <t>Pago de Fact NCF No. B1500000030, por adquisicion de cortinas, según orden de compra HSLM-2024-00134</t>
  </si>
  <si>
    <t>09/05/2024</t>
  </si>
  <si>
    <t>24/05/2024</t>
  </si>
  <si>
    <t>Pago de Fact NCF No, B1500000207, por adquisicion de insumos para la despensa , según orden de compra HSLM-2023-01009</t>
  </si>
  <si>
    <t>Pago de Fact NCF No. B1500001067, por adquisicion de medicamentos, según orden de compa HSLM-2024-00360</t>
  </si>
  <si>
    <t>Pago de Fact NCF No. B1500003970, por adquisicion de medicamentos, según orden de compa HSLM-2024-00353</t>
  </si>
  <si>
    <t>Pago de Fact NCF No. B1500000268, por adquisicion de medicamentos, según orden de compa HSLM-2024-00321</t>
  </si>
  <si>
    <t>Pago de Fact NCf No. B1500000126, por adquisicion de alimentos, segun orden de compra HSLM-2024-00075</t>
  </si>
  <si>
    <t>Pago de Fact NCf No. B1500000125, por adquisicion de alimentos, segun orden de compra HSLM-2024-00043</t>
  </si>
  <si>
    <t>Pago de Fact NCf No. B1500000124, por adquisicion de alimentos, segun orden de compra HSLM-2024-00056</t>
  </si>
  <si>
    <t>Pago de Fact NCf No. B1500000123, por adquisicion de alimentos, segun orden de compra HSLM-2024-00072</t>
  </si>
  <si>
    <t>20/05/2024</t>
  </si>
  <si>
    <t>000158</t>
  </si>
  <si>
    <t>DEVENGADO</t>
  </si>
  <si>
    <t>33</t>
  </si>
  <si>
    <t>37</t>
  </si>
  <si>
    <t>41</t>
  </si>
  <si>
    <t>47</t>
  </si>
  <si>
    <t>51</t>
  </si>
  <si>
    <t>57</t>
  </si>
  <si>
    <t>61</t>
  </si>
  <si>
    <t>65</t>
  </si>
  <si>
    <t>68</t>
  </si>
  <si>
    <t>73</t>
  </si>
  <si>
    <t>78</t>
  </si>
  <si>
    <t>81</t>
  </si>
  <si>
    <t>85</t>
  </si>
  <si>
    <t>89</t>
  </si>
  <si>
    <t>97</t>
  </si>
  <si>
    <t>103</t>
  </si>
  <si>
    <t>105</t>
  </si>
  <si>
    <t>111</t>
  </si>
  <si>
    <t>112</t>
  </si>
  <si>
    <t>116</t>
  </si>
  <si>
    <t>121</t>
  </si>
  <si>
    <t>127</t>
  </si>
  <si>
    <t>128</t>
  </si>
  <si>
    <t>134</t>
  </si>
  <si>
    <t>138</t>
  </si>
  <si>
    <t>142</t>
  </si>
  <si>
    <t>151</t>
  </si>
  <si>
    <t>169</t>
  </si>
  <si>
    <t>173</t>
  </si>
  <si>
    <t>177</t>
  </si>
  <si>
    <t>185</t>
  </si>
  <si>
    <t>189</t>
  </si>
  <si>
    <t>193</t>
  </si>
  <si>
    <t>199</t>
  </si>
  <si>
    <t>201</t>
  </si>
  <si>
    <t>206</t>
  </si>
  <si>
    <t>208</t>
  </si>
  <si>
    <t>215</t>
  </si>
  <si>
    <t>216</t>
  </si>
  <si>
    <t>221</t>
  </si>
  <si>
    <t>228</t>
  </si>
  <si>
    <t>230</t>
  </si>
  <si>
    <t>234</t>
  </si>
  <si>
    <t>238</t>
  </si>
  <si>
    <t>244</t>
  </si>
  <si>
    <t>247</t>
  </si>
  <si>
    <t>250</t>
  </si>
  <si>
    <t>253</t>
  </si>
  <si>
    <t>393</t>
  </si>
  <si>
    <t>405</t>
  </si>
  <si>
    <t>409</t>
  </si>
  <si>
    <t>500</t>
  </si>
  <si>
    <t>513</t>
  </si>
  <si>
    <t>517</t>
  </si>
  <si>
    <t>525</t>
  </si>
  <si>
    <t>527</t>
  </si>
  <si>
    <t>560</t>
  </si>
  <si>
    <t>615</t>
  </si>
  <si>
    <t>634</t>
  </si>
  <si>
    <t>640</t>
  </si>
  <si>
    <t>667</t>
  </si>
  <si>
    <t>671</t>
  </si>
  <si>
    <t>675</t>
  </si>
  <si>
    <t>747</t>
  </si>
  <si>
    <t>768</t>
  </si>
  <si>
    <t>782</t>
  </si>
  <si>
    <t>1057</t>
  </si>
  <si>
    <t>1061</t>
  </si>
  <si>
    <t>1069</t>
  </si>
  <si>
    <t>1073</t>
  </si>
  <si>
    <t>1104</t>
  </si>
  <si>
    <t>1163</t>
  </si>
  <si>
    <t>1199</t>
  </si>
  <si>
    <t>1207</t>
  </si>
  <si>
    <t>1222</t>
  </si>
  <si>
    <t>1248</t>
  </si>
  <si>
    <t>1280</t>
  </si>
  <si>
    <t>1307</t>
  </si>
  <si>
    <t>1317</t>
  </si>
  <si>
    <t>1430</t>
  </si>
  <si>
    <t>1442</t>
  </si>
  <si>
    <t>1551</t>
  </si>
  <si>
    <t>1564</t>
  </si>
  <si>
    <t>1568</t>
  </si>
  <si>
    <t>1572</t>
  </si>
  <si>
    <t>1576</t>
  </si>
  <si>
    <t>1585</t>
  </si>
  <si>
    <t>1596</t>
  </si>
  <si>
    <t>1600</t>
  </si>
  <si>
    <t>1604</t>
  </si>
  <si>
    <t>1608</t>
  </si>
  <si>
    <t>1613</t>
  </si>
  <si>
    <t>1617</t>
  </si>
  <si>
    <t>1621</t>
  </si>
  <si>
    <t>1627</t>
  </si>
  <si>
    <t>1631</t>
  </si>
  <si>
    <t>1639</t>
  </si>
  <si>
    <t>1653</t>
  </si>
  <si>
    <t>1657</t>
  </si>
  <si>
    <t>1665</t>
  </si>
  <si>
    <t>1680</t>
  </si>
  <si>
    <t>1684</t>
  </si>
  <si>
    <t>1792</t>
  </si>
  <si>
    <t>1816</t>
  </si>
  <si>
    <t>1959</t>
  </si>
  <si>
    <t>1970</t>
  </si>
  <si>
    <t>1975</t>
  </si>
  <si>
    <t>000163</t>
  </si>
  <si>
    <t>DEVENGADO NOMINA SUELDOS CON SEGURIDAD SOCIAL</t>
  </si>
  <si>
    <t>19/01/2024</t>
  </si>
  <si>
    <t>6</t>
  </si>
  <si>
    <t>24/01/2024</t>
  </si>
  <si>
    <t>12</t>
  </si>
  <si>
    <t>14/02/2024</t>
  </si>
  <si>
    <t>14</t>
  </si>
  <si>
    <t>29</t>
  </si>
  <si>
    <t>12/03/2024</t>
  </si>
  <si>
    <t>43</t>
  </si>
  <si>
    <t>14/03/2024</t>
  </si>
  <si>
    <t>699</t>
  </si>
  <si>
    <t>804</t>
  </si>
  <si>
    <t>1014</t>
  </si>
  <si>
    <t>1100</t>
  </si>
  <si>
    <t>1158</t>
  </si>
  <si>
    <t>1723</t>
  </si>
  <si>
    <t>1725</t>
  </si>
  <si>
    <t>2031</t>
  </si>
  <si>
    <t>000166</t>
  </si>
  <si>
    <t>NOMINA SUELDOS SIN SEGURIDAD SOCIAL</t>
  </si>
  <si>
    <t>21</t>
  </si>
  <si>
    <t>28/02/2024</t>
  </si>
  <si>
    <t>23</t>
  </si>
  <si>
    <t>01/03/2024</t>
  </si>
  <si>
    <t>1590</t>
  </si>
  <si>
    <t>1592</t>
  </si>
  <si>
    <t>Pago de Fact NCF No. B1500000012, por adquisicion de instrumental medica,  según orden de compra HSLM-2024-00016</t>
  </si>
  <si>
    <t>000243</t>
  </si>
  <si>
    <t>DEVENGADO PROCESO DE COMPRAS PARA BIENES MUEBLES Y OBRAS</t>
  </si>
  <si>
    <t>147</t>
  </si>
  <si>
    <t>155</t>
  </si>
  <si>
    <t>159</t>
  </si>
  <si>
    <t>163</t>
  </si>
  <si>
    <t>181</t>
  </si>
  <si>
    <t>261</t>
  </si>
  <si>
    <t>269</t>
  </si>
  <si>
    <t>272</t>
  </si>
  <si>
    <t>306</t>
  </si>
  <si>
    <t>319</t>
  </si>
  <si>
    <t>356</t>
  </si>
  <si>
    <t>368</t>
  </si>
  <si>
    <t>381</t>
  </si>
  <si>
    <t>446</t>
  </si>
  <si>
    <t>477</t>
  </si>
  <si>
    <t>717</t>
  </si>
  <si>
    <t>778</t>
  </si>
  <si>
    <t>843</t>
  </si>
  <si>
    <t>848</t>
  </si>
  <si>
    <t>898</t>
  </si>
  <si>
    <t>1004</t>
  </si>
  <si>
    <t>1008</t>
  </si>
  <si>
    <t>1083</t>
  </si>
  <si>
    <t>1108</t>
  </si>
  <si>
    <t>1128</t>
  </si>
  <si>
    <t>1151</t>
  </si>
  <si>
    <t>1195</t>
  </si>
  <si>
    <t>1243</t>
  </si>
  <si>
    <t>1256</t>
  </si>
  <si>
    <t>1269</t>
  </si>
  <si>
    <t>1293</t>
  </si>
  <si>
    <t>1311</t>
  </si>
  <si>
    <t>1543</t>
  </si>
  <si>
    <t>1547</t>
  </si>
  <si>
    <t>1676</t>
  </si>
  <si>
    <t>1739</t>
  </si>
  <si>
    <t>1743</t>
  </si>
  <si>
    <t>1747</t>
  </si>
  <si>
    <t>1752</t>
  </si>
  <si>
    <t>1756</t>
  </si>
  <si>
    <t>1760</t>
  </si>
  <si>
    <t>1764</t>
  </si>
  <si>
    <t>1768</t>
  </si>
  <si>
    <t>1772</t>
  </si>
  <si>
    <t>1776</t>
  </si>
  <si>
    <t>1780</t>
  </si>
  <si>
    <t>1784</t>
  </si>
  <si>
    <t>1788</t>
  </si>
  <si>
    <t>1856</t>
  </si>
  <si>
    <t>1860</t>
  </si>
  <si>
    <t>1915</t>
  </si>
  <si>
    <t>1919</t>
  </si>
  <si>
    <t>1923</t>
  </si>
  <si>
    <t>1927</t>
  </si>
  <si>
    <t>2042</t>
  </si>
  <si>
    <t>SALDOS DISPONIBLES DE PERIODOS ANTERIORES</t>
  </si>
  <si>
    <t>TRANSPORTE Y ALMACENAJE</t>
  </si>
  <si>
    <t>2.2.4.2</t>
  </si>
  <si>
    <t>ALQUILERES Y RENTAS</t>
  </si>
  <si>
    <t>2.2.5.8</t>
  </si>
  <si>
    <t>Otros alquileres</t>
  </si>
  <si>
    <t>2.2.5.8.01</t>
  </si>
  <si>
    <t>Otros alquileres y arrendamientos por derechos de usos</t>
  </si>
  <si>
    <t>643</t>
  </si>
  <si>
    <t>PAGO DE FACT NCF B1500000795 POR ADQUISICION DE SERVICIO DE PICADERA SEGUN O/C HSLM-2023-00228.</t>
  </si>
  <si>
    <t>2.2.9</t>
  </si>
  <si>
    <t>OTRAS CONTRATACIONES DE SERVICIOS</t>
  </si>
  <si>
    <t>2.2.9.2</t>
  </si>
  <si>
    <t>Servicios de alimentación</t>
  </si>
  <si>
    <t>2.2.9.2.01</t>
  </si>
  <si>
    <t>644</t>
  </si>
  <si>
    <t>PAGO DE FACTURA NCF B1500000212 POR ADQUISICION DE MATERIALES FERRETEROS SEGUN ORDEN DE COMPRA HSLM-2023-00086.</t>
  </si>
  <si>
    <t>2.3.5</t>
  </si>
  <si>
    <t>CUERO, CAUCHO Y PLÁSTICO</t>
  </si>
  <si>
    <t>2.3.5.5</t>
  </si>
  <si>
    <t>Plástico</t>
  </si>
  <si>
    <t>2.3.5.5.01</t>
  </si>
  <si>
    <t>2.3.6</t>
  </si>
  <si>
    <t>PRODUCTOS DE MINERALES, METÁLICOS Y NO METÁLICOS</t>
  </si>
  <si>
    <t>2.3.6.3</t>
  </si>
  <si>
    <t>Productos metálicos y sus derivados</t>
  </si>
  <si>
    <t>2.3.6.3.04</t>
  </si>
  <si>
    <t>2.3.6.3.06</t>
  </si>
  <si>
    <t>Productos metálicos</t>
  </si>
  <si>
    <t>Otros productos químicos y conexos</t>
  </si>
  <si>
    <t>2.3.9.6</t>
  </si>
  <si>
    <t>645</t>
  </si>
  <si>
    <t>PAGO NCF B1500000003 POR SERVICIO DE INSTALACION DE AIRE, REPARACION DE BOMBA Y SISTEMA DE ELECTRIFICACION O/C HSLM-2023-00475.</t>
  </si>
  <si>
    <t>SERVICIOS DE CONSERVACIÓN, REPARACIONES MENORES E INSTALACIONES TEMPORALES</t>
  </si>
  <si>
    <t>2.2.7.2</t>
  </si>
  <si>
    <t>Mantenimiento y reparación  de maquinarias y equipos</t>
  </si>
  <si>
    <t>2.2.7.2.99</t>
  </si>
  <si>
    <t>Otros servicios de mantenimiento, reparación, desmonte e instalación</t>
  </si>
  <si>
    <t>646</t>
  </si>
  <si>
    <t>PAGO DE FACT NCF B1500000280 POR ADQUISICION DE ALIMENTOS SEGUN O/C HSLM-2023-00314.</t>
  </si>
  <si>
    <t>647</t>
  </si>
  <si>
    <t>PAGO DE FACT NCF B1500000200 POR ADQUISICION DE MATERIALES FERRETEROS SEGUN O/C HSLM-2022-00088.</t>
  </si>
  <si>
    <t>2.3.5.4</t>
  </si>
  <si>
    <t>Artículos de caucho</t>
  </si>
  <si>
    <t>2.3.5.4.01</t>
  </si>
  <si>
    <t>648</t>
  </si>
  <si>
    <t>PAGO DE FACT NCF B1500000312 POR ADQUISICION DE ALIMENTOS SEGUN O/C HSLM-2023-00568.</t>
  </si>
  <si>
    <t>649</t>
  </si>
  <si>
    <t>PAGO NCF B1500000004 POR ADQUISICION DE ALIMENTOS  SEGUN ORDEN DE COMPRA HSLM-2023-00110.</t>
  </si>
  <si>
    <t>651</t>
  </si>
  <si>
    <t>PAGO DE FACT NCF B1500000210 POR ADQUISICION DE MATERIALES FERRETEROS SEGUN O/C HSLM-2023-00106.</t>
  </si>
  <si>
    <t>2.3.6.2</t>
  </si>
  <si>
    <t>Productos de vidrio, loza y porcelana</t>
  </si>
  <si>
    <t>2.3.6.2.03</t>
  </si>
  <si>
    <t>Productos de porcelana</t>
  </si>
  <si>
    <t>2.3.9.9</t>
  </si>
  <si>
    <t>Productos y útiles varios no identificados precedentemente (n.i.p.)</t>
  </si>
  <si>
    <t>2.3.9.9.01</t>
  </si>
  <si>
    <t>Productos y Utiles Varios  n.i.p</t>
  </si>
  <si>
    <t>PAGO NCF B1500000013  POR ADQUISICION DE ALIMENTOS SEGUN ORDEN DE COMPRA HSLM-2023-00252.</t>
  </si>
  <si>
    <t>653</t>
  </si>
  <si>
    <t>PAGO NCF B1500000002 POR REPARACION DE SISTEMA DE CUARTO FRIO Y CONGELADOR, MANTENIMIENTO DE HIDROLAVADO DE AIRES ACONDICIONADOS SEGUN ORDEN DE COMPRA HSLM-2023-00160.</t>
  </si>
  <si>
    <t>660</t>
  </si>
  <si>
    <t>PAGO DE FACT NCF B1500000093 POR ADQUISICION DE MATERIALES ELECTRICOS SEGUN O/C HSLM-2023-00232.</t>
  </si>
  <si>
    <t>661</t>
  </si>
  <si>
    <t>PAGO DE FACT NCF B1500000111 POR ADQUISICION DE VARIADOR DE FRECUENCIA, VALVULA NEUMATICA Y CONTACTOR DE 3 POLOS SEGUN O/C HSLM-2023-00705.</t>
  </si>
  <si>
    <t>703</t>
  </si>
  <si>
    <t>Pago de Fact B1500001380, por adquisicion de util medico, según orden de compra HSLM-2023-00870</t>
  </si>
  <si>
    <t>2.2.7.2.04</t>
  </si>
  <si>
    <t>Mantenimiento y reparación de equipos médicos, sanitarios y de laboratorio</t>
  </si>
  <si>
    <t>705</t>
  </si>
  <si>
    <t>PAGO DE FACT NCF B1500000180 POR ADQUISICION DE CIRCUITO DE VENTILACION NEONATAL SEGUN O/C HSLM-2023-00989.</t>
  </si>
  <si>
    <t>2.3.9.5</t>
  </si>
  <si>
    <t>707</t>
  </si>
  <si>
    <t>PAGO DE FACT NCF B1500001970 POR ADQUISICION DE MISOPROSTOL 200MG SEGUN O/C HSLM-2023-00591.</t>
  </si>
  <si>
    <t>708</t>
  </si>
  <si>
    <t>PAGO DE FACT NCF B1500000280 POR ADQUISICION DE UTILES MEDICOS SEGUN O/C HSLM-2023-00673.</t>
  </si>
  <si>
    <t>709</t>
  </si>
  <si>
    <t>PAGO DE FACT NCF B1500000286 POR ADQUISICION DE UTILES MEDICOS SEGUN O/C HSLM-2023-00908.</t>
  </si>
  <si>
    <t>710</t>
  </si>
  <si>
    <t>PAGO DE FACT NCF B1500000365 POR SERVICIO DE MANTENIMIENTO DE DIGITALIZADOR DE PLACA DE RAYOS X SEGUN O/C HSLM-2023-00477.</t>
  </si>
  <si>
    <t>711</t>
  </si>
  <si>
    <t>PAGO DE FACT NCF B1500004820 POR ADQUISICION DE MEDICAMENTOS SEGUN O/C HSLM-2023-00967.</t>
  </si>
  <si>
    <t>712</t>
  </si>
  <si>
    <t>PAGO DE FACT NCF B1500000273 POR ADQUISICION DE HIERRO SACAROSA SEGUN O/C HSLM-2023-00357.</t>
  </si>
  <si>
    <t>713</t>
  </si>
  <si>
    <t>PAGO DE FACT NCF B1500000425 POR ADQUISICION DE MEDICAMENTOS SEGUN O/C HSLM-2023-00943.</t>
  </si>
  <si>
    <t>876</t>
  </si>
  <si>
    <t>PAGO DE FACT NCF B1500000289 POR ADQUISICION DE PORTA HOJA DE PARD ACRILICO SEGUN O/C HSLM-2023-00911.</t>
  </si>
  <si>
    <t>900</t>
  </si>
  <si>
    <t>Pago de Fact NCF No. B1500005883, por adquisicion de reactivos, según orden de compra HSLM-2023-00411, Nota de Crédito B0400002391</t>
  </si>
  <si>
    <t>903</t>
  </si>
  <si>
    <t>Pago de Fact NCF No. B1500001096, por adquisicion de util medico, según orden de compra HSLM-2024-00129</t>
  </si>
  <si>
    <t>905</t>
  </si>
  <si>
    <t>Pago de Fact NCF No. B1500000235, por adquisicion de util medico, según orden de compra HSLM-2024-00163</t>
  </si>
  <si>
    <t>906</t>
  </si>
  <si>
    <t>PAGO DE FACT NCF B1500001895 POR ADQUISICION DE REACTIVOS SEGUN O/C HSLM-2023-00963.</t>
  </si>
  <si>
    <t>930</t>
  </si>
  <si>
    <t>PAGO DE FACT NCF B1500000794 POR ADQUISICION DE SERVICIO DE PICADERA SEGUN O/C HSLM-2023-00226.</t>
  </si>
  <si>
    <t>933</t>
  </si>
  <si>
    <t>Pago de Fact NCF No. B1500013697, por adquisición de reactivos, según orden de compra HSLM-2023-00848.</t>
  </si>
  <si>
    <t>934</t>
  </si>
  <si>
    <t>Pago de Fact NCF No. B1500004270, por adquisición de util medico, según orden de compra HSLM-2024-00118</t>
  </si>
  <si>
    <t>935</t>
  </si>
  <si>
    <t>Pago de Fact NCF No. B1500013735, por adquisicion de Lampara de RH, segun orden de compra HSLM-2024-00027</t>
  </si>
  <si>
    <t>936</t>
  </si>
  <si>
    <t>Pago de Fact NCF No. B1500002494, por adquisicion de util medico, según orden de compra HSLM-2024-00166</t>
  </si>
  <si>
    <t>937</t>
  </si>
  <si>
    <t>Pago de Fact NCF No. B1500000250, por adquisicion de util medico, según orden de compra HSLM-2023-01024</t>
  </si>
  <si>
    <t>938</t>
  </si>
  <si>
    <t>Pago de Fact NCF No. B1500003864, por adquisicion de util medico, según orden de compra HSLM-2024-00083</t>
  </si>
  <si>
    <t>939</t>
  </si>
  <si>
    <t>Pago de Fact NCF No. B1500000058, por adquisición de util médico, según orden de compra HSLM-2024-00064</t>
  </si>
  <si>
    <t>940</t>
  </si>
  <si>
    <t>Pago de Fact NCF No. B1500000326, por adquisición de util médico, según orden de compra HSLM-2024-00094</t>
  </si>
  <si>
    <t>955</t>
  </si>
  <si>
    <t>Pago de Fact NCF No. B1500003850, por adquisición de util médico, según orden de compra HSLM-2024-00009.</t>
  </si>
  <si>
    <t>1012</t>
  </si>
  <si>
    <t>PAGO NCF B1500000002 ADQUISICION DE JERINGAS DE 3 CC SEGUN O/C HSLM-2024-00252.</t>
  </si>
  <si>
    <t>1016</t>
  </si>
  <si>
    <t>Pago de Fact NCF No. B1500003881, por adquisicion de util medico, segun orden de compra HSLM-2024-00125</t>
  </si>
  <si>
    <t>1017</t>
  </si>
  <si>
    <t>PAGO DE FACT NCF NO. B1500003865, POR ADQUISICION DE UTIL MEDICO, SEGUN ORDEN DE COMPRA HSLM-2024-00084</t>
  </si>
  <si>
    <t>1018</t>
  </si>
  <si>
    <t>PAGO DE FACT NCF NO. B1500000850, POR ADQUISICION DE UTIL MEDICO, SEGUN ORDEN DE COMPRA HSLM-2024-00186</t>
  </si>
  <si>
    <t>1020</t>
  </si>
  <si>
    <t>PAGO DE FACT NCF NO. B1500000840, POR ADQUISICION DE UTIL MEDICO, SEGUN ORDEN DE COMPRA HSLM-2024-00179</t>
  </si>
  <si>
    <t>1022</t>
  </si>
  <si>
    <t>Pago de Fact NCF No. B1500001411, por adquisicion de util medico, segun orden de compra HSLM-2024-00099</t>
  </si>
  <si>
    <t>1025</t>
  </si>
  <si>
    <t>PAGO DE FACT NCF B1500002156 POR ADQUISICION DE MEDICAMENTOS Y UTILES MEDICOS SEGUN O/C HSLM-2023-00959.</t>
  </si>
  <si>
    <t>1027</t>
  </si>
  <si>
    <t>1029</t>
  </si>
  <si>
    <t>PAGO DE FACT NCF B1500000278 POR ADQUISICION DE BRAZALETE AZUL ADULTO SEGUN O/C HSLM-2023-00486.</t>
  </si>
  <si>
    <t>1031</t>
  </si>
  <si>
    <t>PAGO DE FACT NCF B1500000832 POR ADQUISICION DE UTILES MEDICOS SEGUN O/C HSLM-2024-00133.</t>
  </si>
  <si>
    <t>1032</t>
  </si>
  <si>
    <t>Pago de Fact NCF No. B1500000060, por adquisicion de cable para electrocauterio, según orden de compra HSLM-2023-00565</t>
  </si>
  <si>
    <t>02/05/2024</t>
  </si>
  <si>
    <t>1033</t>
  </si>
  <si>
    <t>Pago de Fact NCF No. B1500000062, adquisicion de conector tipo arbolito, segun orden de compra HSLM-2023-00702</t>
  </si>
  <si>
    <t>1034</t>
  </si>
  <si>
    <t>Pago de Fact NCF NCF B1500004888, por adquisicion de medicamentos, para uso institucional, según orden de compra HSLM-2023-01031</t>
  </si>
  <si>
    <t>1035</t>
  </si>
  <si>
    <t>Pago de Fact NCF No. B1500004749, por adquisicion de medicamentos, según orden de compra HSLM-2023-00862</t>
  </si>
  <si>
    <t>1036</t>
  </si>
  <si>
    <t>Pago de Fact NCF No B1500004609, por adquisicion de medicamentos, segun orden de compra HSLM-2023-00719</t>
  </si>
  <si>
    <t>1037</t>
  </si>
  <si>
    <t>Pago de Fact NCF No. B1500004669, por adquisicion de medicamentos, según orden de compra HSLM-2023-00962</t>
  </si>
  <si>
    <t>1038</t>
  </si>
  <si>
    <t>Pago de Fact NCF No. B1500001050, por adquisicion de medicamentos y util medico, según orden de compra HSLM-2023-00961</t>
  </si>
  <si>
    <t>1039</t>
  </si>
  <si>
    <t>Pago de Fact NCF No. B1500001063, por adquisicion de  util medico, según orden de compra HSLM-2023-01007</t>
  </si>
  <si>
    <t>1040</t>
  </si>
  <si>
    <t>Pago de Fact NCF No. B1500001291, por adquisicion de util medico, según orden de compra HSLM-2023-00413</t>
  </si>
  <si>
    <t>1041</t>
  </si>
  <si>
    <t>Pago de Fact NCF No. B1500001385, por adquisicion de util medico, según orden de compra HSLM-2023-00924</t>
  </si>
  <si>
    <t>1042</t>
  </si>
  <si>
    <t>Pago de Fact NCF No. B1500003119, por adquisicion de util medico, según orden de compra HSLM-2023-00580</t>
  </si>
  <si>
    <t>1043</t>
  </si>
  <si>
    <t>Pago de Fact NCF No. B1500004847, por adquisicion de medicamentos, según orden de compra HSLM-2023-00806</t>
  </si>
  <si>
    <t>1047</t>
  </si>
  <si>
    <t>Pago de Fact NCF No. B1500000849, por adquisicion de util medico, según orden de compra HSLM-2024-00187</t>
  </si>
  <si>
    <t>1048</t>
  </si>
  <si>
    <t>PAGO NCF B1500000233 ADQUISICION DE GERDEX SEGUN O/C HSLM-2023-00544.</t>
  </si>
  <si>
    <t>1051</t>
  </si>
  <si>
    <t>PAGO FACTURA NCF B1500000016 POR ADQUISICION DE ALIMENTOS SEGUN O/C HSLM-2023-00246</t>
  </si>
  <si>
    <t>1052</t>
  </si>
  <si>
    <t>PAGO DE FACT NCF B1500000043 POR ADQUISICION DE UTILES MEDICOS SEGUN O/C HSLM-2024-00177.</t>
  </si>
  <si>
    <t>1053</t>
  </si>
  <si>
    <t>PAGO FACTURA NCF B1500000022 POR ADQUISICION DE ALIMENTOS SEGUN O/C HSLM-2022-00195.</t>
  </si>
  <si>
    <t>1054</t>
  </si>
  <si>
    <t>Pago de Fact NCF No. B1500004626, por adquisicion de util medico, según orden de compra HSLM-2023-00922</t>
  </si>
  <si>
    <t>1075</t>
  </si>
  <si>
    <t>Pago de Fact NCF No. B1500000233, por adquisicion reactivos, segun orden de compra HSLM-2024-00049</t>
  </si>
  <si>
    <t>1076</t>
  </si>
  <si>
    <t>Pago de Fact NCF No. B1500000002, por adquisicion de fundas plásticas, según orden de compra HSLM-2023-00875</t>
  </si>
  <si>
    <t>1077</t>
  </si>
  <si>
    <t>Pago de Fact NCF No. B1500000003, por adquisicion de fundas plásticas, según orden de compra HSLM-2023-00864</t>
  </si>
  <si>
    <t>1084</t>
  </si>
  <si>
    <t>Pago de Fact NCF No. B1500003537,  por adquisicion de util medico, según orden de compra HSLM-2023-00370</t>
  </si>
  <si>
    <t>1085</t>
  </si>
  <si>
    <t>Pago de Fact NCF No. B1500000610, por adquisicion de medicamentos, según orden de compra HSLM-2024-00182</t>
  </si>
  <si>
    <t>1088</t>
  </si>
  <si>
    <t>Pago de Fact NCF No. B1500002065, por adquisicion de medicamentos, según orden de compra HSLM-2023-00881</t>
  </si>
  <si>
    <t>1090</t>
  </si>
  <si>
    <t>Pago de Fact NCF No. B1500004054, por adquisicion de medicamentos, según .orden de compra HSLM-2024-00013</t>
  </si>
  <si>
    <t>1091</t>
  </si>
  <si>
    <t>Pago de Fact NCF No. B1500005210, por adquisicion de medicamentos, según .orden de compra HSLM-2024-00168</t>
  </si>
  <si>
    <t>1092</t>
  </si>
  <si>
    <t>PAGO DE FACT NCF B1500001345 POR ADQUISICION DE LEVIN SEGUN O/C HSLM-2022-00391.</t>
  </si>
  <si>
    <t>11/05/2024</t>
  </si>
  <si>
    <t>1093</t>
  </si>
  <si>
    <t>Pago de Fact NCF No. B1500001893, por adquisicion de medicamentos, según orden de compra HSLM-2023-00736</t>
  </si>
  <si>
    <t>1094</t>
  </si>
  <si>
    <t>Pago de Fact NCF No. B1500003895, por adquisicion de medicamentos, según .orden de compra HSLM-2024-00193</t>
  </si>
  <si>
    <t>1097</t>
  </si>
  <si>
    <t>Pago de Fact NCF No. B1500002059, por adquisicion de util medico, según orden de compra HSLM-2023-00985</t>
  </si>
  <si>
    <t>1099</t>
  </si>
  <si>
    <t>Pago de Fact NCF No. B1500000257, por adquisicion de plásticos, según orden de compra HSLM-2023-00304 (Segundo Pago de la Orden)</t>
  </si>
  <si>
    <t>1131</t>
  </si>
  <si>
    <t>Pago de Fact NCF No. B1500002908, por adquisicion de medicamentos, según orden de compra HSLM-2023-00076</t>
  </si>
  <si>
    <t>1132</t>
  </si>
  <si>
    <t>Pago de Fact NCF No. B1500002906, por adquisicion de util medico, según orden de compra HSLM-2023-00172</t>
  </si>
  <si>
    <t>1134</t>
  </si>
  <si>
    <t>Pago de Fact NCF No. B1500000966, por adquisicion de util medico, segun orden de compra HSLM-2023-00930</t>
  </si>
  <si>
    <t>1135</t>
  </si>
  <si>
    <t>Pago de Fact NCF No. B1500000333, por adquisicion de medicamentos, según orden de compra HSLM-2023-00972</t>
  </si>
  <si>
    <t>1136</t>
  </si>
  <si>
    <t>Pago de Fact NCF No. B1500000006 Y B1500000007, por adquisicion de util medico, según orden de compra HSLM-2023-00589</t>
  </si>
  <si>
    <t>1144</t>
  </si>
  <si>
    <t>Pago de Fact NCF No. B1500000257, por adquisicion de util medico, según orden de compra HSLM-2024-00005</t>
  </si>
  <si>
    <t>1145</t>
  </si>
  <si>
    <t>Pago de Fact NCF No. B1500002909, por adquisicion de medicamentos, según orden de compra HSLM-2023-00077</t>
  </si>
  <si>
    <t>1190</t>
  </si>
  <si>
    <t>Pago de Fact NCF No. B1500000334, por adquisicion de medicamentos, según orden de compra HSLM-2023-00971</t>
  </si>
  <si>
    <t>1276</t>
  </si>
  <si>
    <t>Pago de Fact NCF No. B1500001933, por adquisicion de util medico, según orden de compra HSLM-2023-00803</t>
  </si>
  <si>
    <t>1277</t>
  </si>
  <si>
    <t>Pago de Fact NCF No. B1500000282, por adquisicion de util medico, según orden de compra HSLM-2023-00979</t>
  </si>
  <si>
    <t>1297</t>
  </si>
  <si>
    <t>Pago de Fact NCF No. B1500000868, por adquisicion de util medico, segun orden de compra HSLM-2024-00294</t>
  </si>
  <si>
    <t>1332</t>
  </si>
  <si>
    <t>Pago de Fact NCF No. B1500000828, por adquisicion de util medico, según orden de compra HSLM-2023-01035</t>
  </si>
  <si>
    <t>1345</t>
  </si>
  <si>
    <t>Pago de Fact NCF No. B1500000066, por adquisicion de útiles de limpieza, según orden de compra HSLM-2024-00162</t>
  </si>
  <si>
    <t>1380</t>
  </si>
  <si>
    <t>Pago de Fact NCF No. B1500000406, por adquisicion de medicamentos, según orden de compra HSLM-2024-00232</t>
  </si>
  <si>
    <t>1381</t>
  </si>
  <si>
    <t>Pago de Fact NCF No. B1500000419, por adquisicion de util medico, segun orden de compra HSLM-2024-00304</t>
  </si>
  <si>
    <t>1382</t>
  </si>
  <si>
    <t>Pago de Fact NCF No. B1500000420, por adquisicion de util medico, segun orden de compra HSLM-2024-00305</t>
  </si>
  <si>
    <t>1383</t>
  </si>
  <si>
    <t>PAGO NCF FACTURA B1500000030 POR ADQUISICION DE ALIMENTOS SEGUN O/C HSLM-2023-00401.</t>
  </si>
  <si>
    <t>1384</t>
  </si>
  <si>
    <t>Pago de Fact NCF No. B1500000854, por adquisicion de util medico, según orden de compra HSLM-2024-00234</t>
  </si>
  <si>
    <t>1385</t>
  </si>
  <si>
    <t>Pago de Fact NCF No. B1500000165, por adquisicion de util medico, según orden de compra HSLM-2023-00622</t>
  </si>
  <si>
    <t>1386</t>
  </si>
  <si>
    <t>Pago de Fact NCF No. B1500000867, por adquisicion de util medico, según orden de compra HSLM-2024-00293</t>
  </si>
  <si>
    <t>1387</t>
  </si>
  <si>
    <t>Pago de Fact NCF No. B1500000856, por adquisicion gel lubricante, según orden de compra HSLM-2024-00238</t>
  </si>
  <si>
    <t>1450</t>
  </si>
  <si>
    <t>PAGO DE FACT NCF B1500000080 POR ADQUISICION DE ALIMENTOS SEGUN O/C HSLM-2023-00398.</t>
  </si>
  <si>
    <t>1453</t>
  </si>
  <si>
    <t>PAGO DE FACT NCF B1500003888 POR ADQUISICION DE MEDICAMENTOS SEGUN O/C HSLM-2024-00159.</t>
  </si>
  <si>
    <t>1454</t>
  </si>
  <si>
    <t>PAGO DE FACT NCF B1500003896 POR ADQUISICION DE MEDICAMENTOS SEGUN O/C HSLM-2024-00178.</t>
  </si>
  <si>
    <t>1455</t>
  </si>
  <si>
    <t>PAGO DE FACT NCF B1500000308 POR ADQUISICION DE MEDICAMENTOS SEGUN O/C HSLM-2024-00171.</t>
  </si>
  <si>
    <t>1457</t>
  </si>
  <si>
    <t>PAGO DE FACT NCF B1500000690 POR ADQUISICION DE DESECHABLES SEGUN O/C HSLM-2024-00089.</t>
  </si>
  <si>
    <t>1459</t>
  </si>
  <si>
    <t>PAGO DE FACT NCF B1500000259 POR ADQUISICION DE JABON CLORHEXIDINA SEGUN O/C HSLM-2024-00194.</t>
  </si>
  <si>
    <t>1533</t>
  </si>
  <si>
    <t>PAGO DE FACT NCF B1500000315 POR ADQUISICION DE CIRCUITOS DE VENTILACION NEONATAL SEGUN O/C HSLM-2024-00200.</t>
  </si>
  <si>
    <t>1535</t>
  </si>
  <si>
    <t>PAGO DE FACT NCF B1500000742 POR ADQUISICION DE UTILES MEDICOS SEGUN O/C HSLM-2024-00261.</t>
  </si>
  <si>
    <t>1538</t>
  </si>
  <si>
    <t>PAGO DE FACT NCF B1500001442 POR ADQUISICION DE UTILES MEDICOS SEGUN O/C HSLM-2024-00264.</t>
  </si>
  <si>
    <t>1539</t>
  </si>
  <si>
    <t>Pago de Fact NCF No. B1500000235, por adquisicion de balón de yoga, según orden de compra HSLM-2024-00091</t>
  </si>
  <si>
    <t>2.3.9.4</t>
  </si>
  <si>
    <t>Útiles destinados a actividades deportivas, culturales y recreativas</t>
  </si>
  <si>
    <t>2.3.9.4.01</t>
  </si>
  <si>
    <t>1540</t>
  </si>
  <si>
    <t>PAGO DE FACT NCF B1500000009 POR ADQUISICION DE FUNDAS PLASTICAS SEGUN O/C HSLM-2024-00300.</t>
  </si>
  <si>
    <t>1553</t>
  </si>
  <si>
    <t>PAGO DE FACT NCF B1500000310 POR ADQUISICION DE DISPENSADORES DE SERVILLETAS SEGUN O/C HSLM-2024-00174.</t>
  </si>
  <si>
    <t>1558</t>
  </si>
  <si>
    <t>PAGO DE FACT NCF B1500000443 POR ADQUISICION DE GEL LUBRICANTE SEGUN O/C HSLM-2024-00314.</t>
  </si>
  <si>
    <t>1559</t>
  </si>
  <si>
    <t>PAGO DE FACT NCF B1500000011 POR ADQUISICION DE INSUMOS PARA MAQUINA ABL385 SEGUN O/C HSLM-2024-00018.</t>
  </si>
  <si>
    <t>1560</t>
  </si>
  <si>
    <t>PAGO DE FACT NCF B1500001045 POR ADQUISICION DE UTILES MEDICOS SEGUN O/C HSLM-2023-00940.</t>
  </si>
  <si>
    <t>1561</t>
  </si>
  <si>
    <t>PAGO DE FACT NCF B1500004122 POR ADQUISICION DE MEDICAMENTOS SEGUN O/C HSLM-2024-00205.</t>
  </si>
  <si>
    <t>1578</t>
  </si>
  <si>
    <t>Pago de Fact NCF No. B1500000008, por adquisicion de util medico,  según orden de compra HSLM-2024-00256</t>
  </si>
  <si>
    <t>1579</t>
  </si>
  <si>
    <t>Pago de Fact NCF No. B1500000001, por adquisicion de fundas plásticas, según orden de compra HSLM-2023-00879</t>
  </si>
  <si>
    <t>1588</t>
  </si>
  <si>
    <t>PAGO DE FACT NCF B1500000535 POR ADQUISICION DEUTILES MEDICOS SEGUN O/C HSLM-2024-00235</t>
  </si>
  <si>
    <t>1610</t>
  </si>
  <si>
    <t>PAGO DE FACT NCF B1500000008 POR ADQUISICION DE MEDICAMENTOS Y GEL DE SONOGRAFIA SEGUN O/C HSLM-2024-00439.</t>
  </si>
  <si>
    <t>1624</t>
  </si>
  <si>
    <t>PAGO DE FACT NCF B1500000330 POR ADQUISICION DE UTILES MEDICOS SEGUN O/C HSLM-2024-00338.</t>
  </si>
  <si>
    <t>1625</t>
  </si>
  <si>
    <t>Pago de Facts NCFs Varios, correspondientes a los meses de abril-diciembre 2023, por oxigeno medico, según certificación BS-0015088-2023</t>
  </si>
  <si>
    <t>1649</t>
  </si>
  <si>
    <t>PAGO DE FACT NCF B1500000009 POR ADQUISICION DE LUBRICANTE EN GEL Y OMEPRAZOL SEGUN O/C HSLM-2024-00440.</t>
  </si>
  <si>
    <t>1668</t>
  </si>
  <si>
    <t>Pago de Fact NCF No. B1500003728, por adquisicion de medicamentos, según orden de compra HSLM-2023-00865</t>
  </si>
  <si>
    <t>1669</t>
  </si>
  <si>
    <t>Pago de Fact NCF No. B1500003765, por adquisicion de medicamentos, según orden de compra HSLM-2023-00965</t>
  </si>
  <si>
    <t>1670</t>
  </si>
  <si>
    <t>Pago de Fact NCF No. B1500003839, por adquisicion de medicamentos, según orden de compra HSLM-2023-00986</t>
  </si>
  <si>
    <t>1671</t>
  </si>
  <si>
    <t>Pago de Fact NCF No. B1500001035, por adquisicion de medicamentos, según orden de compra HSLM-2024-00119</t>
  </si>
  <si>
    <t>1672</t>
  </si>
  <si>
    <t>Pago de Fact NCF No. B1500000511, por adquisicion de medicamentos, según orden de compra HSLM-2024-00172</t>
  </si>
  <si>
    <t>1673</t>
  </si>
  <si>
    <t>Pago de Fact NCF No. B1500000320, por adquisicion de medicamentos, según orden de compra HSLM-2024-00265</t>
  </si>
  <si>
    <t>1674</t>
  </si>
  <si>
    <t>Pago de Fact NCF No. B1500004583, por adquisicion de medicamentos, según orden de compra HSLM-2024-00180</t>
  </si>
  <si>
    <t>1685</t>
  </si>
  <si>
    <t>Pago de Fact NCF No. B1500000189, por adquisicion de util de cocina, según orden de compra HSLM-2023-00948</t>
  </si>
  <si>
    <t>1686</t>
  </si>
  <si>
    <t>Pago de Fact NCF No, B1500000208, por adquisicion de insumos para la despensa , según orden de compra HSLM-2024-00224</t>
  </si>
  <si>
    <t>1687</t>
  </si>
  <si>
    <t>Pago de Fact NCF No, B1500000302, por adquisicion de medicamentos, según orden de compra HSLM-2023-00427</t>
  </si>
  <si>
    <t>1689</t>
  </si>
  <si>
    <t>Pago de Fact NCF No. B1500000087, por adquisicion de suministros de limpieza, según orden de compra HSLM-2024-00236</t>
  </si>
  <si>
    <t>1691</t>
  </si>
  <si>
    <t>Pago de Fact NCF No. B1500001042, por adquisicion de medicamentos, según orden de compra HSLM-2024-00278</t>
  </si>
  <si>
    <t>1702</t>
  </si>
  <si>
    <t>Pago de Fact NCF No. B1500001057, por adquisicion de medicamentos, según orden de compra HSLM-2024-00279</t>
  </si>
  <si>
    <t>1703</t>
  </si>
  <si>
    <t>Pago de Fact NCF No. B1500054668, por adquisicion de util medico, según orden de compra HSLM-2023-00993</t>
  </si>
  <si>
    <t>1705</t>
  </si>
  <si>
    <t>PAGO DE FACT NCF B1500000034 POR ADQUISICION DE ALIMENTOS SEGUN O/C HSLM-2023-00513.</t>
  </si>
  <si>
    <t>1706</t>
  </si>
  <si>
    <t>Pago de Fact NCF No. B1500001033, por adquisicion de medicamentos, según orden de compra HSLM-2024-00245</t>
  </si>
  <si>
    <t>1708</t>
  </si>
  <si>
    <t>Pago de Fact NCF No. B1500000739 por adquisicion de util medico, según orden de compra HSLM-2024-00258</t>
  </si>
  <si>
    <t>1709</t>
  </si>
  <si>
    <t>Pago de Fact NCF No. B1500003913, por adquisicion de util medico, según orden de compra HSLM-2024-00228</t>
  </si>
  <si>
    <t>1711</t>
  </si>
  <si>
    <t>Pago de Fact NCF No. B1500000731, por adquisicion de util medico, según orden de compra HSLM-2024-00208</t>
  </si>
  <si>
    <t>1712</t>
  </si>
  <si>
    <t>Pago de Fact NCF No. B1500000143, por adquisicion de util medico, según orden de compra HSLM-2024-00220</t>
  </si>
  <si>
    <t>1714</t>
  </si>
  <si>
    <t>Pago de Fact NCF No. B1500000853, por adquisicion de util medico, según orden de compra HSLM-2024-00206</t>
  </si>
  <si>
    <t>1715</t>
  </si>
  <si>
    <t>Pago de Fact NCF No. B1500000189, por adquisicion de util medico, segun orden de compra HSLM-2024-00073</t>
  </si>
  <si>
    <t>1716</t>
  </si>
  <si>
    <t>Pago de Fact NCF No. B1500001159, por adquisicion de util medico, según orden de compra HSLM-2024-00319</t>
  </si>
  <si>
    <t>1717</t>
  </si>
  <si>
    <t>Pago de Fact NCF No. B1500000083, por adquisicion de suministros de limpieza, según orden de compra HSLM-2024-00145</t>
  </si>
  <si>
    <t>1718</t>
  </si>
  <si>
    <t>Pago de Fact NCF No. B1500000261, por adquisicion de util medico, según orden de compra HSLM-2024-00219</t>
  </si>
  <si>
    <t>1719</t>
  </si>
  <si>
    <t>Pago de Fact NCF No. B1500000011, por adquisicion de util medico, según orden de compra HSLM-2024-00329</t>
  </si>
  <si>
    <t>1720</t>
  </si>
  <si>
    <t>Pago de Fact NCF No. B1500001160, por adquisicion de util medico, según orden de compra HSLM-2024-00318</t>
  </si>
  <si>
    <t>1721</t>
  </si>
  <si>
    <t>Pago de Fact NCF No. B1500001036, por adquisicion de util medico, según orden de compra HSLM-2024-00196</t>
  </si>
  <si>
    <t>15/06/2024</t>
  </si>
  <si>
    <t>1722</t>
  </si>
  <si>
    <t>PAGO DE FACT NCF B1500000171 POR ADQUISICION DE SENSOR FLUJO NEONATAL SEGUN O/C HSLM-2023-00789.</t>
  </si>
  <si>
    <t>1727</t>
  </si>
  <si>
    <t>Pago de Fact NCF No. B1500000330, por adquisicion de util medico, según orden de compra HSLM-2024-00358</t>
  </si>
  <si>
    <t>1729</t>
  </si>
  <si>
    <t>Pago de Fact NCF No. B1500003914, por adquisicion de util medico, según orden de compra HSLM-2024-00226</t>
  </si>
  <si>
    <t>1730</t>
  </si>
  <si>
    <t>Pago de Fact NCF No. B1500000335, por adquisicion de dispensador en gel antibacterial, según orden de compra HSLM-2024-00334</t>
  </si>
  <si>
    <t>1731</t>
  </si>
  <si>
    <t>Pago de Fact NCF No. B1500000329, por adquisicion de util medico, según orden de compra HSLM-2024-00306</t>
  </si>
  <si>
    <t>1732</t>
  </si>
  <si>
    <t>Pago de Fact NCF No. B1500000327, por adquisicion de util medico, según orden de compra HSLM-2024-00225</t>
  </si>
  <si>
    <t>1825</t>
  </si>
  <si>
    <t>Pago de Fact NCF No. B1500001038, por adquisicion de reactivos, segun orden de compra HSLM-2023-00694</t>
  </si>
  <si>
    <t>1890</t>
  </si>
  <si>
    <t>PAGO DE FACT NCF B1500000814 POR ADQUISICION DE UTILES MEDICOS SEGUN O/C HSLM-2024-00021.</t>
  </si>
  <si>
    <t>1894</t>
  </si>
  <si>
    <t>PAGO DE FACT NCF B1500004247 POR ADQUISICION DE ELECTRODOS  TIPO PINZAS Y PERITAS SEGUN O/C HSLM-2023-00740.</t>
  </si>
  <si>
    <t>2034</t>
  </si>
  <si>
    <t>PAGO DE FACT NCF B1500000001 POR SERVICIO DE PINTURA DE PISOS EN AREA QUIRURGICA SEGUN O/C HSLM-2024-00340.</t>
  </si>
  <si>
    <t>2.2.7.1</t>
  </si>
  <si>
    <t>Contratación de mantenimiento y reparaciones menores</t>
  </si>
  <si>
    <t>2.2.7.1.07</t>
  </si>
  <si>
    <t>Mantenimiento, reparación, servicios de pintura y sus derivados</t>
  </si>
  <si>
    <t>2036</t>
  </si>
  <si>
    <t>PAGO DE FACT NCF B1500000012 POR ADQUISICION DE GASTABLES PARA MAQUINA DE GASOMETRO ABL-835 FLEX SEGUN O/C HSLM-2024-00175</t>
  </si>
  <si>
    <t>2.3.9.8</t>
  </si>
  <si>
    <t>Repuestos y accesorios menores</t>
  </si>
  <si>
    <t>2.3.9.8.01</t>
  </si>
  <si>
    <t>Repuestos</t>
  </si>
  <si>
    <t>2039</t>
  </si>
  <si>
    <t>PAGO DE FACT NCF B1500000009 POR ADQUISICION DE UTILES MEDICOS SEGUN O/C HSLM-2024-00354.</t>
  </si>
  <si>
    <t>2064</t>
  </si>
  <si>
    <t>Pago de Fact NCF No, B1500000210, por adquisicion de insumos para la despensa , según orden de compra HSLM-2024-00223, posee nota de crédito</t>
  </si>
  <si>
    <t>PAGO DE FACT NCF B1500000826 POR ADQUISICION DE SERVICIOS DE PICADERA SEGUN O/C HSLM-2023-00372.</t>
  </si>
  <si>
    <t>Pago de factura NCF B1500000022 por adquisicion de alimentos según orden de compra hslm-2022-00195.</t>
  </si>
  <si>
    <t>PAGO DE FACT NCF B1500000765 POR ADQUISICION DE SERVICIO DE PICADERA SEGUN O/C HSLM-2023-00210.</t>
  </si>
  <si>
    <t>PAGO DE FACTURA NCF B1500000004 POR MANTENIMIENTOS EN INFRAESTRUCTURAS SEGUN ORDEN DE COMPRA HSLM-2023-0008.</t>
  </si>
  <si>
    <t>2.2.7.1.05</t>
  </si>
  <si>
    <t>Mantenimiento y reparación en obras  de dominio público</t>
  </si>
  <si>
    <t>PAGO DE FACT NCF B1500000032 POR ADQUISICION DE ALIMENTOS SEGUN O/C HSLM-2023-00395.</t>
  </si>
  <si>
    <t>PAGO DE FACT NCF B1500000033 POR ADQUISICION DE ALIMENTOS SEGUN O/C HSLM-2023-00497.</t>
  </si>
  <si>
    <t>PAGO DE FACT NCF B1500000030 POR ADQUISICION DE ALIMENTOS SEGUN O/C HSLM-2023-00401.</t>
  </si>
  <si>
    <t>PAGO DE FACT NCF B1500000029 POR ADQUISICION DE ALIMENTOS SEGUN O/C HSLM-2023-00352.</t>
  </si>
  <si>
    <t>PAGO DE FACT NCF B1500000004 POR MANTENIMIENTO EN INFRAESTRUCTURA SEGUN O/C HSLM-2023-00088.</t>
  </si>
  <si>
    <t>PAGO DE FACTURA NCF B1500000032 POR ADQUISICION DE ALIMENTOS SEGUN O/C HSLM-2023-00395.</t>
  </si>
  <si>
    <t>PAGO DE FACTURA NCF B1500000033 POR ADQUISICION DE ALIMENTOS SEGUN O/C HSLM-2023-00497.</t>
  </si>
  <si>
    <t>PAGO FACTURA NCF B1500000034 POR ADQUSICION DE ALIMENTOS SEGUN O/C HSLM-2023-00513.</t>
  </si>
  <si>
    <t>PAGO FACTURA NCF B1500000029 POR ADQUSICION DE ALIMENTOS SEGUN O/C HSLM-2023-00352.</t>
  </si>
  <si>
    <t>PAGO DE FACT NCF B1500000003 POR SERVICIO DE MANTENIMIENTO ,REPARACION DE PANDERETAS E INSTALACION DE PUERTAS EN SEGUN O/C HSLM-2023-00268.</t>
  </si>
  <si>
    <t>PAGO DE NCF B1500000157 POR ADQUISICION DE UTILES MEDICOS SEGUN O/C HSLM-2024-00169.</t>
  </si>
  <si>
    <t>PAGO DE FACT NCF B1500006814 POR ADQUISICION DE UTILES MEDICOS SEGUN O/C HSLM-2024-00124.</t>
  </si>
  <si>
    <t>PAGO DE FACT NCF B1500000006 POR ADQUISICION DE UTILES MEDICOS SEGUN O/C HSLM-2024-00176.</t>
  </si>
  <si>
    <t>PAGO DE FACT NCF B1500000345 POR ADQUISICION DE FUNDAS PLASTICAS SEGUN O/C HSLM-2024-00211</t>
  </si>
  <si>
    <t>PAGO DE FACT NCF B1500001467 POR ADQUISICION DE GEL DE SONOGRAFIA Y AGUA OXIGENADA SEGUN O/C HSLM-2023-00941.</t>
  </si>
  <si>
    <t>PAGO DE FACT NCF B1500001622 POR ADQUISICION DE RESISTENCIA DE MAQUINA SELLADORA SEGUN O/C HSLM-2023-00166.</t>
  </si>
  <si>
    <t>PAGO DE FACT NCF B1500001771 POR ADQUISICION DE CINTA TERMICA SEGUN O/C HSLM-2023-01011.</t>
  </si>
  <si>
    <t>PAGO DE FACT NCF B1500000861 POR ADQUISICION DE GELATINA POWDER SEGUN O/C HSLM-2023-00976.</t>
  </si>
  <si>
    <t>PAGO DE FACT NCF B1500006476 POR ADQUISICION DE MEDICAMENTOS SEGUN O/C HSLM-2023-00713.</t>
  </si>
  <si>
    <t>PAGO DE FACT NCF B1500000336 POR ADQUISICION DE MATERIAL DE LIMPIEZA SEGUN O/C HSLM-2023-00811.</t>
  </si>
  <si>
    <t>PAGO DE FACT NCF B1500006368 POR SERVICIO DE DIALISIS PRISMAFLEX SEGUN O/C HSLM-2023-00595.</t>
  </si>
  <si>
    <t>OTROS SERVICIOS NO INCLUIDOS EN CONCEPTOS ANTERIORES</t>
  </si>
  <si>
    <t>2.2.8.3</t>
  </si>
  <si>
    <t>Servicios sanitarios médicos y veterinarios</t>
  </si>
  <si>
    <t>2.2.8.3.01</t>
  </si>
  <si>
    <t>PAGO DE FACT NCF B1500000928 POR ADQUISICION DE KIT CALIBRADOR CONTROL DE GASES Y JERINGA HEPARINIZADA SEGUN O/C HSLM-2023-00469.</t>
  </si>
  <si>
    <t>PAGO DE FACT NCF B1500000237 POR ADQQUISICION DE PILAS Y BOMBILLO SEGUN O/C HSLM-2023-00593</t>
  </si>
  <si>
    <t>PAGO DE FACT NCF B1500000282 POR ADQUISICION SENSOR DE OXIGENO PARA VENTILADOR SEGUN O/C HSLM-2023-00194.</t>
  </si>
  <si>
    <t>PAGO DE FACT NCF B1500000316 POR SERVICIO DE REPARACION EQUIPO MEDICO UCI SEGUN O/C HSLM-2023-00903.</t>
  </si>
  <si>
    <t>PAGO DE FACT NCF B1500000100 POR ADQUISICION DE CATETER INTRAVENOSO SEGUN O/C HSLM-2023-00917.</t>
  </si>
  <si>
    <t>PAGO DE FACT NCF B1500000848 POR ADQUISICION DE UTILES MEDICOS SEGUN O/C HSLM-2023-00462</t>
  </si>
  <si>
    <t>PAGO DE FACT NCF B1500000225 POR ADQUISICION DE UTILES MEDICOS SEGUN O/C HSLM-2023-00916.</t>
  </si>
  <si>
    <t>PAGO DE FACT NCF B1500001747 POR ADQUISICION DE RESISTENCIA DE MAQUINA SELLADORA SEGUN O/C HSLM-2023-00836.</t>
  </si>
  <si>
    <t>PAGO DE FACT NCF B1500000826 POR ADQUISICION DE UTILES MEDICOS SEGUN O/C HSLM-2023-00942.</t>
  </si>
  <si>
    <t>PAGO DE FACT NCF B1500004025 POR ADQUISICION DE MEDICAMENTOS SEGUN O/C HSLM-2023-00966.</t>
  </si>
  <si>
    <t>PAGO DE FACT NCF B1500001028 POR ADQUISICION DE GEL ANTIBACTERIAL SEGUN O/C HSLM-2024-00195.</t>
  </si>
  <si>
    <t>PAGO DE FACT NCF B1500005169 POR ADQUISICION DE MEDICAMENTOS SEGUN O/C HSLM-2024-00301.</t>
  </si>
  <si>
    <t>PAGO DE FACT NCF B1500005174 POR ADQUISICION DE MEDICAMENTOS SEGUN O/C HSLM-2024-00310.</t>
  </si>
  <si>
    <t>PAGO DE FACT NCF B1500000838 POR ADQUISICION DE JABON CLOREXIDINA SEGUN O/C HSLM-2024-00114.</t>
  </si>
  <si>
    <t>PAGO DE FACT NCF B1500000863 POR ADQUISICION DE UTILES MEDICOS SEGUN O/C HSLM-2024-00299.</t>
  </si>
  <si>
    <t>PAGO DE FACT NCF B1500012307 POR ADQUISICION DE REACTIVOS Y UTIL MEDICO SEGUN O/C HSLM-2023-00695</t>
  </si>
  <si>
    <t>PAGO DE FACT NCF B1500000723 POR ADQUISICION DE ESFIGMOMANOMETRO PEDIATRICO SEGUN O/C HSLM-2024-00303.</t>
  </si>
  <si>
    <t>Accesorios</t>
  </si>
  <si>
    <t>PAGO DE FACT NCF B1500000415 POR ADQUISICION DE MEDICAMENTOS, AGUA BIDESTILADA Y AGUA OXIGENADA SEGUN O/C HSLM-2024-00312.</t>
  </si>
  <si>
    <t>PAGO DE FACT NCF B1500002132 POR ADQUISICION DE INSUMOS DE LABORATORIO SEGUN O/C HSLM-2024-00243.</t>
  </si>
  <si>
    <t>PAGO DE FACT NCF B1500000765 POR SERVICIO DE CATERING SEGUN O/C HSLM-2023-00210.</t>
  </si>
  <si>
    <t>2.2.9.2.03</t>
  </si>
  <si>
    <t>Servicios de Catering</t>
  </si>
  <si>
    <t>PAGO DE FACT NCF B1500000173 POR SERVICIO DE LAMINADO SEGUN O/C HSLM-2023-00334.</t>
  </si>
  <si>
    <t>2.2.9.1</t>
  </si>
  <si>
    <t>Otras contrataciones de servicios</t>
  </si>
  <si>
    <t>2.2.9.1.01</t>
  </si>
  <si>
    <t>PAGO DE FACT NCF B1500000161 POR ADQUISICION DE UTILES MEDICOS SEGUN O/C HSLM-2023-00234.</t>
  </si>
  <si>
    <t>PAGO DE FACT NCF B1500000636 POR ADQUISICION DE UTILES MEDICOS SEGUN O/C HSLM-2022-00157.</t>
  </si>
  <si>
    <t>PAGO DE FACT NCF B1500000685 POR ADQUISICION DE UTILES MEDICOS SEGUN O/C HSLM-2022-00311.</t>
  </si>
  <si>
    <t>PAGO DE FACT NCF B1500000661 POR ADQUISICION DE UTILES MEDICOS SEGUN O/C HSLM-2022-00242.</t>
  </si>
  <si>
    <t>PAGO DE FACT NCF B1500000668 POR ADQUISICION DE UTILES MEDICOS SEGUN O/C HSLM-2022-00272.</t>
  </si>
  <si>
    <t>PAGO DE FACT NCF B1500000670 POR ADQUISICION DE UTILES MEDICOS SEGUN O/C HSLM-2022-00210.</t>
  </si>
  <si>
    <t>PAGO DE FACT NCF B1500000908 POR ADQUISICION DE UTILES MEDICOS SEGUN O/C HSLM-2024-00393.</t>
  </si>
  <si>
    <t>PAGO DE FACT NCF B1500000915 POR ADQUISICION DE UTILES MEDICOS SEGUN O/C HSLM-2024-00417.</t>
  </si>
  <si>
    <t>PAGO DE FACT NCF B1500000917 POR ADQUISICION DE UTILES MEDICOS SEGUN O/C HSLM-2024-00422.</t>
  </si>
  <si>
    <t>PAGO DE FACT NCF B1500000926 POR ADQUISICION DE UTILES MEDICOS Y GEL DE SONOGRAFIA SEGUN O/C HSLM-2024-00450.</t>
  </si>
  <si>
    <t>PAGO DE FACT NCF B1500000939 POR ADQUISICION DE UTILES MEDICOS SEGUN O/C HSLM-2024-00486.</t>
  </si>
  <si>
    <t>Pago de Fact NCF No. B1500000813, por util medico, según orden de compra HSLM-2024-00133</t>
  </si>
  <si>
    <t>Pago de Fact NCF No. B1500001045, por adquisicion de medicamentos, según orden de compra HSLM-2023-00940</t>
  </si>
  <si>
    <t>Pago de Fact NCF No. B1500004215, por adquisicion de medicamentos, según orden de compra HSLM-2023-00541</t>
  </si>
  <si>
    <t>Pago de Fact NCF No, B1500000205, por adquisicion de insumos para la despensa , según orden de compra HSLM-2023-00994</t>
  </si>
  <si>
    <t>Pago de Fact NCF No, B1500000204, por adquisicion de insumos para la despensa , según orden de compra HSLM-2023-00974</t>
  </si>
  <si>
    <t>Pago de Fact NCF No, B1500000215, por adquisicion de insumos para la despensa , según orden de compra HSLM-2023-01009</t>
  </si>
  <si>
    <t>Pago de Fact NCF No, B1500000238, por adquisicion de utensilios de despensa, según orden de compra B1500000238</t>
  </si>
  <si>
    <t>Pago de Fact NCF No. B1500003445, por adquisicion de medicamentos y util medico, según orden de compra HSLM-2023-00301</t>
  </si>
  <si>
    <t>Pago de Fact NCF No. B1500001570, por adquisicion de util medico, según orden de compra HSLM-2024-00320</t>
  </si>
  <si>
    <t>25/06/2024</t>
  </si>
  <si>
    <t>Pago de Fact NCF No. B1500000009, por adquisicion de util medico, según orden de compra HSLM-2023-00456</t>
  </si>
  <si>
    <t>Pago de Facts Varias, correspondientes a los meses de febrero y marzo 2024, por oxigeno medico, para uso de la institución, según certificación de contrato BS-0015088-2023</t>
  </si>
  <si>
    <t>Pago de Fact NCF No, B1500000407, por adquisicion de medicamentos, según orden de compra HSLM-2024-00230</t>
  </si>
  <si>
    <t>Pago de Fact NCF No, B1500003842, por adquisicion de gel lubricante, según orden de compra HSLM-2023-00998</t>
  </si>
  <si>
    <t>Pago de Fact NCF No. B1500013697, por adquisición de medicamentos, según orden de compra HSLM-2023-00848.</t>
  </si>
  <si>
    <t>Pago de Fact NCF No, B1500000210, por adquisicion de insumos para la despensa , según orden de compra HSLM-2024-00223</t>
  </si>
  <si>
    <t>Pago de Fact NCF No. B1500000261, por adquisicion de util medico, según orden de compra HSLM-2024-00226</t>
  </si>
  <si>
    <t>281</t>
  </si>
  <si>
    <t>287</t>
  </si>
  <si>
    <t>288</t>
  </si>
  <si>
    <t>293</t>
  </si>
  <si>
    <t>299</t>
  </si>
  <si>
    <t>311</t>
  </si>
  <si>
    <t>315</t>
  </si>
  <si>
    <t>323</t>
  </si>
  <si>
    <t>330</t>
  </si>
  <si>
    <t>331</t>
  </si>
  <si>
    <t>337</t>
  </si>
  <si>
    <t>338</t>
  </si>
  <si>
    <t>344</t>
  </si>
  <si>
    <t>351</t>
  </si>
  <si>
    <t>353</t>
  </si>
  <si>
    <t>360</t>
  </si>
  <si>
    <t>364</t>
  </si>
  <si>
    <t>373</t>
  </si>
  <si>
    <t>375</t>
  </si>
  <si>
    <t>383</t>
  </si>
  <si>
    <t>397</t>
  </si>
  <si>
    <t>401</t>
  </si>
  <si>
    <t>426</t>
  </si>
  <si>
    <t>432</t>
  </si>
  <si>
    <t>436</t>
  </si>
  <si>
    <t>440</t>
  </si>
  <si>
    <t>452</t>
  </si>
  <si>
    <t>456</t>
  </si>
  <si>
    <t>460</t>
  </si>
  <si>
    <t>464</t>
  </si>
  <si>
    <t>468</t>
  </si>
  <si>
    <t>472</t>
  </si>
  <si>
    <t>481</t>
  </si>
  <si>
    <t>485</t>
  </si>
  <si>
    <t>489</t>
  </si>
  <si>
    <t>493</t>
  </si>
  <si>
    <t>504</t>
  </si>
  <si>
    <t>508</t>
  </si>
  <si>
    <t>521</t>
  </si>
  <si>
    <t>544</t>
  </si>
  <si>
    <t>547</t>
  </si>
  <si>
    <t>551</t>
  </si>
  <si>
    <t>564</t>
  </si>
  <si>
    <t>568</t>
  </si>
  <si>
    <t>572</t>
  </si>
  <si>
    <t>576</t>
  </si>
  <si>
    <t>580</t>
  </si>
  <si>
    <t>584</t>
  </si>
  <si>
    <t>590</t>
  </si>
  <si>
    <t>599</t>
  </si>
  <si>
    <t>603</t>
  </si>
  <si>
    <t>608</t>
  </si>
  <si>
    <t>617</t>
  </si>
  <si>
    <t>623</t>
  </si>
  <si>
    <t>626</t>
  </si>
  <si>
    <t>630</t>
  </si>
  <si>
    <t>679</t>
  </si>
  <si>
    <t>685</t>
  </si>
  <si>
    <t>689</t>
  </si>
  <si>
    <t>693</t>
  </si>
  <si>
    <t>721</t>
  </si>
  <si>
    <t>725</t>
  </si>
  <si>
    <t>729</t>
  </si>
  <si>
    <t>733</t>
  </si>
  <si>
    <t>737</t>
  </si>
  <si>
    <t>741</t>
  </si>
  <si>
    <t>748</t>
  </si>
  <si>
    <t>754</t>
  </si>
  <si>
    <t>757</t>
  </si>
  <si>
    <t>761</t>
  </si>
  <si>
    <t>765</t>
  </si>
  <si>
    <t>773</t>
  </si>
  <si>
    <t>786</t>
  </si>
  <si>
    <t>790</t>
  </si>
  <si>
    <t>794</t>
  </si>
  <si>
    <t>798</t>
  </si>
  <si>
    <t>802</t>
  </si>
  <si>
    <t>810</t>
  </si>
  <si>
    <t>814</t>
  </si>
  <si>
    <t>818</t>
  </si>
  <si>
    <t>822</t>
  </si>
  <si>
    <t>826</t>
  </si>
  <si>
    <t>831</t>
  </si>
  <si>
    <t>835</t>
  </si>
  <si>
    <t>839</t>
  </si>
  <si>
    <t>852</t>
  </si>
  <si>
    <t>856</t>
  </si>
  <si>
    <t>865</t>
  </si>
  <si>
    <t>870</t>
  </si>
  <si>
    <t>874</t>
  </si>
  <si>
    <t>879</t>
  </si>
  <si>
    <t>883</t>
  </si>
  <si>
    <t>888</t>
  </si>
  <si>
    <t>892</t>
  </si>
  <si>
    <t>908</t>
  </si>
  <si>
    <t>912</t>
  </si>
  <si>
    <t>916</t>
  </si>
  <si>
    <t>920</t>
  </si>
  <si>
    <t>924</t>
  </si>
  <si>
    <t>928</t>
  </si>
  <si>
    <t>944</t>
  </si>
  <si>
    <t>948</t>
  </si>
  <si>
    <t>952</t>
  </si>
  <si>
    <t>958</t>
  </si>
  <si>
    <t>962</t>
  </si>
  <si>
    <t>966</t>
  </si>
  <si>
    <t>970</t>
  </si>
  <si>
    <t>974</t>
  </si>
  <si>
    <t>980</t>
  </si>
  <si>
    <t>984</t>
  </si>
  <si>
    <t>988</t>
  </si>
  <si>
    <t>992</t>
  </si>
  <si>
    <t>996</t>
  </si>
  <si>
    <t>1001</t>
  </si>
  <si>
    <t>1065</t>
  </si>
  <si>
    <t>1112</t>
  </si>
  <si>
    <t>1116</t>
  </si>
  <si>
    <t>1120</t>
  </si>
  <si>
    <t>1124</t>
  </si>
  <si>
    <t>1139</t>
  </si>
  <si>
    <t>1143</t>
  </si>
  <si>
    <t>1149</t>
  </si>
  <si>
    <t>1156</t>
  </si>
  <si>
    <t>1168</t>
  </si>
  <si>
    <t>1173</t>
  </si>
  <si>
    <t>1178</t>
  </si>
  <si>
    <t>1182</t>
  </si>
  <si>
    <t>1187</t>
  </si>
  <si>
    <t>1192</t>
  </si>
  <si>
    <t>1203</t>
  </si>
  <si>
    <t>1211</t>
  </si>
  <si>
    <t>1215</t>
  </si>
  <si>
    <t>1221</t>
  </si>
  <si>
    <t>1229</t>
  </si>
  <si>
    <t>1230</t>
  </si>
  <si>
    <t>1235</t>
  </si>
  <si>
    <t>1239</t>
  </si>
  <si>
    <t>1252</t>
  </si>
  <si>
    <t>1260</t>
  </si>
  <si>
    <t>1274</t>
  </si>
  <si>
    <t>1284</t>
  </si>
  <si>
    <t>1288</t>
  </si>
  <si>
    <t>1300</t>
  </si>
  <si>
    <t>1303</t>
  </si>
  <si>
    <t>1321</t>
  </si>
  <si>
    <t>1328</t>
  </si>
  <si>
    <t>1339</t>
  </si>
  <si>
    <t>1343</t>
  </si>
  <si>
    <t>1349</t>
  </si>
  <si>
    <t>1353</t>
  </si>
  <si>
    <t>1357</t>
  </si>
  <si>
    <t>1362</t>
  </si>
  <si>
    <t>1366</t>
  </si>
  <si>
    <t>1370</t>
  </si>
  <si>
    <t>1374</t>
  </si>
  <si>
    <t>1390</t>
  </si>
  <si>
    <t>1394</t>
  </si>
  <si>
    <t>1398</t>
  </si>
  <si>
    <t>1402</t>
  </si>
  <si>
    <t>1406</t>
  </si>
  <si>
    <t>1410</t>
  </si>
  <si>
    <t>1414</t>
  </si>
  <si>
    <t>1418</t>
  </si>
  <si>
    <t>1422</t>
  </si>
  <si>
    <t>1426</t>
  </si>
  <si>
    <t>1443</t>
  </si>
  <si>
    <t>1448</t>
  </si>
  <si>
    <t>1463</t>
  </si>
  <si>
    <t>1467</t>
  </si>
  <si>
    <t>1471</t>
  </si>
  <si>
    <t>1475</t>
  </si>
  <si>
    <t>1479</t>
  </si>
  <si>
    <t>1483</t>
  </si>
  <si>
    <t>1487</t>
  </si>
  <si>
    <t>1491</t>
  </si>
  <si>
    <t>1495</t>
  </si>
  <si>
    <t>1499</t>
  </si>
  <si>
    <t>1503</t>
  </si>
  <si>
    <t>1507</t>
  </si>
  <si>
    <t>1511</t>
  </si>
  <si>
    <t>1515</t>
  </si>
  <si>
    <t>1520</t>
  </si>
  <si>
    <t>1524</t>
  </si>
  <si>
    <t>1528</t>
  </si>
  <si>
    <t>1555</t>
  </si>
  <si>
    <t>1635</t>
  </si>
  <si>
    <t>1643</t>
  </si>
  <si>
    <t>1647</t>
  </si>
  <si>
    <t>1661</t>
  </si>
  <si>
    <t>1694</t>
  </si>
  <si>
    <t>1735</t>
  </si>
  <si>
    <t>1796</t>
  </si>
  <si>
    <t>1800</t>
  </si>
  <si>
    <t>1804</t>
  </si>
  <si>
    <t>1809</t>
  </si>
  <si>
    <t>1811</t>
  </si>
  <si>
    <t>1826</t>
  </si>
  <si>
    <t>1831</t>
  </si>
  <si>
    <t>1835</t>
  </si>
  <si>
    <t>1839</t>
  </si>
  <si>
    <t>1843</t>
  </si>
  <si>
    <t>1847</t>
  </si>
  <si>
    <t>1851</t>
  </si>
  <si>
    <t>1864</t>
  </si>
  <si>
    <t>1868</t>
  </si>
  <si>
    <t>1872</t>
  </si>
  <si>
    <t>1876</t>
  </si>
  <si>
    <t>1880</t>
  </si>
  <si>
    <t>1903</t>
  </si>
  <si>
    <t>1907</t>
  </si>
  <si>
    <t>1911</t>
  </si>
  <si>
    <t>1931</t>
  </si>
  <si>
    <t>1935</t>
  </si>
  <si>
    <t>1943</t>
  </si>
  <si>
    <t>1947</t>
  </si>
  <si>
    <t>1951</t>
  </si>
  <si>
    <t>1955</t>
  </si>
  <si>
    <t>1962</t>
  </si>
  <si>
    <t>1969</t>
  </si>
  <si>
    <t>1980</t>
  </si>
  <si>
    <t>1987</t>
  </si>
  <si>
    <t>1988</t>
  </si>
  <si>
    <t>1993</t>
  </si>
  <si>
    <t>1997</t>
  </si>
  <si>
    <t>2001</t>
  </si>
  <si>
    <t>2005</t>
  </si>
  <si>
    <t>2009</t>
  </si>
  <si>
    <t>2013</t>
  </si>
  <si>
    <t>2017</t>
  </si>
  <si>
    <t>2021</t>
  </si>
  <si>
    <t>2025</t>
  </si>
  <si>
    <t>2029</t>
  </si>
  <si>
    <t>2046</t>
  </si>
  <si>
    <t>2050</t>
  </si>
  <si>
    <t>2054</t>
  </si>
  <si>
    <t>2058</t>
  </si>
  <si>
    <t>2062</t>
  </si>
  <si>
    <t>303</t>
  </si>
  <si>
    <t>0002</t>
  </si>
  <si>
    <t>Servicios de atención y control al neonato prematuro</t>
  </si>
  <si>
    <t>663</t>
  </si>
  <si>
    <t>Pago de Fact NCF No, B1500001399, por adquisicion de monitores multiparametros completos, segun orden de compra HSLM-2024-00069</t>
  </si>
  <si>
    <t>1024</t>
  </si>
  <si>
    <t>PAGO DE FACT NCF B1500001375 POR ADQUISICION DE CARRO DE PARO SEGUN O/C HSLM-2023-00831.</t>
  </si>
  <si>
    <t>1046</t>
  </si>
  <si>
    <t>Pago de Fact NCF No, B1500013734, por Adquisicion de Rotador de VDRL según orden de compra HSLM-2024-00025</t>
  </si>
  <si>
    <t>1456</t>
  </si>
  <si>
    <t>PAGO DE FACT NCF B1500000009 POR ADQUISICION DE TELA Y ALGODON SEGUN O/C HSLM-2024-00062.</t>
  </si>
  <si>
    <t>TEXTILES Y VESTUARIOS</t>
  </si>
  <si>
    <t>2.3.2.1</t>
  </si>
  <si>
    <t>Hilados, fibras, telas y útiles de costura</t>
  </si>
  <si>
    <t>2.3.2.1.01</t>
  </si>
  <si>
    <t>1586</t>
  </si>
  <si>
    <t>2.3.2.2</t>
  </si>
  <si>
    <t>2.3.2.2.01</t>
  </si>
  <si>
    <t>1698</t>
  </si>
  <si>
    <t>PAGO DE FACT NCF B1500003440 POR ADQUISICION DE IMPRESORA GRAFICA DE VIDEO HIBRIDA P/ SONOGRAFIA SEGUN O/C HSLM-2023-00285.</t>
  </si>
  <si>
    <t>2.6.1.3</t>
  </si>
  <si>
    <t>Equipos de tecnología de la información y comunicación</t>
  </si>
  <si>
    <t>2.6.1.3.01</t>
  </si>
  <si>
    <t>Pago de Fact NCF No, B1500013734, por adquisicion de reactivos, según orden de compra HSLM-2024-00025</t>
  </si>
  <si>
    <t>1264</t>
  </si>
  <si>
    <t>1377</t>
  </si>
  <si>
    <t>265</t>
  </si>
  <si>
    <t>556</t>
  </si>
  <si>
    <t>697</t>
  </si>
  <si>
    <t>861</t>
  </si>
  <si>
    <t>1335</t>
  </si>
  <si>
    <t>este estado esta mal elaborado, fvor revisar, según conversaciones</t>
  </si>
  <si>
    <t>Total 2.1.1</t>
  </si>
  <si>
    <t>Total 2.1.2</t>
  </si>
  <si>
    <t>Total 2.1.5</t>
  </si>
  <si>
    <t>Total 2.2.4</t>
  </si>
  <si>
    <t>Total 2.2.5</t>
  </si>
  <si>
    <t>Total 2.2.7</t>
  </si>
  <si>
    <t>Total 2.2.8</t>
  </si>
  <si>
    <t>Total 2.2.9</t>
  </si>
  <si>
    <t>Total 2.3.1</t>
  </si>
  <si>
    <t>Total 2.3.2</t>
  </si>
  <si>
    <t>Total 2.3.3</t>
  </si>
  <si>
    <t>Total 2.3.4</t>
  </si>
  <si>
    <t>Total 2.3.5</t>
  </si>
  <si>
    <t>Total 2.3.6</t>
  </si>
  <si>
    <t>Total 2.3.7</t>
  </si>
  <si>
    <t>Total 2.3.9</t>
  </si>
  <si>
    <t>Total 2.6.1</t>
  </si>
  <si>
    <t>Total 2.6.2</t>
  </si>
  <si>
    <t>Total 2.6.3</t>
  </si>
  <si>
    <t>Total 2.6.5</t>
  </si>
  <si>
    <t>Total 2.6.9</t>
  </si>
  <si>
    <t>Total general</t>
  </si>
  <si>
    <t xml:space="preserve">Transferencias y donaciones </t>
  </si>
  <si>
    <t xml:space="preserve">Cobros de subvenciones, transferencias, y otras asignaciones </t>
  </si>
  <si>
    <t>Otros cobros</t>
  </si>
  <si>
    <t>Incremento/(Disminución) neta en el efectivo y equivalentes al efectivo</t>
  </si>
  <si>
    <t xml:space="preserve">Transferencias </t>
  </si>
  <si>
    <t>Total de Ingresos por Venta de Servicios</t>
  </si>
  <si>
    <t>Total de Otros Ingresos</t>
  </si>
  <si>
    <t>Depreciacion Mobiliario y Equipo de Oficina</t>
  </si>
  <si>
    <t>Depreciacion Maquinaria y Equipo Medicos</t>
  </si>
  <si>
    <t>Ajuste periodos anteriores</t>
  </si>
  <si>
    <t>Activos Netos/Patrimonio  (Nota 14)</t>
  </si>
  <si>
    <t>Ingresos (Notas 15)</t>
  </si>
  <si>
    <t>Gastos (Notas 16,17,18,19,20,21)</t>
  </si>
  <si>
    <t>Nota#  15. Ingresos por transacciones con contraprestaciones</t>
  </si>
  <si>
    <t xml:space="preserve"> Nota # 16 Sueldos, Salarios y beneficios a empleados</t>
  </si>
  <si>
    <t>Nota# 14 Patrimonio</t>
  </si>
  <si>
    <t xml:space="preserve">Nota# 19 Gastos de depreciación y amortización </t>
  </si>
  <si>
    <t xml:space="preserve">Nota# 20 Otros gastos </t>
  </si>
  <si>
    <t xml:space="preserve">Nota# 21 Gastos Financieros </t>
  </si>
  <si>
    <t>Transferencias corrientes a personas</t>
  </si>
  <si>
    <t>Nota# 15.1 Ingresos por Venta de Servicios</t>
  </si>
  <si>
    <t>Nota# 17 Subvenciones y otros pagos por transferencias</t>
  </si>
  <si>
    <t>Nota# 18 Suministro y materiales para consumo</t>
  </si>
  <si>
    <t>PRODUCTOS MEDICINALES, SRL</t>
  </si>
  <si>
    <t>NO</t>
  </si>
  <si>
    <t xml:space="preserve">NOMBRES PROVEEDOR  </t>
  </si>
  <si>
    <t>AL 31 DICIEMBRE 2021</t>
  </si>
  <si>
    <t>AL 31 DICIEMBRE 2022</t>
  </si>
  <si>
    <t>Copem Hospiclinic, SRL</t>
  </si>
  <si>
    <t>Hospifar, SRL</t>
  </si>
  <si>
    <t>Bio Win, SRL</t>
  </si>
  <si>
    <t>Ventas Diversas Farmaceuticas, SRL (VENDIFAR)</t>
  </si>
  <si>
    <t>D, CORA INDUSTRIAL, S.R.L</t>
  </si>
  <si>
    <t>Leromed Pharma, SRL</t>
  </si>
  <si>
    <t>Insocorp, S.R.L.</t>
  </si>
  <si>
    <t>Macrotech Farmacéutica, SRL</t>
  </si>
  <si>
    <t>Gestiones Sanitarias &amp; Ambientales, SRL (GESA)</t>
  </si>
  <si>
    <t>Q&amp;Q Medical RD, SRL</t>
  </si>
  <si>
    <t>Medequip, SRL</t>
  </si>
  <si>
    <t>Delia Josefina Tatis Perdomo</t>
  </si>
  <si>
    <t>Miguelina  Vasquez Castillo</t>
  </si>
  <si>
    <t xml:space="preserve">J. JIREH EQUIPOS MEDICOS SRL </t>
  </si>
  <si>
    <t>Abrias Novo Group SRL</t>
  </si>
  <si>
    <t>Corporacion Medica A.G., SRL</t>
  </si>
  <si>
    <t>Papelería E. Impresos Crishoan, SRL</t>
  </si>
  <si>
    <t>Grupo Xeron Medic SRL</t>
  </si>
  <si>
    <t>Bio Nuclear, SA</t>
  </si>
  <si>
    <t>Farmaco Internacional, SRL</t>
  </si>
  <si>
    <t>Sueldo Anual 13</t>
  </si>
  <si>
    <t>Sobresueldos</t>
  </si>
  <si>
    <t>Publicidad, Impresión y Encuadernacion</t>
  </si>
  <si>
    <t>Seguros</t>
  </si>
  <si>
    <t>Balance Anterior</t>
  </si>
  <si>
    <t>ARS SENASA SUBSIDIADO</t>
  </si>
  <si>
    <t>BALANCE ANTERIOR</t>
  </si>
  <si>
    <t>ARS ASEMAP</t>
  </si>
  <si>
    <t>ARS FUTURO</t>
  </si>
  <si>
    <t>ARS RESERVAS</t>
  </si>
  <si>
    <t>ARS YUNEN</t>
  </si>
  <si>
    <t>ARS CMD</t>
  </si>
  <si>
    <t>ARS MONUMENTAL</t>
  </si>
  <si>
    <t>ARS RENACER</t>
  </si>
  <si>
    <t>ARS MAPHRE</t>
  </si>
  <si>
    <t>Saldo al   31 de diciembre 2023</t>
  </si>
  <si>
    <t>Costos de adquisición  2021</t>
  </si>
  <si>
    <t>Adiciones (AÑO 2023)</t>
  </si>
  <si>
    <t>Retiros</t>
  </si>
  <si>
    <t>Prop. planta y equipos neto 2023</t>
  </si>
  <si>
    <t>AÑO 2023</t>
  </si>
  <si>
    <t>Cuentas por Pagar a corto plazo proveedores (Sector Privado)</t>
  </si>
  <si>
    <t xml:space="preserve">Incentivos por Pagar Empleados </t>
  </si>
  <si>
    <t>Prestaciones Laborales</t>
  </si>
  <si>
    <t>Nota#  15.1. Ingresos por Contraprestacion</t>
  </si>
  <si>
    <t>15.5 Total de Ingresos por Anticipo Financiero Cuenta Bancaria 960-454417-5</t>
  </si>
  <si>
    <t>Nota#  15.5 Anticipo Financiero</t>
  </si>
  <si>
    <t xml:space="preserve">Medicamentos, Util Medico y Productos Químicos de Uso Personal y de Laboratorios </t>
  </si>
  <si>
    <t>Cuenta Unica</t>
  </si>
  <si>
    <t>Transferencia del Gobierno Central / Ministerio de Salud</t>
  </si>
  <si>
    <t>Sub-Total Transferencia del gobierno Central</t>
  </si>
  <si>
    <t xml:space="preserve">Nota# 15.4 Otros Ingresos </t>
  </si>
  <si>
    <t xml:space="preserve"> Otros Ingresos </t>
  </si>
  <si>
    <t>Nota#  15.2 Ingresos por Transferencia del Gobierno Central</t>
  </si>
  <si>
    <t xml:space="preserve">Disminucion de Activos Financieros </t>
  </si>
  <si>
    <t>Sub- Cuenta  No. 0100269000</t>
  </si>
  <si>
    <t>Sub- Cuenta No. 995041000</t>
  </si>
  <si>
    <t>Costos de adquisición  2024</t>
  </si>
  <si>
    <t>Adiciones (AÑO 2025)</t>
  </si>
  <si>
    <t>Nota: Nuestros Activos Fijos correspondiente a los años anteriores al 2021, estan siendo tasados, por lo que solo se reflejaran en este estado financiero los activos adquiridos durante el año 2021, 2022, 2023, 2024 y 2025, con su respectiva depreciacion.</t>
  </si>
  <si>
    <t>CUENTAS POR COBRAR ARS AÑO 2025</t>
  </si>
  <si>
    <t>02/01/2025</t>
  </si>
  <si>
    <t>09/01/2025</t>
  </si>
  <si>
    <t>B0100001070</t>
  </si>
  <si>
    <t>B0100001071</t>
  </si>
  <si>
    <t>B0100001072</t>
  </si>
  <si>
    <t>B0100001073</t>
  </si>
  <si>
    <t>B0100001074</t>
  </si>
  <si>
    <t>B0100001075</t>
  </si>
  <si>
    <t>B0100001076</t>
  </si>
  <si>
    <t>B0100001077</t>
  </si>
  <si>
    <t>B0100001078</t>
  </si>
  <si>
    <t>B0100001079</t>
  </si>
  <si>
    <t>B0100001080</t>
  </si>
  <si>
    <t>B0100001081</t>
  </si>
  <si>
    <t>B0100001082</t>
  </si>
  <si>
    <t>B0100001083</t>
  </si>
  <si>
    <t>B0100001084</t>
  </si>
  <si>
    <t>B0100001085</t>
  </si>
  <si>
    <t>PLASTIFAR, S.A</t>
  </si>
  <si>
    <t xml:space="preserve">PATRIA RIVAS LABORATORIO CLINICO </t>
  </si>
  <si>
    <t xml:space="preserve">Servicio Nacional de Salud </t>
  </si>
  <si>
    <t xml:space="preserve">Comportamiento de Ingresos percibidos Segregados según Origen </t>
  </si>
  <si>
    <t>origen</t>
  </si>
  <si>
    <t xml:space="preserve">No. De Documento de referencia </t>
  </si>
  <si>
    <t xml:space="preserve">valor de Transferencia o Cheque </t>
  </si>
  <si>
    <t>FONDO 100(PARA OBJECTALES 2.2,2.3,2.6,2.7.)</t>
  </si>
  <si>
    <t xml:space="preserve">Venta de Servicio </t>
  </si>
  <si>
    <t>Aportes provenientes de convenios Institucionales</t>
  </si>
  <si>
    <t>Form. No.6 SRS</t>
  </si>
  <si>
    <t>Dirección de Fizcalización</t>
  </si>
  <si>
    <t>Consolidado de Ingresos y Gastos por Fuente de Financiamiento</t>
  </si>
  <si>
    <t>Ingresos Generales:</t>
  </si>
  <si>
    <t>1.- Balance Inicial / Fuente:</t>
  </si>
  <si>
    <t>Anticipo Financiero</t>
  </si>
  <si>
    <t>Otros Aportes</t>
  </si>
  <si>
    <t>Contraseña: 0001</t>
  </si>
  <si>
    <t>Transferencias Corrientes</t>
  </si>
  <si>
    <t>Venta de Servicios</t>
  </si>
  <si>
    <t>2.- Ingresos por Fuente / Cuenta</t>
  </si>
  <si>
    <t>OBJETAL</t>
  </si>
  <si>
    <t>FR</t>
  </si>
  <si>
    <t>VS</t>
  </si>
  <si>
    <t>Aportes Nomina SNS</t>
  </si>
  <si>
    <t>TOTAL INGRESOS RDS</t>
  </si>
  <si>
    <t>Código Presupuestario</t>
  </si>
  <si>
    <t>Descripción Gasto por Cuenta</t>
  </si>
  <si>
    <t xml:space="preserve">Distribución del Gasto por Fuente de Financiamiento </t>
  </si>
  <si>
    <t>Tipo</t>
  </si>
  <si>
    <t>Objeto</t>
  </si>
  <si>
    <t>Cuenta</t>
  </si>
  <si>
    <t>Sub-Cuenta</t>
  </si>
  <si>
    <t>Auxiliar</t>
  </si>
  <si>
    <t>Fondo 100</t>
  </si>
  <si>
    <t>Venta de Servicios/    Otros Aportes</t>
  </si>
  <si>
    <t>Gastos</t>
  </si>
  <si>
    <t>Servicios Personales</t>
  </si>
  <si>
    <t>Remuneraciones</t>
  </si>
  <si>
    <t xml:space="preserve"> Sueldos a empleados fijos</t>
  </si>
  <si>
    <t>Sueldos a médicos</t>
  </si>
  <si>
    <t>03</t>
  </si>
  <si>
    <t>Ascensos a militares</t>
  </si>
  <si>
    <t>Nuevas plazas maestros</t>
  </si>
  <si>
    <t>05</t>
  </si>
  <si>
    <t>Incentivos y escalafón</t>
  </si>
  <si>
    <t>06</t>
  </si>
  <si>
    <t>Nuevas plazas a médicos</t>
  </si>
  <si>
    <t>Remuneraciones al personal con carácter transitorio</t>
  </si>
  <si>
    <t>Suplencias</t>
  </si>
  <si>
    <t>Sueldo al personal nominal en período probatorio</t>
  </si>
  <si>
    <t xml:space="preserve"> Jornales</t>
  </si>
  <si>
    <t>08</t>
  </si>
  <si>
    <t>09</t>
  </si>
  <si>
    <t>Personal de carácter eventual</t>
  </si>
  <si>
    <t>Interinato</t>
  </si>
  <si>
    <t>Sueldos al personal fijo en trámite de pensiones</t>
  </si>
  <si>
    <t>Sueldo anual no. 13</t>
  </si>
  <si>
    <t>Prestaciones económinas</t>
  </si>
  <si>
    <t>Pago de porcentaje por desvinculación de cargo</t>
  </si>
  <si>
    <t>Compensación por gastos de alimentación</t>
  </si>
  <si>
    <t>Pago de horas extraordinarias</t>
  </si>
  <si>
    <t>Prima de transporte</t>
  </si>
  <si>
    <t>Compensación servicios de Seguridad</t>
  </si>
  <si>
    <t>Incentivo por Rendimieto Individual</t>
  </si>
  <si>
    <t>07</t>
  </si>
  <si>
    <t>Compensación por distancia</t>
  </si>
  <si>
    <t>Bono por desempeño a servidores de carrera</t>
  </si>
  <si>
    <t>Compensacion por cumplimiento de indicadores</t>
  </si>
  <si>
    <t>Dietas y Gastos de Representación</t>
  </si>
  <si>
    <t>Dietas</t>
  </si>
  <si>
    <t>Dietas en el país</t>
  </si>
  <si>
    <t>Dietas en el exterior</t>
  </si>
  <si>
    <t>Gastos de representación</t>
  </si>
  <si>
    <t>Gastos de representación en el país</t>
  </si>
  <si>
    <t>Gastos de representación en el exterior</t>
  </si>
  <si>
    <t>Gratificaciones y Bonificaciones</t>
  </si>
  <si>
    <t>Bonificaciones</t>
  </si>
  <si>
    <t>Otras Gratificaciones y Bonificaciones</t>
  </si>
  <si>
    <t>Bono escolar</t>
  </si>
  <si>
    <t>Gratificaciones por pasantías</t>
  </si>
  <si>
    <t>Gratificaciones por aniversario de institución</t>
  </si>
  <si>
    <t>Contribuciones a la Seguridad Social y Riesgo Laboral</t>
  </si>
  <si>
    <t>Contribuciones al plan de retiro complementario</t>
  </si>
  <si>
    <t>Servicios No Personales</t>
  </si>
  <si>
    <t>Servicios Básicos</t>
  </si>
  <si>
    <t>Radiocomunicación</t>
  </si>
  <si>
    <t>Servicios telefónico de larga distancia</t>
  </si>
  <si>
    <t>Telefax y correos</t>
  </si>
  <si>
    <t>Servicio de Internet y televisión por cable</t>
  </si>
  <si>
    <t>Electricidad</t>
  </si>
  <si>
    <t>Energía eléctrica</t>
  </si>
  <si>
    <t>Electricidad no cortable</t>
  </si>
  <si>
    <t>Recolección de residuos sólidos</t>
  </si>
  <si>
    <t>Publicidad Impresión y Encuadernación</t>
  </si>
  <si>
    <t>Publicidad y propaganda</t>
  </si>
  <si>
    <t>Impresión y encuadernación</t>
  </si>
  <si>
    <t>Viáticos</t>
  </si>
  <si>
    <t>Viáticos dentro del país</t>
  </si>
  <si>
    <t>Viáticos fuera del país</t>
  </si>
  <si>
    <t>Pasajes</t>
  </si>
  <si>
    <t>Almacenaje</t>
  </si>
  <si>
    <t>Peaje</t>
  </si>
  <si>
    <t>Alquileres y Rentas</t>
  </si>
  <si>
    <t>Alquileres y rentas de edificios y locales</t>
  </si>
  <si>
    <t>Alquileres de equipos de producción</t>
  </si>
  <si>
    <t>Alquileres de equipos electricos (plantas)</t>
  </si>
  <si>
    <t>Alquileres de maquinarias y equipos</t>
  </si>
  <si>
    <t>Alquiler de equipo de tecnologia y almacenamiento de datos</t>
  </si>
  <si>
    <t>Alquiler de equipo de comunicación</t>
  </si>
  <si>
    <t>Alquiler de equipos sanitarios y de laboratorios</t>
  </si>
  <si>
    <t>Alquileres de equipos de transporte, tracción y elevación</t>
  </si>
  <si>
    <t>Alquiler de tierras</t>
  </si>
  <si>
    <t>Alquileres de terrenos</t>
  </si>
  <si>
    <t>Alquileres de equipos de construcción y movimiento de tierras</t>
  </si>
  <si>
    <t>Derechos de uso</t>
  </si>
  <si>
    <t>Licencias informaticas</t>
  </si>
  <si>
    <t>Seguro de bienes inmuebles e infraestructura</t>
  </si>
  <si>
    <t>Seguro de bienes muebles</t>
  </si>
  <si>
    <t>Seguros de personas</t>
  </si>
  <si>
    <t>Seguros de la producción agrícola</t>
  </si>
  <si>
    <t>Servicios de Conservación, Reparaciones Menores e Instalaciones Temporales</t>
  </si>
  <si>
    <t>Obras Menores</t>
  </si>
  <si>
    <t>Servicios especiales de mantenimiento y reparación</t>
  </si>
  <si>
    <t>Mantenimiento y reparación de obras civiles en instalaciones varias</t>
  </si>
  <si>
    <t>Obras en bienes de dominio público</t>
  </si>
  <si>
    <t>Mantenimiento, reparacion, servicios de pintura y sus derivados</t>
  </si>
  <si>
    <t>99</t>
  </si>
  <si>
    <t>Otros mantenimientos, reparaciones y sus derivados, no identificados precedentemente</t>
  </si>
  <si>
    <t>Reparaciones de maquinarias y equipos</t>
  </si>
  <si>
    <t>Mantenimiento y reparación de equipo de oficina y muebles</t>
  </si>
  <si>
    <t>Mantenimiento y rep. de equipo de tecnologia e informatica</t>
  </si>
  <si>
    <t>Mantenimiento y reparación de equipo educacional</t>
  </si>
  <si>
    <t>Mantenimiento y reparación de equipos sanitarios y de laboratorio</t>
  </si>
  <si>
    <t>Mantenimiento y reparación de equipo de comunicación</t>
  </si>
  <si>
    <t>Mantenimiento y reparación de equipos de transporte, tracción y elevación</t>
  </si>
  <si>
    <t xml:space="preserve">Mant. Y reparacion de equipos industriales y produccion </t>
  </si>
  <si>
    <t>Servicios de Mant. Reparacion, desmonte e instalacion</t>
  </si>
  <si>
    <t>Otros servicios de mantenimiento y reparacion de maquinaria y equipos, no identificados anteriormente</t>
  </si>
  <si>
    <t>Instalaciones temporales</t>
  </si>
  <si>
    <t>Comisiones y gastos bancarios</t>
  </si>
  <si>
    <t>Servicios funerarios y gastos conexos</t>
  </si>
  <si>
    <t>Fumigación, lavandería, limpieza e higiene</t>
  </si>
  <si>
    <t>Lavandería</t>
  </si>
  <si>
    <t>Limpieza e higiene</t>
  </si>
  <si>
    <t>Organización de eventos y festividades</t>
  </si>
  <si>
    <t>Festividades</t>
  </si>
  <si>
    <t>Actuaciones deportivas</t>
  </si>
  <si>
    <t>Actuaciones artísticas</t>
  </si>
  <si>
    <t>Servicios Técnicos y Profesionales</t>
  </si>
  <si>
    <t>Estudios, investigaciones y análisis de factibilidad</t>
  </si>
  <si>
    <t>Servicios jurídicos</t>
  </si>
  <si>
    <t>Servicios de contabilidad y auditoria</t>
  </si>
  <si>
    <t>Servicios de capacitación</t>
  </si>
  <si>
    <t>Servicios de informática y sistemas computarizados</t>
  </si>
  <si>
    <t>Otros servicios técnicos profesionales</t>
  </si>
  <si>
    <t>Impuestos, derechos y tasas</t>
  </si>
  <si>
    <t>Derechos</t>
  </si>
  <si>
    <t>Tasas</t>
  </si>
  <si>
    <t>Otras Contrataciones de Servicios</t>
  </si>
  <si>
    <t xml:space="preserve">Servicios de alimentación </t>
  </si>
  <si>
    <t>Materiales y Suministros</t>
  </si>
  <si>
    <t>Desayuno escolar</t>
  </si>
  <si>
    <t>Alimentos para animales</t>
  </si>
  <si>
    <t>Productos agroforestales y pecuarios</t>
  </si>
  <si>
    <t>Productos pecuarios</t>
  </si>
  <si>
    <t>Productos agrícolas</t>
  </si>
  <si>
    <t>Productos forestales</t>
  </si>
  <si>
    <t>Madera, corcho y sus manufacturas</t>
  </si>
  <si>
    <t>Productos de Papel, Cartón e Impresos</t>
  </si>
  <si>
    <t>Libros, revistas y periódicos</t>
  </si>
  <si>
    <t>Textos de enseñanza</t>
  </si>
  <si>
    <t>Especies timbrados y valoradas</t>
  </si>
  <si>
    <t>Productos Farmacéuticos</t>
  </si>
  <si>
    <t>Productos medicinales para uso veterinario</t>
  </si>
  <si>
    <t>Productos de Cuero, Caucho y Plásticos</t>
  </si>
  <si>
    <t>Cueros y pieles</t>
  </si>
  <si>
    <t>Artículos de cuero</t>
  </si>
  <si>
    <t>Llantas y neumáticos</t>
  </si>
  <si>
    <t>Artículos de plástico</t>
  </si>
  <si>
    <t>Productos de Minerales, Metálicos y No Metálicos</t>
  </si>
  <si>
    <t>Productos de cemento, cal, asbesto, yeso y arcilla</t>
  </si>
  <si>
    <t>Productos de cemento</t>
  </si>
  <si>
    <t>Productos de asbestos</t>
  </si>
  <si>
    <t>Productos de yeso</t>
  </si>
  <si>
    <t>Productos de arcilla y derivados</t>
  </si>
  <si>
    <t>Productos de vidrio</t>
  </si>
  <si>
    <t>Productos de loza</t>
  </si>
  <si>
    <t>Accesorios de metal</t>
  </si>
  <si>
    <t>Minerales</t>
  </si>
  <si>
    <t>Minerales metalíferos</t>
  </si>
  <si>
    <t>Petróleo crudo</t>
  </si>
  <si>
    <t>Carbón mineral</t>
  </si>
  <si>
    <t>Piedra, arcilla y arena</t>
  </si>
  <si>
    <t>Productos aislantes</t>
  </si>
  <si>
    <t>Productos abrasivos</t>
  </si>
  <si>
    <t>Otros minerales</t>
  </si>
  <si>
    <t>Otros Productos Minerales no metálicos</t>
  </si>
  <si>
    <t>Otros productos no metálicos</t>
  </si>
  <si>
    <t>Combustibles, Lubricantes, Productos Químicos y Conexos</t>
  </si>
  <si>
    <t>Kerosén</t>
  </si>
  <si>
    <t>Aceites y Grasas</t>
  </si>
  <si>
    <t>Lubricantes</t>
  </si>
  <si>
    <t>Gas Natural</t>
  </si>
  <si>
    <t>Productos explosivos y Pirotecnia</t>
  </si>
  <si>
    <t>Productos Fotoquímicos</t>
  </si>
  <si>
    <t>Productos Químicos de uso Personal y Laboratorio</t>
  </si>
  <si>
    <t>Abonos y Fertilizantes</t>
  </si>
  <si>
    <t>Insecticidas, Fumigantes y Otros</t>
  </si>
  <si>
    <t>Pinturas, Lacas, Barnices, Diluyentes y Absorbentes para Pintura</t>
  </si>
  <si>
    <t>Otros Productos Quimicos y Conexos</t>
  </si>
  <si>
    <t>Gastos a ser Asignados Durante el Ejercicio (ART. 32 Y 33 Ley 423-06)</t>
  </si>
  <si>
    <t>5% a ser asignados durante el ejercicio para gastos corrientes</t>
  </si>
  <si>
    <t>1% a ser asignados durante el ej. para gastos corrientes por calamidad pública</t>
  </si>
  <si>
    <t>Productos y Útiles Varios</t>
  </si>
  <si>
    <t>Útiles y materiales de limpieza e higiene personal</t>
  </si>
  <si>
    <t>Útiles de escritorio, oficina, informática, escolares y de enseñanza</t>
  </si>
  <si>
    <t>Útiles y materiales de escritorio, oficina e informática</t>
  </si>
  <si>
    <t>Útiles menores médico quirúrgicos</t>
  </si>
  <si>
    <t>Útiles destinados a actividades deportivas y recreativas</t>
  </si>
  <si>
    <t>Productos y útiles veterinarios</t>
  </si>
  <si>
    <t xml:space="preserve">Repuestos   </t>
  </si>
  <si>
    <t xml:space="preserve">Accesorios     </t>
  </si>
  <si>
    <t>Productos y útiles varios n.i.p.</t>
  </si>
  <si>
    <t>Productos y útiles e defensa y seguridad</t>
  </si>
  <si>
    <t>Ayudas y donaciones a personas</t>
  </si>
  <si>
    <t>Ayudas y donaciones programadas a hogares y personas</t>
  </si>
  <si>
    <t>Programa de repitencia escolar</t>
  </si>
  <si>
    <t>Subsidio obreros portuarios Ley 199-02</t>
  </si>
  <si>
    <t>Subsidios para viviendas económicas</t>
  </si>
  <si>
    <t>Bienes Muebles, Inmuebles e Intangibles</t>
  </si>
  <si>
    <t>Mobiliario Y Equipo</t>
  </si>
  <si>
    <t>Muebles de alojamiento, excepto de oficina y estantería</t>
  </si>
  <si>
    <t>Equipo de tecnologia de la informacion y comunicación</t>
  </si>
  <si>
    <t>Mobiliario y Eq. de Audio, Audiovisual, Recreativo y Educacional</t>
  </si>
  <si>
    <t>Aparatos deportivos</t>
  </si>
  <si>
    <t>Cámaras fotográficas y de video</t>
  </si>
  <si>
    <t>Mobiliario y equipo educacional y recreativo</t>
  </si>
  <si>
    <t>Equipo e Instrumental, Científico Y Laboratorio</t>
  </si>
  <si>
    <t>Equipo veterinario</t>
  </si>
  <si>
    <t>Equipo e instrumentos de medición científica</t>
  </si>
  <si>
    <t>Vehículos y Equipo de Transporte, Tracción y Elevación</t>
  </si>
  <si>
    <t>Automóviles y camiones</t>
  </si>
  <si>
    <t>Carrocerías y remolques</t>
  </si>
  <si>
    <t>Equipo aeronáutico</t>
  </si>
  <si>
    <t>Equipo ferroviario</t>
  </si>
  <si>
    <t>Embarcaciones</t>
  </si>
  <si>
    <t>Equipo de tracción</t>
  </si>
  <si>
    <t>Equipo de elevación</t>
  </si>
  <si>
    <t>Otros equipos de transporte</t>
  </si>
  <si>
    <t>Maquinaria, Otros Equipos y Herramientas</t>
  </si>
  <si>
    <t>Maquinaria y equipo agropecuario</t>
  </si>
  <si>
    <t>Maquinaria y equipo de construcción</t>
  </si>
  <si>
    <t>Sistemas y equipos de climatización</t>
  </si>
  <si>
    <t>Equipo de comunicación, telecomunicaciones y señalamiento</t>
  </si>
  <si>
    <t>Equipo de generación eléctrica y a fines</t>
  </si>
  <si>
    <t>Otros equipos</t>
  </si>
  <si>
    <t>Equipos De Defensa Y Seguridad</t>
  </si>
  <si>
    <t>Equipos De Defensa</t>
  </si>
  <si>
    <t>`01</t>
  </si>
  <si>
    <t>Equipos de Seguridad</t>
  </si>
  <si>
    <t>Activos Biológicos Cultivables</t>
  </si>
  <si>
    <t>Bovinos</t>
  </si>
  <si>
    <t>Porcinos</t>
  </si>
  <si>
    <t>Aves</t>
  </si>
  <si>
    <t>Ovinos y caprinos</t>
  </si>
  <si>
    <t>Peces y acuicultura</t>
  </si>
  <si>
    <t>Equinos</t>
  </si>
  <si>
    <t>Especies menores y de zoológico</t>
  </si>
  <si>
    <t>Otros activos que generan producción recurrente</t>
  </si>
  <si>
    <t>Árboles, cultivos y plantas que generan productos recurrentes</t>
  </si>
  <si>
    <t>Bienes Intangibles</t>
  </si>
  <si>
    <t>Investigación y desarrollo</t>
  </si>
  <si>
    <t>Exploración y evaluación minera</t>
  </si>
  <si>
    <t>Programas de informática y base de datos</t>
  </si>
  <si>
    <t>Programas de informática</t>
  </si>
  <si>
    <t>Base de datos</t>
  </si>
  <si>
    <t>Originales para esparcimiento, literarios o artísticos</t>
  </si>
  <si>
    <t>Estudios de preinversión</t>
  </si>
  <si>
    <t>Marcas y patentes</t>
  </si>
  <si>
    <t>Concesiones</t>
  </si>
  <si>
    <t>Licencias intelectuales, industriales y comerciales</t>
  </si>
  <si>
    <t>`02</t>
  </si>
  <si>
    <t>Intelectuales</t>
  </si>
  <si>
    <t>`03</t>
  </si>
  <si>
    <t>Industriales</t>
  </si>
  <si>
    <t>`04</t>
  </si>
  <si>
    <t>Comerciales</t>
  </si>
  <si>
    <t>Otros activos intangibles</t>
  </si>
  <si>
    <t>Bienes Inmuebles</t>
  </si>
  <si>
    <t>Edificios residenciales (viviendas)</t>
  </si>
  <si>
    <t>Adquisición de mejoras residenciales</t>
  </si>
  <si>
    <t>Edificios no residenciales</t>
  </si>
  <si>
    <t>Adquisición de mejoras no residenciales</t>
  </si>
  <si>
    <t>Terrenos</t>
  </si>
  <si>
    <t>Tierras</t>
  </si>
  <si>
    <t>Objetos de valor</t>
  </si>
  <si>
    <t>Metales y piedras preciosas</t>
  </si>
  <si>
    <t>Antiguedades, bienes artisticos y otros objetos de arte</t>
  </si>
  <si>
    <t>Objetos del patrimonio culyural</t>
  </si>
  <si>
    <t>Otras estructuras</t>
  </si>
  <si>
    <t>Obras</t>
  </si>
  <si>
    <t>Obras En Edificaciones</t>
  </si>
  <si>
    <t>Obras para edificación residencial (viviendas)</t>
  </si>
  <si>
    <t>Obras para edificación no residencial</t>
  </si>
  <si>
    <t>Obras para edificación de otras estructuras</t>
  </si>
  <si>
    <t>Mejoras de tierras y terrenos</t>
  </si>
  <si>
    <t>Obras Hidráulicas Y Sanitarias</t>
  </si>
  <si>
    <t>Obras de Energía</t>
  </si>
  <si>
    <t>Obras de telecomunicaciones</t>
  </si>
  <si>
    <t>Infraestructura terrestre y obras anexas</t>
  </si>
  <si>
    <t>Infraestructura marítima y aérea</t>
  </si>
  <si>
    <t>Infraestructura y plantaciones agrícolas</t>
  </si>
  <si>
    <t>Obras urbanísticas</t>
  </si>
  <si>
    <t>Obras en cementerios</t>
  </si>
  <si>
    <t>Obras en plantas industriales, hidrocarburos y minas</t>
  </si>
  <si>
    <t>Construcciones En Bienes Concesionados</t>
  </si>
  <si>
    <t>Construcciones en bienes de uso público concesionados</t>
  </si>
  <si>
    <t>Construcciones en bienes de uso privado concesionados</t>
  </si>
  <si>
    <t>Gastos a Ser Asignados Durante el Ejercicio para Inversión (Art. 32 Y 33 Ley 423-06)</t>
  </si>
  <si>
    <t>5% a ser asignado durante el ejercicio para inversión</t>
  </si>
  <si>
    <t>1% a ser asignado durante el ejercicio para inversión por calamidad pública</t>
  </si>
  <si>
    <r>
      <rPr>
        <b/>
        <sz val="14"/>
        <rFont val="Calibri"/>
        <family val="2"/>
        <scheme val="minor"/>
      </rPr>
      <t>Nota:</t>
    </r>
    <r>
      <rPr>
        <sz val="14"/>
        <color theme="1"/>
        <rFont val="Calibri"/>
        <family val="2"/>
        <scheme val="minor"/>
      </rPr>
      <t xml:space="preserve"> El Monto de RD$163,226,793.30, es un ingreso  recibido mediante fondo financiador 121, que pertenece a disponibilidad de años anteriores</t>
    </r>
  </si>
  <si>
    <t xml:space="preserve">                  Servicio Nacional de Salud </t>
  </si>
  <si>
    <t>DIRECCION DE FISCALIZACION</t>
  </si>
  <si>
    <t xml:space="preserve">RELACION DEUDA </t>
  </si>
  <si>
    <t>ESTABLECIMIENTO:</t>
  </si>
  <si>
    <t xml:space="preserve">CUENTAS POR PAGAR A: </t>
  </si>
  <si>
    <t>Años anteriores 2020</t>
  </si>
  <si>
    <t>AL 31 DICIEMBRE 2023</t>
  </si>
  <si>
    <t>Al 31 DICIEMBRE 2024</t>
  </si>
  <si>
    <t>AL 31 DE ENERO 2025</t>
  </si>
  <si>
    <t>AL 28 DE FEBRERO 2025</t>
  </si>
  <si>
    <t>TOTAL ADEUDA</t>
  </si>
  <si>
    <t>VS/FG</t>
  </si>
  <si>
    <t>Morami, SRL</t>
  </si>
  <si>
    <t>Caribbean Integrated Solutions, SRL</t>
  </si>
  <si>
    <t xml:space="preserve">LEHAIM SUMINISTROS SRL </t>
  </si>
  <si>
    <t>I.V. Biodesinfección, SRL</t>
  </si>
  <si>
    <t>Gastables del Caribe (GADECA),SRL</t>
  </si>
  <si>
    <t>Bello-Lab, SRL</t>
  </si>
  <si>
    <t xml:space="preserve"> Empresas Cabod, EIRL</t>
  </si>
  <si>
    <t xml:space="preserve">TOTAL GENERAL </t>
  </si>
  <si>
    <t>TRIMESTRE ENERO-MARZO 2025</t>
  </si>
  <si>
    <t>meta salud</t>
  </si>
  <si>
    <t>sigma</t>
  </si>
  <si>
    <t>SEMMA</t>
  </si>
  <si>
    <t>SENASA PENSIONADO</t>
  </si>
  <si>
    <t xml:space="preserve">Contributivo </t>
  </si>
  <si>
    <t>SUBSIDIADO</t>
  </si>
  <si>
    <t>B01000001085</t>
  </si>
  <si>
    <t>B01000001086</t>
  </si>
  <si>
    <t>B01000001087</t>
  </si>
  <si>
    <t>B01000001088</t>
  </si>
  <si>
    <t>B01000001089</t>
  </si>
  <si>
    <t>B01000001090</t>
  </si>
  <si>
    <t>B01000001091</t>
  </si>
  <si>
    <t>B01000001092</t>
  </si>
  <si>
    <t>B01000001093</t>
  </si>
  <si>
    <t>B01000001094</t>
  </si>
  <si>
    <t>B01000001095</t>
  </si>
  <si>
    <t>B01000001096</t>
  </si>
  <si>
    <t>B01000001097</t>
  </si>
  <si>
    <t>B01000001098</t>
  </si>
  <si>
    <t>B01000001101</t>
  </si>
  <si>
    <t>B15000000290</t>
  </si>
  <si>
    <t>B1500000288</t>
  </si>
  <si>
    <t>ARS Renacer</t>
  </si>
  <si>
    <t>ARS APS</t>
  </si>
  <si>
    <t>ARS PRIMER</t>
  </si>
  <si>
    <t xml:space="preserve">Dirección de Fiscalización </t>
  </si>
  <si>
    <r>
      <t xml:space="preserve">Establecimiento:      HOSPITAL MATERNO INFANTIL SAN LORENZO DE LOS MINA  Mes:     FEBRERO  Año:  </t>
    </r>
    <r>
      <rPr>
        <b/>
        <u/>
        <sz val="11"/>
        <color theme="1"/>
        <rFont val="Calibri"/>
        <family val="2"/>
        <scheme val="minor"/>
      </rPr>
      <t>2025</t>
    </r>
    <r>
      <rPr>
        <b/>
        <sz val="11"/>
        <color theme="1"/>
        <rFont val="Calibri"/>
        <family val="2"/>
        <scheme val="minor"/>
      </rPr>
      <t xml:space="preserve">           SRS: I</t>
    </r>
  </si>
  <si>
    <t xml:space="preserve">Fecha deposito </t>
  </si>
  <si>
    <t xml:space="preserve">Valor de Transferencia o Cheque </t>
  </si>
  <si>
    <t>INGRESOS</t>
  </si>
  <si>
    <t>FONDO 100(2.1)</t>
  </si>
  <si>
    <t xml:space="preserve">Sub-Total </t>
  </si>
  <si>
    <t>CONTRIBUTIDO</t>
  </si>
  <si>
    <t xml:space="preserve">SENASA(POR ATENCION ODONTOGICA) </t>
  </si>
  <si>
    <t>PRIMERA</t>
  </si>
  <si>
    <t>INGR. POR FACT DE SERV. DE INSTITUCIONES</t>
  </si>
  <si>
    <t xml:space="preserve">Cafetería </t>
  </si>
  <si>
    <t>Alquiler de espacios internos a terceros</t>
  </si>
  <si>
    <t>Aportes provenientes de convenios Institucionales (UCE)</t>
  </si>
  <si>
    <t>INGRESOS POR SERVICIOS PACIENTES PRIVADOS Y DIFERENCIAS POR SEGUROS MEDICOS</t>
  </si>
  <si>
    <t>Otros (Identificar Fuente )</t>
  </si>
  <si>
    <t xml:space="preserve">Total General </t>
  </si>
  <si>
    <t>Bajo las funciones que nos asisten certificamos que el valor de los ingresos percibidos al  MES DE FEBRERO  2025 correspondieron a  (RD$109,865,819.70)</t>
  </si>
  <si>
    <t>Dado a los 28 dias del mes de FEBRERO del 2025</t>
  </si>
  <si>
    <t xml:space="preserve">Aprobado por:  </t>
  </si>
  <si>
    <t xml:space="preserve">                                                                                        ___________________________________________</t>
  </si>
  <si>
    <t>AÑO 2025</t>
  </si>
  <si>
    <t>FUENTE FINANCIMIENTO</t>
  </si>
  <si>
    <t>31 DE MARZO 2025</t>
  </si>
  <si>
    <t>Bio Nova, SRL</t>
  </si>
  <si>
    <t>Global Multi-Pharma Dominicana THM, SRL</t>
  </si>
  <si>
    <t xml:space="preserve">REGULATORY </t>
  </si>
  <si>
    <t>Super Latop Browsing SRL</t>
  </si>
  <si>
    <t>Agua Planeta Azul, SA</t>
  </si>
  <si>
    <t>B01000001107</t>
  </si>
  <si>
    <t>B01000001108</t>
  </si>
  <si>
    <t>B01000001104</t>
  </si>
  <si>
    <t>B01000001105</t>
  </si>
  <si>
    <t>B01000001106</t>
  </si>
  <si>
    <t>B01000001120</t>
  </si>
  <si>
    <t>B01000001118</t>
  </si>
  <si>
    <t>B01000001109</t>
  </si>
  <si>
    <t>B01000001119</t>
  </si>
  <si>
    <t>B01000001110</t>
  </si>
  <si>
    <t>B01000001112</t>
  </si>
  <si>
    <t>B01000001113</t>
  </si>
  <si>
    <t>B01000001114</t>
  </si>
  <si>
    <t>B01000001115</t>
  </si>
  <si>
    <t>B01000001117</t>
  </si>
  <si>
    <t>B15000000293</t>
  </si>
  <si>
    <t>B01000001116</t>
  </si>
  <si>
    <t>ARS HUMANO</t>
  </si>
  <si>
    <t>ARS META SALUD</t>
  </si>
  <si>
    <t>B01000001099</t>
  </si>
  <si>
    <t>B15000000295</t>
  </si>
  <si>
    <t>B15000000294</t>
  </si>
  <si>
    <t>.</t>
  </si>
  <si>
    <t>FONDO 100(2.3)</t>
  </si>
  <si>
    <t>FONDO 100(2.6)</t>
  </si>
  <si>
    <t>SENASA POR ATENCION ODONTOLOGICA</t>
  </si>
  <si>
    <t>ARS PRIMERA</t>
  </si>
  <si>
    <t>ARS RENACER, SA</t>
  </si>
  <si>
    <t>OTROS APORTES</t>
  </si>
  <si>
    <t>PAGO APLICADO EN EL MES DE DICIEMBRE CUBRIENDO DESDE ENERO A ABRIL RD$100,000.00</t>
  </si>
  <si>
    <t>Odontologia (facturacion servicios no contemplado en Plan Basico)</t>
  </si>
  <si>
    <t>Bajo las funciones que nos asisten certificamos que el valor de los ingresos percibidos durante el mes de marzo de 2025, correspondieron a un monto de RD$108,365,700.73</t>
  </si>
  <si>
    <t>Dado a los 31 dias del mes de marzo del año 2025.</t>
  </si>
  <si>
    <t>Cuenta Núm.</t>
  </si>
  <si>
    <t>Balance en libro</t>
  </si>
  <si>
    <t>Balance en Banco</t>
  </si>
  <si>
    <t>Balance Conciliado</t>
  </si>
  <si>
    <t>010-390450-6</t>
  </si>
  <si>
    <t>____________________________________</t>
  </si>
  <si>
    <t>___________________________________</t>
  </si>
  <si>
    <t>________________________________</t>
  </si>
  <si>
    <r>
      <t xml:space="preserve">Establecimiento:      HOSPITAL MATERNO INFANTIL SAN LORENZO DE LOS MINA    Mes:   MARZO . Año:  </t>
    </r>
    <r>
      <rPr>
        <b/>
        <u/>
        <sz val="11"/>
        <color theme="1"/>
        <rFont val="Calibri"/>
        <family val="2"/>
        <scheme val="minor"/>
      </rPr>
      <t>2025</t>
    </r>
    <r>
      <rPr>
        <b/>
        <sz val="11"/>
        <color theme="1"/>
        <rFont val="Calibri"/>
        <family val="2"/>
        <scheme val="minor"/>
      </rPr>
      <t xml:space="preserve">           SRS: I</t>
    </r>
  </si>
  <si>
    <t>Nomina en transito</t>
  </si>
  <si>
    <t>Conciliación Bancaria al 30 de abril 2025</t>
  </si>
  <si>
    <t>BALANCE EN INICIAL AL 1ERO DEL MES DE ABRIL 2025</t>
  </si>
  <si>
    <t>Reintegro comision nomina incentivo</t>
  </si>
  <si>
    <r>
      <t xml:space="preserve">Establecimiento:      HOSPITAL MATERNO INFANTIL SAN LORENZO DE LOS MINA    Mes:   ABRIL . Año:  </t>
    </r>
    <r>
      <rPr>
        <b/>
        <u/>
        <sz val="11"/>
        <color theme="1"/>
        <rFont val="Calibri"/>
        <family val="2"/>
        <scheme val="minor"/>
      </rPr>
      <t>2025</t>
    </r>
    <r>
      <rPr>
        <b/>
        <sz val="11"/>
        <color theme="1"/>
        <rFont val="Calibri"/>
        <family val="2"/>
        <scheme val="minor"/>
      </rPr>
      <t xml:space="preserve">           SRS: I</t>
    </r>
  </si>
  <si>
    <t>ARS PALIC</t>
  </si>
  <si>
    <t>01-04 AL 30/04/2025</t>
  </si>
  <si>
    <t>B01000001121</t>
  </si>
  <si>
    <t>B01000001122</t>
  </si>
  <si>
    <t>B01000001123</t>
  </si>
  <si>
    <t>B01000001124</t>
  </si>
  <si>
    <t>B01000001125</t>
  </si>
  <si>
    <t>B01000001127</t>
  </si>
  <si>
    <t>B01000001128</t>
  </si>
  <si>
    <t>B01000001129</t>
  </si>
  <si>
    <t>B01000001130</t>
  </si>
  <si>
    <t>B01000001131</t>
  </si>
  <si>
    <t>B01000001132</t>
  </si>
  <si>
    <t>B01000001136</t>
  </si>
  <si>
    <t>B01000001134</t>
  </si>
  <si>
    <t>B01000001133</t>
  </si>
  <si>
    <t>B15000000299</t>
  </si>
  <si>
    <t>B01000001135</t>
  </si>
  <si>
    <t>B15000000300</t>
  </si>
  <si>
    <t>1/4/2025</t>
  </si>
  <si>
    <t>01/04/2025</t>
  </si>
  <si>
    <t>03/04/2025</t>
  </si>
  <si>
    <t>EXTRANJEROS</t>
  </si>
  <si>
    <t>30 DE ABRIL 2025</t>
  </si>
  <si>
    <t>SSP Servisalud Premium, SRL</t>
  </si>
  <si>
    <t xml:space="preserve">CEM CARIBBEAN EQUIPMENT MEDICAL </t>
  </si>
  <si>
    <t xml:space="preserve">Productos Cano, SRL </t>
  </si>
  <si>
    <t xml:space="preserve">AGROGLOBAL EXPORT E IMPORT SRL </t>
  </si>
  <si>
    <t>Tu Amigo, SRL</t>
  </si>
  <si>
    <t>G &amp; M Gelmat Comercial, SRL</t>
  </si>
  <si>
    <t xml:space="preserve">Suplidora amanild </t>
  </si>
  <si>
    <t xml:space="preserve">SONICRU </t>
  </si>
  <si>
    <t xml:space="preserve">KHRIS AUS PHARMACY SRL </t>
  </si>
  <si>
    <t xml:space="preserve">ANTARES PHARMA SRL </t>
  </si>
  <si>
    <t>HOSPITRONICA, SRL</t>
  </si>
  <si>
    <t>Xavier Vargas, Ingeniería Electromecánica, EIRL</t>
  </si>
  <si>
    <t xml:space="preserve">TONER DEPOT MULTISERVICIOS EORG </t>
  </si>
  <si>
    <t xml:space="preserve">DIUCAM GROUP SRL </t>
  </si>
  <si>
    <t>Centro de la Sangre y Especialidades, SRL</t>
  </si>
  <si>
    <t>DETALLE OBLIGACIONES CONTRAÍDAS PENDIENTES AL 30 DE ABRIL 2025</t>
  </si>
  <si>
    <t>Del ejercicio terminado al  30 de abril 2025</t>
  </si>
  <si>
    <t>Del ejercicio al  30 de abril 2025</t>
  </si>
  <si>
    <t>Detalle del efectivo y equivalente de efectivo al  30 de abril 2025 es como sigue:</t>
  </si>
  <si>
    <t>Un detalle de las cuentas por cobrar  30 de abril 2025 es como sigue:</t>
  </si>
  <si>
    <t>Un detalle de las partidas de inventario 30 de abril 2025 es como sigue:</t>
  </si>
  <si>
    <t>Un detalle de las cuentas por pagar a corto plazo 30 de abril 2025 es como sigue:</t>
  </si>
  <si>
    <t>Un detalle de las retenciones y acumulaciones por pagar  30 de abril 2025 es como sigue:</t>
  </si>
  <si>
    <t>Un detalle de los beneficios a empleados a corto plazo  30 de abril 2025 es como sigue:</t>
  </si>
  <si>
    <t>Un detalle del patrimonio  al 30 de abril 2025 es como sigue:</t>
  </si>
  <si>
    <t>Un detalle de los ingresos por transacciones con contraprestaciones 30 de abril 2025 es como sigue:</t>
  </si>
  <si>
    <t>Un detalle de las cuentas sueldos, salarios, beneficios a empleados al 30 de abril 2025 es como sigue:</t>
  </si>
  <si>
    <t>Un detalle Subvenciones y otros pagos por transferencias  al 30 de abril 2025 es como sigue:</t>
  </si>
  <si>
    <t>Un detalle de los gastos de suministro y materiales para consumo al 30 de abril 2025 es como sigue:</t>
  </si>
  <si>
    <t>Un detalle de los gastos de depreciación y amortización al 30 de abril 2025 es como sigue:</t>
  </si>
  <si>
    <t>Un detalle de otros gastos  al 30 de abril 2025 es como sigue:</t>
  </si>
  <si>
    <t>Un detalle de los gastos financieros   al 30 de abril 2025 es como sigue:</t>
  </si>
  <si>
    <t>ABRIL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</si>
</sst>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\ _€_-;\-* #,##0.00\ _€_-;_-* &quot;-&quot;??\ _€_-;_-@_-"/>
    <numFmt numFmtId="165" formatCode="###0.0;###0.0"/>
    <numFmt numFmtId="166" formatCode="###0;###0"/>
    <numFmt numFmtId="167" formatCode="_-* #,##0.00_-;\-* #,##0.00_-;_-* &quot;-&quot;??_-;_-@_-"/>
    <numFmt numFmtId="168" formatCode="dd/mm/yy;@"/>
    <numFmt numFmtId="169" formatCode="0.00_ ;\-0.00\ "/>
    <numFmt numFmtId="170" formatCode="#,##0.00000000000000000"/>
    <numFmt numFmtId="171" formatCode="dd/mm/yyyy;@"/>
    <numFmt numFmtId="172" formatCode="&quot;RD$&quot;#,##0.00_);[Red]\(&quot;RD$&quot;#,##0.00\)"/>
    <numFmt numFmtId="173" formatCode="###,###,##0.00"/>
    <numFmt numFmtId="174" formatCode="_(* #,##0_);_(* \(#,##0\);_(* &quot;-&quot;??_);_(@_)"/>
    <numFmt numFmtId="175" formatCode="&quot;$&quot;#,##0.00"/>
    <numFmt numFmtId="176" formatCode="#,##0.00;[Red]#,##0.00"/>
  </numFmts>
  <fonts count="11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231F20"/>
      <name val="Times New Roman"/>
      <family val="1"/>
    </font>
    <font>
      <b/>
      <sz val="12"/>
      <color rgb="FF231F20"/>
      <name val="Times New Roman"/>
      <family val="1"/>
    </font>
    <font>
      <b/>
      <u/>
      <sz val="12"/>
      <color rgb="FF231F20"/>
      <name val="Times New Roman"/>
      <family val="1"/>
    </font>
    <font>
      <sz val="11"/>
      <color theme="1"/>
      <name val="Calibri"/>
      <family val="2"/>
      <scheme val="minor"/>
    </font>
    <font>
      <b/>
      <sz val="14"/>
      <color rgb="FF231F20"/>
      <name val="Times New Roman"/>
      <family val="1"/>
    </font>
    <font>
      <b/>
      <sz val="12"/>
      <color theme="1"/>
      <name val="Calibri"/>
      <family val="2"/>
      <scheme val="minor"/>
    </font>
    <font>
      <b/>
      <sz val="16"/>
      <color rgb="FF231F20"/>
      <name val="Times New Roman"/>
      <family val="1"/>
    </font>
    <font>
      <b/>
      <sz val="14"/>
      <color rgb="FF000000"/>
      <name val="Times New Roman"/>
      <family val="1"/>
    </font>
    <font>
      <b/>
      <sz val="14"/>
      <name val="Times New Roman"/>
      <family val="1"/>
    </font>
    <font>
      <b/>
      <sz val="14"/>
      <color rgb="FF000000"/>
      <name val="Times New Roman"/>
      <family val="2"/>
    </font>
    <font>
      <sz val="14"/>
      <color rgb="FF000000"/>
      <name val="Times New Roman"/>
      <family val="2"/>
    </font>
    <font>
      <sz val="14"/>
      <name val="Times New Roman"/>
      <family val="1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Times New Roman"/>
      <family val="1"/>
    </font>
    <font>
      <sz val="10"/>
      <name val="Arial"/>
      <family val="2"/>
    </font>
    <font>
      <sz val="12"/>
      <color theme="1"/>
      <name val="Cambria"/>
      <family val="1"/>
    </font>
    <font>
      <sz val="12"/>
      <name val="Arial"/>
      <family val="2"/>
    </font>
    <font>
      <b/>
      <sz val="12"/>
      <name val="Times New Roman"/>
      <family val="1"/>
    </font>
    <font>
      <b/>
      <sz val="12"/>
      <name val="Calibri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  <font>
      <sz val="12"/>
      <color rgb="FFFF0000"/>
      <name val="Times New Roman"/>
      <family val="1"/>
    </font>
    <font>
      <b/>
      <u/>
      <sz val="12"/>
      <name val="Times New Roman"/>
      <family val="1"/>
    </font>
    <font>
      <u/>
      <sz val="12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8"/>
      <name val="Vivaldi"/>
      <family val="4"/>
    </font>
    <font>
      <b/>
      <i/>
      <sz val="10"/>
      <name val="Times New Roman"/>
      <family val="1"/>
    </font>
    <font>
      <b/>
      <u/>
      <sz val="10"/>
      <name val="Times New Roman"/>
      <family val="1"/>
    </font>
    <font>
      <sz val="10"/>
      <color indexed="63"/>
      <name val="Times New Roman"/>
      <family val="1"/>
    </font>
    <font>
      <sz val="8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indexed="63"/>
      <name val="Calibri"/>
      <family val="2"/>
    </font>
    <font>
      <b/>
      <sz val="8"/>
      <name val="Times New Roman"/>
      <family val="1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Times New Roman"/>
      <family val="1"/>
    </font>
    <font>
      <sz val="16"/>
      <name val="Times New Roman"/>
      <family val="1"/>
    </font>
    <font>
      <b/>
      <u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name val="Calibri"/>
      <family val="2"/>
      <scheme val="minor"/>
    </font>
    <font>
      <sz val="13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20"/>
      <name val="Vivaldi"/>
      <family val="4"/>
    </font>
    <font>
      <sz val="12"/>
      <color theme="4"/>
      <name val="Times New Roman"/>
      <family val="1"/>
    </font>
    <font>
      <sz val="12"/>
      <color theme="5"/>
      <name val="Times New Roman"/>
      <family val="1"/>
    </font>
    <font>
      <sz val="12"/>
      <color indexed="81"/>
      <name val="Tahoma"/>
      <family val="2"/>
    </font>
    <font>
      <b/>
      <sz val="12"/>
      <color indexed="8"/>
      <name val="Calibri"/>
      <family val="2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1"/>
      <name val="Calibri"/>
      <family val="2"/>
      <scheme val="minor"/>
    </font>
    <font>
      <b/>
      <sz val="14"/>
      <color theme="1"/>
      <name val="Times New Roman"/>
      <family val="1"/>
    </font>
    <font>
      <sz val="10"/>
      <name val="Calibri"/>
      <family val="2"/>
      <scheme val="minor"/>
    </font>
    <font>
      <b/>
      <sz val="12"/>
      <color theme="1"/>
      <name val="Times New Roman"/>
      <family val="1"/>
    </font>
    <font>
      <sz val="9"/>
      <color theme="1"/>
      <name val="Calibri"/>
      <family val="2"/>
    </font>
    <font>
      <b/>
      <sz val="14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  <scheme val="minor"/>
    </font>
    <font>
      <b/>
      <sz val="18"/>
      <color rgb="FF0000CC"/>
      <name val="Calibri"/>
      <family val="2"/>
      <scheme val="minor"/>
    </font>
    <font>
      <b/>
      <sz val="20"/>
      <color rgb="FF0000CC"/>
      <name val="Calibri"/>
      <family val="2"/>
      <scheme val="minor"/>
    </font>
    <font>
      <b/>
      <sz val="14"/>
      <color rgb="FF0000CC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1"/>
      <name val="Arial"/>
      <family val="2"/>
    </font>
    <font>
      <b/>
      <sz val="8"/>
      <color indexed="8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indexed="8"/>
      <name val="Calibri"/>
      <family val="2"/>
      <scheme val="minor"/>
    </font>
    <font>
      <b/>
      <sz val="8"/>
      <name val="Cambria"/>
      <family val="1"/>
    </font>
    <font>
      <b/>
      <sz val="9"/>
      <name val="Cambria"/>
      <family val="1"/>
    </font>
    <font>
      <b/>
      <sz val="8"/>
      <name val="Calibri"/>
      <family val="2"/>
      <scheme val="minor"/>
    </font>
    <font>
      <b/>
      <strike/>
      <sz val="12"/>
      <name val="Calibri"/>
      <family val="2"/>
      <scheme val="minor"/>
    </font>
    <font>
      <b/>
      <sz val="10"/>
      <color indexed="8"/>
      <name val="Baskerville Old Face"/>
      <family val="1"/>
    </font>
    <font>
      <b/>
      <sz val="10"/>
      <name val="Baskerville Old Face"/>
      <family val="1"/>
    </font>
    <font>
      <sz val="11"/>
      <color indexed="8"/>
      <name val="Baskerville Old Face"/>
      <family val="1"/>
    </font>
    <font>
      <b/>
      <sz val="18"/>
      <color theme="1"/>
      <name val="Times New Roman"/>
      <family val="1"/>
    </font>
    <font>
      <sz val="10"/>
      <color indexed="8"/>
      <name val="MS Sans Serif"/>
      <family val="2"/>
    </font>
    <font>
      <sz val="8.0500000000000007"/>
      <color indexed="8"/>
      <name val="Times New Roman"/>
      <family val="1"/>
    </font>
    <font>
      <sz val="12"/>
      <name val="Cambria"/>
      <family val="1"/>
      <scheme val="major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name val="Cambria"/>
      <family val="2"/>
      <scheme val="major"/>
    </font>
    <font>
      <b/>
      <u val="double"/>
      <sz val="11"/>
      <color theme="1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</patternFill>
    </fill>
    <fill>
      <patternFill patternType="solid">
        <fgColor theme="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2060"/>
        <bgColor indexed="64"/>
      </patternFill>
    </fill>
  </fills>
  <borders count="61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58">
    <xf numFmtId="0" fontId="0" fillId="0" borderId="0"/>
    <xf numFmtId="16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43" fontId="24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8" fillId="0" borderId="0"/>
    <xf numFmtId="0" fontId="68" fillId="13" borderId="0" applyNumberFormat="0" applyBorder="0" applyAlignment="0" applyProtection="0"/>
    <xf numFmtId="0" fontId="68" fillId="14" borderId="0" applyNumberFormat="0" applyBorder="0" applyAlignment="0" applyProtection="0"/>
    <xf numFmtId="0" fontId="68" fillId="15" borderId="0" applyNumberFormat="0" applyBorder="0" applyAlignment="0" applyProtection="0"/>
    <xf numFmtId="0" fontId="68" fillId="16" borderId="0" applyNumberFormat="0" applyBorder="0" applyAlignment="0" applyProtection="0"/>
    <xf numFmtId="0" fontId="68" fillId="17" borderId="0" applyNumberFormat="0" applyBorder="0" applyAlignment="0" applyProtection="0"/>
    <xf numFmtId="0" fontId="68" fillId="18" borderId="0" applyNumberFormat="0" applyBorder="0" applyAlignment="0" applyProtection="0"/>
    <xf numFmtId="0" fontId="68" fillId="19" borderId="0" applyNumberFormat="0" applyBorder="0" applyAlignment="0" applyProtection="0"/>
    <xf numFmtId="0" fontId="68" fillId="20" borderId="0" applyNumberFormat="0" applyBorder="0" applyAlignment="0" applyProtection="0"/>
    <xf numFmtId="0" fontId="68" fillId="21" borderId="0" applyNumberFormat="0" applyBorder="0" applyAlignment="0" applyProtection="0"/>
    <xf numFmtId="0" fontId="68" fillId="16" borderId="0" applyNumberFormat="0" applyBorder="0" applyAlignment="0" applyProtection="0"/>
    <xf numFmtId="0" fontId="68" fillId="19" borderId="0" applyNumberFormat="0" applyBorder="0" applyAlignment="0" applyProtection="0"/>
    <xf numFmtId="0" fontId="68" fillId="22" borderId="0" applyNumberFormat="0" applyBorder="0" applyAlignment="0" applyProtection="0"/>
    <xf numFmtId="0" fontId="69" fillId="23" borderId="0" applyNumberFormat="0" applyBorder="0" applyAlignment="0" applyProtection="0"/>
    <xf numFmtId="0" fontId="69" fillId="20" borderId="0" applyNumberFormat="0" applyBorder="0" applyAlignment="0" applyProtection="0"/>
    <xf numFmtId="0" fontId="69" fillId="21" borderId="0" applyNumberFormat="0" applyBorder="0" applyAlignment="0" applyProtection="0"/>
    <xf numFmtId="0" fontId="69" fillId="24" borderId="0" applyNumberFormat="0" applyBorder="0" applyAlignment="0" applyProtection="0"/>
    <xf numFmtId="0" fontId="69" fillId="25" borderId="0" applyNumberFormat="0" applyBorder="0" applyAlignment="0" applyProtection="0"/>
    <xf numFmtId="0" fontId="69" fillId="26" borderId="0" applyNumberFormat="0" applyBorder="0" applyAlignment="0" applyProtection="0"/>
    <xf numFmtId="0" fontId="69" fillId="27" borderId="0" applyNumberFormat="0" applyBorder="0" applyAlignment="0" applyProtection="0"/>
    <xf numFmtId="0" fontId="69" fillId="28" borderId="0" applyNumberFormat="0" applyBorder="0" applyAlignment="0" applyProtection="0"/>
    <xf numFmtId="0" fontId="69" fillId="29" borderId="0" applyNumberFormat="0" applyBorder="0" applyAlignment="0" applyProtection="0"/>
    <xf numFmtId="0" fontId="69" fillId="24" borderId="0" applyNumberFormat="0" applyBorder="0" applyAlignment="0" applyProtection="0"/>
    <xf numFmtId="0" fontId="69" fillId="25" borderId="0" applyNumberFormat="0" applyBorder="0" applyAlignment="0" applyProtection="0"/>
    <xf numFmtId="0" fontId="69" fillId="30" borderId="0" applyNumberFormat="0" applyBorder="0" applyAlignment="0" applyProtection="0"/>
    <xf numFmtId="0" fontId="70" fillId="14" borderId="0" applyNumberFormat="0" applyBorder="0" applyAlignment="0" applyProtection="0"/>
    <xf numFmtId="0" fontId="71" fillId="31" borderId="45" applyNumberFormat="0" applyAlignment="0" applyProtection="0"/>
    <xf numFmtId="0" fontId="72" fillId="32" borderId="46" applyNumberFormat="0" applyAlignment="0" applyProtection="0"/>
    <xf numFmtId="0" fontId="73" fillId="0" borderId="0" applyNumberFormat="0" applyFill="0" applyBorder="0" applyAlignment="0" applyProtection="0"/>
    <xf numFmtId="0" fontId="74" fillId="15" borderId="0" applyNumberFormat="0" applyBorder="0" applyAlignment="0" applyProtection="0"/>
    <xf numFmtId="0" fontId="75" fillId="0" borderId="47" applyNumberFormat="0" applyFill="0" applyAlignment="0" applyProtection="0"/>
    <xf numFmtId="0" fontId="76" fillId="0" borderId="48" applyNumberFormat="0" applyFill="0" applyAlignment="0" applyProtection="0"/>
    <xf numFmtId="0" fontId="77" fillId="0" borderId="49" applyNumberFormat="0" applyFill="0" applyAlignment="0" applyProtection="0"/>
    <xf numFmtId="0" fontId="77" fillId="0" borderId="0" applyNumberFormat="0" applyFill="0" applyBorder="0" applyAlignment="0" applyProtection="0"/>
    <xf numFmtId="0" fontId="78" fillId="18" borderId="45" applyNumberFormat="0" applyAlignment="0" applyProtection="0"/>
    <xf numFmtId="0" fontId="79" fillId="0" borderId="50" applyNumberFormat="0" applyFill="0" applyAlignment="0" applyProtection="0"/>
    <xf numFmtId="0" fontId="80" fillId="33" borderId="0" applyNumberFormat="0" applyBorder="0" applyAlignment="0" applyProtection="0"/>
    <xf numFmtId="0" fontId="68" fillId="34" borderId="51" applyNumberFormat="0" applyFont="0" applyAlignment="0" applyProtection="0"/>
    <xf numFmtId="0" fontId="81" fillId="31" borderId="52" applyNumberFormat="0" applyAlignment="0" applyProtection="0"/>
    <xf numFmtId="0" fontId="82" fillId="0" borderId="0" applyNumberFormat="0" applyFill="0" applyBorder="0" applyAlignment="0" applyProtection="0"/>
    <xf numFmtId="0" fontId="83" fillId="0" borderId="53" applyNumberFormat="0" applyFill="0" applyAlignment="0" applyProtection="0"/>
    <xf numFmtId="0" fontId="84" fillId="0" borderId="0" applyNumberFormat="0" applyFill="0" applyBorder="0" applyAlignment="0" applyProtection="0"/>
    <xf numFmtId="9" fontId="24" fillId="0" borderId="0" applyFont="0" applyFill="0" applyBorder="0" applyAlignment="0" applyProtection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</cellStyleXfs>
  <cellXfs count="1073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 indent="2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/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164" fontId="2" fillId="0" borderId="0" xfId="1" applyFont="1"/>
    <xf numFmtId="0" fontId="2" fillId="0" borderId="0" xfId="0" applyFont="1" applyAlignment="1">
      <alignment horizontal="left" vertical="center"/>
    </xf>
    <xf numFmtId="0" fontId="2" fillId="0" borderId="0" xfId="0" applyFont="1" applyBorder="1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Alignment="1">
      <alignment vertical="top" wrapText="1"/>
    </xf>
    <xf numFmtId="0" fontId="8" fillId="0" borderId="0" xfId="0" applyFont="1"/>
    <xf numFmtId="0" fontId="4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vertical="center" wrapText="1"/>
    </xf>
    <xf numFmtId="0" fontId="4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4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Border="1" applyAlignment="1">
      <alignment vertical="center" wrapText="1"/>
    </xf>
    <xf numFmtId="0" fontId="4" fillId="0" borderId="0" xfId="0" applyFont="1" applyAlignment="1">
      <alignment horizontal="left" vertical="center" wrapText="1" indent="1"/>
    </xf>
    <xf numFmtId="0" fontId="7" fillId="0" borderId="0" xfId="0" applyFont="1" applyFill="1" applyBorder="1" applyAlignment="1">
      <alignment vertical="center"/>
    </xf>
    <xf numFmtId="0" fontId="1" fillId="0" borderId="0" xfId="0" applyFont="1"/>
    <xf numFmtId="0" fontId="10" fillId="0" borderId="0" xfId="0" applyFont="1" applyFill="1" applyBorder="1" applyAlignment="1">
      <alignment vertical="center"/>
    </xf>
    <xf numFmtId="0" fontId="11" fillId="0" borderId="0" xfId="0" applyFont="1" applyFill="1" applyBorder="1" applyAlignment="1">
      <alignment horizontal="center" vertical="top" wrapText="1"/>
    </xf>
    <xf numFmtId="166" fontId="12" fillId="0" borderId="0" xfId="0" applyNumberFormat="1" applyFont="1" applyFill="1" applyBorder="1" applyAlignment="1">
      <alignment horizontal="left" vertical="top" wrapText="1"/>
    </xf>
    <xf numFmtId="0" fontId="11" fillId="0" borderId="0" xfId="0" applyFont="1" applyFill="1" applyBorder="1" applyAlignment="1">
      <alignment horizontal="left" vertical="top" wrapText="1"/>
    </xf>
    <xf numFmtId="165" fontId="13" fillId="0" borderId="0" xfId="0" applyNumberFormat="1" applyFont="1" applyFill="1" applyBorder="1" applyAlignment="1">
      <alignment horizontal="left" vertical="top" wrapText="1"/>
    </xf>
    <xf numFmtId="0" fontId="14" fillId="0" borderId="0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11" fillId="0" borderId="0" xfId="0" applyFont="1" applyFill="1" applyBorder="1" applyAlignment="1">
      <alignment horizontal="center" vertical="center" wrapText="1"/>
    </xf>
    <xf numFmtId="0" fontId="17" fillId="0" borderId="0" xfId="0" applyFont="1"/>
    <xf numFmtId="0" fontId="17" fillId="0" borderId="0" xfId="0" applyFont="1" applyAlignment="1">
      <alignment wrapText="1"/>
    </xf>
    <xf numFmtId="164" fontId="17" fillId="0" borderId="0" xfId="1" applyFont="1"/>
    <xf numFmtId="0" fontId="17" fillId="0" borderId="0" xfId="0" applyFont="1" applyFill="1"/>
    <xf numFmtId="164" fontId="17" fillId="0" borderId="0" xfId="1" applyFont="1" applyFill="1" applyBorder="1" applyAlignment="1">
      <alignment horizontal="right"/>
    </xf>
    <xf numFmtId="0" fontId="8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6" fillId="0" borderId="0" xfId="0" applyFont="1" applyAlignment="1">
      <alignment wrapText="1"/>
    </xf>
    <xf numFmtId="164" fontId="17" fillId="0" borderId="0" xfId="0" applyNumberFormat="1" applyFont="1"/>
    <xf numFmtId="43" fontId="17" fillId="0" borderId="0" xfId="0" applyNumberFormat="1" applyFont="1"/>
    <xf numFmtId="164" fontId="3" fillId="0" borderId="0" xfId="1" applyFont="1" applyAlignment="1">
      <alignment horizontal="center" vertical="center"/>
    </xf>
    <xf numFmtId="164" fontId="4" fillId="0" borderId="4" xfId="1" applyFont="1" applyBorder="1" applyAlignment="1">
      <alignment horizontal="center" vertical="center"/>
    </xf>
    <xf numFmtId="164" fontId="4" fillId="0" borderId="3" xfId="1" applyFont="1" applyBorder="1" applyAlignment="1">
      <alignment horizontal="center" vertical="center"/>
    </xf>
    <xf numFmtId="164" fontId="11" fillId="0" borderId="0" xfId="1" applyFont="1" applyFill="1" applyBorder="1" applyAlignment="1">
      <alignment horizontal="center" vertical="top" wrapText="1"/>
    </xf>
    <xf numFmtId="164" fontId="14" fillId="0" borderId="0" xfId="1" applyFont="1" applyFill="1" applyBorder="1" applyAlignment="1">
      <alignment horizontal="center" vertical="top" wrapText="1"/>
    </xf>
    <xf numFmtId="164" fontId="11" fillId="0" borderId="0" xfId="1" applyFont="1" applyFill="1" applyBorder="1" applyAlignment="1">
      <alignment horizontal="center" vertical="center" wrapText="1"/>
    </xf>
    <xf numFmtId="164" fontId="2" fillId="0" borderId="2" xfId="1" applyFont="1" applyBorder="1"/>
    <xf numFmtId="164" fontId="1" fillId="0" borderId="0" xfId="1" applyFont="1"/>
    <xf numFmtId="164" fontId="3" fillId="0" borderId="0" xfId="1" applyFont="1" applyAlignment="1">
      <alignment horizontal="center" vertical="center" wrapText="1"/>
    </xf>
    <xf numFmtId="164" fontId="3" fillId="0" borderId="0" xfId="1" applyFont="1" applyBorder="1" applyAlignment="1">
      <alignment horizontal="center" vertical="center" wrapText="1"/>
    </xf>
    <xf numFmtId="164" fontId="3" fillId="0" borderId="2" xfId="1" applyFont="1" applyBorder="1" applyAlignment="1">
      <alignment horizontal="center" vertical="center" wrapText="1"/>
    </xf>
    <xf numFmtId="164" fontId="4" fillId="0" borderId="0" xfId="1" applyFont="1" applyAlignment="1">
      <alignment horizontal="center" vertical="center" wrapText="1"/>
    </xf>
    <xf numFmtId="164" fontId="4" fillId="0" borderId="0" xfId="1" applyFont="1" applyBorder="1" applyAlignment="1">
      <alignment horizontal="center" vertical="center" wrapText="1"/>
    </xf>
    <xf numFmtId="164" fontId="5" fillId="0" borderId="0" xfId="1" applyFont="1" applyAlignment="1">
      <alignment horizontal="center" vertical="center" wrapText="1"/>
    </xf>
    <xf numFmtId="164" fontId="5" fillId="0" borderId="0" xfId="1" applyFont="1" applyBorder="1" applyAlignment="1">
      <alignment horizontal="center" vertical="center" wrapText="1"/>
    </xf>
    <xf numFmtId="164" fontId="4" fillId="0" borderId="3" xfId="1" applyFont="1" applyBorder="1" applyAlignment="1">
      <alignment horizontal="center" vertical="center" wrapText="1"/>
    </xf>
    <xf numFmtId="164" fontId="2" fillId="0" borderId="0" xfId="1" applyFont="1" applyAlignment="1">
      <alignment vertical="center" wrapText="1"/>
    </xf>
    <xf numFmtId="164" fontId="2" fillId="0" borderId="0" xfId="1" applyFont="1" applyBorder="1" applyAlignment="1">
      <alignment vertical="center" wrapText="1"/>
    </xf>
    <xf numFmtId="164" fontId="3" fillId="0" borderId="0" xfId="1" applyFont="1" applyAlignment="1">
      <alignment horizontal="right" vertical="center" wrapText="1"/>
    </xf>
    <xf numFmtId="164" fontId="3" fillId="0" borderId="0" xfId="1" applyFont="1" applyBorder="1" applyAlignment="1">
      <alignment horizontal="right" vertical="center" wrapText="1"/>
    </xf>
    <xf numFmtId="164" fontId="4" fillId="0" borderId="4" xfId="1" applyFont="1" applyBorder="1" applyAlignment="1">
      <alignment horizontal="center" vertical="center" wrapText="1"/>
    </xf>
    <xf numFmtId="164" fontId="2" fillId="0" borderId="0" xfId="1" applyFont="1" applyBorder="1"/>
    <xf numFmtId="0" fontId="2" fillId="0" borderId="0" xfId="0" applyFont="1" applyAlignment="1">
      <alignment horizontal="center"/>
    </xf>
    <xf numFmtId="164" fontId="17" fillId="0" borderId="0" xfId="1" applyFont="1" applyFill="1" applyAlignment="1">
      <alignment horizontal="right"/>
    </xf>
    <xf numFmtId="164" fontId="17" fillId="0" borderId="0" xfId="1" applyFont="1" applyFill="1"/>
    <xf numFmtId="0" fontId="17" fillId="0" borderId="0" xfId="0" applyFont="1" applyFill="1" applyAlignment="1">
      <alignment horizontal="right"/>
    </xf>
    <xf numFmtId="0" fontId="17" fillId="0" borderId="0" xfId="0" applyFont="1" applyFill="1" applyBorder="1" applyAlignment="1">
      <alignment horizontal="right"/>
    </xf>
    <xf numFmtId="164" fontId="16" fillId="0" borderId="3" xfId="1" applyFont="1" applyFill="1" applyBorder="1" applyAlignment="1">
      <alignment horizontal="right"/>
    </xf>
    <xf numFmtId="0" fontId="16" fillId="0" borderId="0" xfId="0" applyFont="1" applyFill="1" applyAlignment="1">
      <alignment horizontal="right"/>
    </xf>
    <xf numFmtId="164" fontId="17" fillId="0" borderId="0" xfId="0" applyNumberFormat="1" applyFont="1" applyFill="1"/>
    <xf numFmtId="0" fontId="0" fillId="0" borderId="0" xfId="0" applyFill="1"/>
    <xf numFmtId="9" fontId="11" fillId="0" borderId="0" xfId="2" applyFont="1" applyFill="1" applyBorder="1" applyAlignment="1">
      <alignment horizontal="center" vertical="top" wrapText="1"/>
    </xf>
    <xf numFmtId="9" fontId="11" fillId="0" borderId="0" xfId="2" applyFont="1" applyFill="1" applyBorder="1" applyAlignment="1">
      <alignment horizontal="center" vertical="center" wrapText="1"/>
    </xf>
    <xf numFmtId="9" fontId="1" fillId="0" borderId="0" xfId="2" applyFont="1"/>
    <xf numFmtId="164" fontId="3" fillId="0" borderId="0" xfId="1" applyFont="1" applyAlignment="1">
      <alignment horizontal="justify" vertical="center" wrapText="1"/>
    </xf>
    <xf numFmtId="43" fontId="2" fillId="0" borderId="0" xfId="0" applyNumberFormat="1" applyFont="1"/>
    <xf numFmtId="164" fontId="16" fillId="0" borderId="3" xfId="0" applyNumberFormat="1" applyFont="1" applyFill="1" applyBorder="1" applyAlignment="1">
      <alignment horizontal="right"/>
    </xf>
    <xf numFmtId="0" fontId="16" fillId="0" borderId="0" xfId="0" applyFont="1" applyFill="1" applyAlignment="1">
      <alignment horizontal="center"/>
    </xf>
    <xf numFmtId="164" fontId="16" fillId="0" borderId="3" xfId="0" applyNumberFormat="1" applyFont="1" applyFill="1" applyBorder="1"/>
    <xf numFmtId="164" fontId="16" fillId="0" borderId="0" xfId="0" applyNumberFormat="1" applyFont="1" applyFill="1"/>
    <xf numFmtId="0" fontId="20" fillId="0" borderId="0" xfId="0" applyFont="1" applyAlignment="1">
      <alignment wrapText="1"/>
    </xf>
    <xf numFmtId="43" fontId="0" fillId="0" borderId="0" xfId="0" applyNumberFormat="1" applyFill="1"/>
    <xf numFmtId="164" fontId="0" fillId="0" borderId="0" xfId="1" applyFont="1" applyFill="1"/>
    <xf numFmtId="164" fontId="4" fillId="0" borderId="5" xfId="1" applyFont="1" applyBorder="1" applyAlignment="1">
      <alignment horizontal="center" vertical="center" wrapText="1"/>
    </xf>
    <xf numFmtId="164" fontId="4" fillId="0" borderId="0" xfId="1" applyFont="1" applyAlignment="1">
      <alignment horizontal="left" vertical="center" wrapText="1" indent="8"/>
    </xf>
    <xf numFmtId="0" fontId="8" fillId="0" borderId="0" xfId="0" applyFont="1" applyAlignment="1">
      <alignment horizontal="center"/>
    </xf>
    <xf numFmtId="0" fontId="2" fillId="0" borderId="0" xfId="0" applyFont="1" applyBorder="1" applyAlignment="1"/>
    <xf numFmtId="164" fontId="3" fillId="0" borderId="0" xfId="1" applyFont="1" applyAlignment="1">
      <alignment horizontal="left" vertical="center" wrapText="1" indent="8"/>
    </xf>
    <xf numFmtId="164" fontId="4" fillId="0" borderId="6" xfId="1" applyFont="1" applyBorder="1" applyAlignment="1">
      <alignment horizontal="center" vertical="center" wrapText="1"/>
    </xf>
    <xf numFmtId="164" fontId="2" fillId="0" borderId="0" xfId="1" applyFont="1" applyAlignment="1">
      <alignment vertical="top" wrapText="1"/>
    </xf>
    <xf numFmtId="0" fontId="16" fillId="0" borderId="3" xfId="0" applyFont="1" applyBorder="1" applyAlignment="1">
      <alignment wrapText="1"/>
    </xf>
    <xf numFmtId="164" fontId="16" fillId="0" borderId="3" xfId="1" applyFont="1" applyFill="1" applyBorder="1"/>
    <xf numFmtId="0" fontId="20" fillId="0" borderId="0" xfId="0" applyFont="1" applyFill="1" applyAlignment="1">
      <alignment horizontal="center"/>
    </xf>
    <xf numFmtId="0" fontId="2" fillId="0" borderId="0" xfId="0" applyFont="1" applyBorder="1" applyAlignment="1">
      <alignment horizontal="center"/>
    </xf>
    <xf numFmtId="0" fontId="11" fillId="0" borderId="0" xfId="0" applyFont="1" applyFill="1" applyBorder="1" applyAlignment="1">
      <alignment horizontal="left" vertical="center" wrapText="1"/>
    </xf>
    <xf numFmtId="0" fontId="25" fillId="0" borderId="0" xfId="4" applyFont="1"/>
    <xf numFmtId="0" fontId="26" fillId="0" borderId="0" xfId="4" applyFont="1"/>
    <xf numFmtId="0" fontId="27" fillId="0" borderId="0" xfId="4" applyFont="1"/>
    <xf numFmtId="17" fontId="28" fillId="0" borderId="0" xfId="4" applyNumberFormat="1" applyFont="1" applyAlignment="1">
      <alignment vertical="center"/>
    </xf>
    <xf numFmtId="0" fontId="27" fillId="3" borderId="6" xfId="0" applyFont="1" applyFill="1" applyBorder="1" applyAlignment="1">
      <alignment horizontal="center"/>
    </xf>
    <xf numFmtId="0" fontId="27" fillId="3" borderId="8" xfId="0" applyFont="1" applyFill="1" applyBorder="1" applyAlignment="1">
      <alignment horizontal="center"/>
    </xf>
    <xf numFmtId="0" fontId="27" fillId="3" borderId="6" xfId="0" applyFont="1" applyFill="1" applyBorder="1" applyAlignment="1">
      <alignment horizontal="center" wrapText="1"/>
    </xf>
    <xf numFmtId="0" fontId="27" fillId="3" borderId="6" xfId="0" applyFont="1" applyFill="1" applyBorder="1" applyAlignment="1">
      <alignment horizontal="center" vertical="center"/>
    </xf>
    <xf numFmtId="0" fontId="29" fillId="0" borderId="0" xfId="0" applyFont="1"/>
    <xf numFmtId="0" fontId="30" fillId="2" borderId="6" xfId="0" applyFont="1" applyFill="1" applyBorder="1" applyAlignment="1">
      <alignment horizontal="center"/>
    </xf>
    <xf numFmtId="0" fontId="29" fillId="2" borderId="6" xfId="0" applyFont="1" applyFill="1" applyBorder="1"/>
    <xf numFmtId="43" fontId="29" fillId="0" borderId="6" xfId="1" applyNumberFormat="1" applyFont="1" applyFill="1" applyBorder="1"/>
    <xf numFmtId="43" fontId="29" fillId="2" borderId="6" xfId="1" applyNumberFormat="1" applyFont="1" applyFill="1" applyBorder="1"/>
    <xf numFmtId="43" fontId="30" fillId="2" borderId="6" xfId="1" applyNumberFormat="1" applyFont="1" applyFill="1" applyBorder="1"/>
    <xf numFmtId="164" fontId="30" fillId="2" borderId="6" xfId="1" applyFont="1" applyFill="1" applyBorder="1" applyAlignment="1">
      <alignment vertical="center"/>
    </xf>
    <xf numFmtId="0" fontId="31" fillId="0" borderId="0" xfId="0" applyFont="1"/>
    <xf numFmtId="0" fontId="30" fillId="0" borderId="6" xfId="0" applyFont="1" applyBorder="1"/>
    <xf numFmtId="0" fontId="29" fillId="2" borderId="6" xfId="4" applyFont="1" applyFill="1" applyBorder="1"/>
    <xf numFmtId="43" fontId="31" fillId="2" borderId="6" xfId="1" applyNumberFormat="1" applyFont="1" applyFill="1" applyBorder="1"/>
    <xf numFmtId="164" fontId="31" fillId="2" borderId="6" xfId="1" applyFont="1" applyFill="1" applyBorder="1" applyAlignment="1">
      <alignment vertical="center"/>
    </xf>
    <xf numFmtId="0" fontId="29" fillId="2" borderId="6" xfId="4" applyFont="1" applyFill="1" applyBorder="1" applyAlignment="1">
      <alignment horizontal="left"/>
    </xf>
    <xf numFmtId="0" fontId="29" fillId="2" borderId="6" xfId="0" applyFont="1" applyFill="1" applyBorder="1" applyAlignment="1">
      <alignment horizontal="center"/>
    </xf>
    <xf numFmtId="0" fontId="29" fillId="0" borderId="6" xfId="0" applyFont="1" applyBorder="1"/>
    <xf numFmtId="164" fontId="29" fillId="2" borderId="6" xfId="1" applyFont="1" applyFill="1" applyBorder="1" applyAlignment="1">
      <alignment vertical="center"/>
    </xf>
    <xf numFmtId="0" fontId="29" fillId="2" borderId="6" xfId="5" applyFont="1" applyFill="1" applyBorder="1"/>
    <xf numFmtId="164" fontId="30" fillId="2" borderId="6" xfId="1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wrapText="1"/>
    </xf>
    <xf numFmtId="168" fontId="29" fillId="2" borderId="6" xfId="0" applyNumberFormat="1" applyFont="1" applyFill="1" applyBorder="1" applyAlignment="1">
      <alignment wrapText="1"/>
    </xf>
    <xf numFmtId="0" fontId="29" fillId="2" borderId="6" xfId="4" applyFont="1" applyFill="1" applyBorder="1" applyAlignment="1">
      <alignment wrapText="1"/>
    </xf>
    <xf numFmtId="164" fontId="31" fillId="2" borderId="6" xfId="1" applyFont="1" applyFill="1" applyBorder="1" applyAlignment="1">
      <alignment horizontal="center" vertical="center"/>
    </xf>
    <xf numFmtId="168" fontId="29" fillId="2" borderId="6" xfId="4" applyNumberFormat="1" applyFont="1" applyFill="1" applyBorder="1" applyAlignment="1">
      <alignment horizontal="left"/>
    </xf>
    <xf numFmtId="0" fontId="29" fillId="2" borderId="6" xfId="0" applyFont="1" applyFill="1" applyBorder="1" applyAlignment="1">
      <alignment horizontal="left" wrapText="1"/>
    </xf>
    <xf numFmtId="0" fontId="31" fillId="0" borderId="6" xfId="0" applyFont="1" applyBorder="1"/>
    <xf numFmtId="168" fontId="29" fillId="2" borderId="6" xfId="0" applyNumberFormat="1" applyFont="1" applyFill="1" applyBorder="1" applyAlignment="1">
      <alignment horizontal="left"/>
    </xf>
    <xf numFmtId="43" fontId="31" fillId="0" borderId="0" xfId="0" applyNumberFormat="1" applyFont="1"/>
    <xf numFmtId="164" fontId="31" fillId="2" borderId="6" xfId="1" applyFont="1" applyFill="1" applyBorder="1"/>
    <xf numFmtId="164" fontId="29" fillId="2" borderId="6" xfId="1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left"/>
    </xf>
    <xf numFmtId="43" fontId="29" fillId="0" borderId="0" xfId="0" applyNumberFormat="1" applyFont="1"/>
    <xf numFmtId="0" fontId="30" fillId="0" borderId="0" xfId="0" applyFont="1"/>
    <xf numFmtId="169" fontId="30" fillId="2" borderId="6" xfId="1" applyNumberFormat="1" applyFont="1" applyFill="1" applyBorder="1"/>
    <xf numFmtId="0" fontId="29" fillId="2" borderId="6" xfId="5" applyFont="1" applyFill="1" applyBorder="1" applyAlignment="1">
      <alignment horizontal="left"/>
    </xf>
    <xf numFmtId="164" fontId="30" fillId="0" borderId="6" xfId="1" applyFont="1" applyBorder="1"/>
    <xf numFmtId="167" fontId="29" fillId="0" borderId="6" xfId="1" applyNumberFormat="1" applyFont="1" applyFill="1" applyBorder="1"/>
    <xf numFmtId="43" fontId="29" fillId="0" borderId="6" xfId="1" applyNumberFormat="1" applyFont="1" applyBorder="1"/>
    <xf numFmtId="43" fontId="30" fillId="0" borderId="6" xfId="1" applyNumberFormat="1" applyFont="1" applyBorder="1"/>
    <xf numFmtId="164" fontId="27" fillId="3" borderId="6" xfId="1" applyFont="1" applyFill="1" applyBorder="1" applyAlignment="1">
      <alignment horizontal="right"/>
    </xf>
    <xf numFmtId="164" fontId="27" fillId="3" borderId="6" xfId="1" applyFont="1" applyFill="1" applyBorder="1" applyAlignment="1">
      <alignment horizontal="center" vertical="center"/>
    </xf>
    <xf numFmtId="0" fontId="30" fillId="2" borderId="0" xfId="0" applyFont="1" applyFill="1"/>
    <xf numFmtId="170" fontId="30" fillId="0" borderId="0" xfId="0" applyNumberFormat="1" applyFont="1"/>
    <xf numFmtId="0" fontId="27" fillId="0" borderId="0" xfId="0" applyFont="1" applyAlignment="1">
      <alignment horizontal="right"/>
    </xf>
    <xf numFmtId="167" fontId="27" fillId="0" borderId="0" xfId="0" applyNumberFormat="1" applyFont="1"/>
    <xf numFmtId="0" fontId="27" fillId="0" borderId="0" xfId="0" applyFont="1"/>
    <xf numFmtId="0" fontId="32" fillId="0" borderId="0" xfId="4" applyFont="1"/>
    <xf numFmtId="0" fontId="27" fillId="0" borderId="0" xfId="4" applyFont="1" applyProtection="1">
      <protection locked="0"/>
    </xf>
    <xf numFmtId="43" fontId="27" fillId="0" borderId="0" xfId="0" applyNumberFormat="1" applyFont="1"/>
    <xf numFmtId="0" fontId="32" fillId="0" borderId="0" xfId="0" applyFont="1"/>
    <xf numFmtId="0" fontId="33" fillId="0" borderId="0" xfId="0" applyFont="1"/>
    <xf numFmtId="0" fontId="3" fillId="0" borderId="0" xfId="0" applyFont="1" applyAlignment="1">
      <alignment horizontal="right" vertical="center" wrapText="1"/>
    </xf>
    <xf numFmtId="0" fontId="8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23" fillId="0" borderId="0" xfId="1" applyFont="1"/>
    <xf numFmtId="0" fontId="23" fillId="0" borderId="0" xfId="0" applyFont="1"/>
    <xf numFmtId="0" fontId="23" fillId="0" borderId="14" xfId="0" applyFont="1" applyBorder="1"/>
    <xf numFmtId="0" fontId="35" fillId="0" borderId="0" xfId="0" applyFont="1" applyBorder="1" applyAlignment="1">
      <alignment horizontal="left"/>
    </xf>
    <xf numFmtId="0" fontId="23" fillId="0" borderId="0" xfId="0" applyFont="1" applyBorder="1"/>
    <xf numFmtId="0" fontId="35" fillId="0" borderId="0" xfId="0" applyFont="1" applyBorder="1" applyAlignment="1" applyProtection="1">
      <alignment vertical="center"/>
      <protection locked="0"/>
    </xf>
    <xf numFmtId="0" fontId="35" fillId="0" borderId="18" xfId="0" applyFont="1" applyBorder="1" applyAlignment="1">
      <alignment horizontal="center" vertical="center"/>
    </xf>
    <xf numFmtId="0" fontId="35" fillId="0" borderId="14" xfId="0" applyFont="1" applyBorder="1" applyAlignment="1">
      <alignment horizontal="left"/>
    </xf>
    <xf numFmtId="0" fontId="35" fillId="0" borderId="0" xfId="0" applyFont="1" applyBorder="1" applyAlignment="1" applyProtection="1">
      <protection locked="0"/>
    </xf>
    <xf numFmtId="0" fontId="35" fillId="4" borderId="0" xfId="0" applyFont="1" applyFill="1" applyBorder="1" applyAlignment="1">
      <alignment horizontal="left"/>
    </xf>
    <xf numFmtId="0" fontId="35" fillId="4" borderId="18" xfId="0" applyFont="1" applyFill="1" applyBorder="1" applyAlignment="1" applyProtection="1">
      <alignment horizontal="left"/>
      <protection locked="0"/>
    </xf>
    <xf numFmtId="43" fontId="35" fillId="3" borderId="18" xfId="3" applyFont="1" applyFill="1" applyBorder="1" applyAlignment="1">
      <alignment horizontal="center"/>
    </xf>
    <xf numFmtId="0" fontId="35" fillId="0" borderId="14" xfId="0" applyFont="1" applyBorder="1"/>
    <xf numFmtId="0" fontId="35" fillId="0" borderId="0" xfId="0" applyFont="1" applyBorder="1"/>
    <xf numFmtId="0" fontId="34" fillId="2" borderId="0" xfId="0" applyFont="1" applyFill="1" applyBorder="1" applyAlignment="1"/>
    <xf numFmtId="43" fontId="35" fillId="2" borderId="18" xfId="3" applyFont="1" applyFill="1" applyBorder="1" applyProtection="1"/>
    <xf numFmtId="164" fontId="23" fillId="0" borderId="0" xfId="1" applyFont="1" applyBorder="1"/>
    <xf numFmtId="167" fontId="23" fillId="0" borderId="0" xfId="0" applyNumberFormat="1" applyFont="1"/>
    <xf numFmtId="0" fontId="38" fillId="0" borderId="14" xfId="0" applyFont="1" applyBorder="1"/>
    <xf numFmtId="0" fontId="38" fillId="0" borderId="0" xfId="0" applyFont="1" applyBorder="1"/>
    <xf numFmtId="0" fontId="34" fillId="0" borderId="0" xfId="0" applyFont="1" applyBorder="1"/>
    <xf numFmtId="43" fontId="34" fillId="2" borderId="18" xfId="3" applyFont="1" applyFill="1" applyBorder="1" applyProtection="1">
      <protection locked="0"/>
    </xf>
    <xf numFmtId="4" fontId="23" fillId="0" borderId="0" xfId="0" applyNumberFormat="1" applyFont="1" applyBorder="1"/>
    <xf numFmtId="0" fontId="34" fillId="0" borderId="14" xfId="0" applyFont="1" applyBorder="1"/>
    <xf numFmtId="164" fontId="34" fillId="0" borderId="18" xfId="1" applyFont="1" applyFill="1" applyBorder="1" applyAlignment="1" applyProtection="1">
      <alignment horizontal="right"/>
    </xf>
    <xf numFmtId="0" fontId="34" fillId="0" borderId="0" xfId="0" applyFont="1" applyBorder="1" applyAlignment="1">
      <alignment horizontal="left"/>
    </xf>
    <xf numFmtId="4" fontId="23" fillId="0" borderId="18" xfId="0" applyNumberFormat="1" applyFont="1" applyBorder="1"/>
    <xf numFmtId="4" fontId="34" fillId="0" borderId="18" xfId="1" applyNumberFormat="1" applyFont="1" applyFill="1" applyBorder="1" applyAlignment="1" applyProtection="1">
      <alignment horizontal="right"/>
    </xf>
    <xf numFmtId="4" fontId="23" fillId="0" borderId="18" xfId="1" applyNumberFormat="1" applyFont="1" applyBorder="1"/>
    <xf numFmtId="43" fontId="35" fillId="2" borderId="19" xfId="3" applyNumberFormat="1" applyFont="1" applyFill="1" applyBorder="1" applyProtection="1"/>
    <xf numFmtId="43" fontId="39" fillId="0" borderId="0" xfId="0" applyNumberFormat="1" applyFont="1" applyAlignment="1">
      <alignment horizontal="right"/>
    </xf>
    <xf numFmtId="164" fontId="23" fillId="0" borderId="18" xfId="1" applyFont="1" applyFill="1" applyBorder="1"/>
    <xf numFmtId="167" fontId="39" fillId="0" borderId="0" xfId="0" applyNumberFormat="1" applyFont="1" applyFill="1" applyAlignment="1">
      <alignment horizontal="right"/>
    </xf>
    <xf numFmtId="0" fontId="34" fillId="0" borderId="14" xfId="0" applyFont="1" applyFill="1" applyBorder="1"/>
    <xf numFmtId="0" fontId="34" fillId="0" borderId="0" xfId="0" applyFont="1" applyFill="1" applyBorder="1"/>
    <xf numFmtId="0" fontId="38" fillId="0" borderId="0" xfId="0" applyFont="1" applyFill="1" applyBorder="1"/>
    <xf numFmtId="164" fontId="38" fillId="0" borderId="0" xfId="1" applyFont="1" applyFill="1" applyBorder="1"/>
    <xf numFmtId="43" fontId="34" fillId="0" borderId="18" xfId="3" applyFont="1" applyFill="1" applyBorder="1" applyProtection="1"/>
    <xf numFmtId="0" fontId="34" fillId="0" borderId="14" xfId="0" applyFont="1" applyFill="1" applyBorder="1" applyAlignment="1">
      <alignment horizontal="left"/>
    </xf>
    <xf numFmtId="0" fontId="34" fillId="0" borderId="0" xfId="0" applyFont="1" applyFill="1" applyBorder="1" applyAlignment="1">
      <alignment horizontal="left"/>
    </xf>
    <xf numFmtId="0" fontId="34" fillId="0" borderId="0" xfId="0" applyFont="1" applyFill="1" applyBorder="1" applyAlignment="1">
      <alignment horizontal="center"/>
    </xf>
    <xf numFmtId="167" fontId="34" fillId="0" borderId="0" xfId="0" applyNumberFormat="1" applyFont="1" applyFill="1" applyBorder="1" applyAlignment="1">
      <alignment horizontal="center"/>
    </xf>
    <xf numFmtId="43" fontId="23" fillId="0" borderId="18" xfId="3" applyFont="1" applyFill="1" applyBorder="1"/>
    <xf numFmtId="164" fontId="40" fillId="0" borderId="18" xfId="1" applyFont="1" applyBorder="1"/>
    <xf numFmtId="164" fontId="34" fillId="0" borderId="0" xfId="1" applyFont="1" applyFill="1" applyBorder="1" applyAlignment="1" applyProtection="1">
      <alignment horizontal="right"/>
    </xf>
    <xf numFmtId="0" fontId="41" fillId="0" borderId="14" xfId="0" applyFont="1" applyBorder="1"/>
    <xf numFmtId="0" fontId="41" fillId="0" borderId="0" xfId="0" applyFont="1" applyBorder="1"/>
    <xf numFmtId="164" fontId="35" fillId="0" borderId="18" xfId="1" applyFont="1" applyBorder="1"/>
    <xf numFmtId="0" fontId="35" fillId="2" borderId="0" xfId="0" applyFont="1" applyFill="1" applyBorder="1"/>
    <xf numFmtId="43" fontId="35" fillId="3" borderId="20" xfId="3" applyFont="1" applyFill="1" applyBorder="1" applyProtection="1"/>
    <xf numFmtId="0" fontId="35" fillId="2" borderId="14" xfId="0" applyFont="1" applyFill="1" applyBorder="1" applyAlignment="1">
      <alignment horizontal="center"/>
    </xf>
    <xf numFmtId="0" fontId="35" fillId="2" borderId="0" xfId="0" applyFont="1" applyFill="1" applyBorder="1" applyAlignment="1">
      <alignment horizontal="center"/>
    </xf>
    <xf numFmtId="0" fontId="34" fillId="2" borderId="0" xfId="0" applyFont="1" applyFill="1" applyBorder="1" applyAlignment="1">
      <alignment horizontal="center"/>
    </xf>
    <xf numFmtId="167" fontId="35" fillId="2" borderId="18" xfId="3" applyNumberFormat="1" applyFont="1" applyFill="1" applyBorder="1" applyProtection="1"/>
    <xf numFmtId="164" fontId="42" fillId="0" borderId="0" xfId="1" applyFont="1" applyFill="1" applyAlignment="1">
      <alignment horizontal="right"/>
    </xf>
    <xf numFmtId="4" fontId="0" fillId="0" borderId="0" xfId="0" applyNumberFormat="1" applyFill="1"/>
    <xf numFmtId="167" fontId="34" fillId="2" borderId="0" xfId="0" applyNumberFormat="1" applyFont="1" applyFill="1" applyBorder="1" applyAlignment="1">
      <alignment horizontal="center"/>
    </xf>
    <xf numFmtId="164" fontId="6" fillId="0" borderId="0" xfId="1" applyFont="1" applyFill="1"/>
    <xf numFmtId="4" fontId="34" fillId="0" borderId="18" xfId="1" applyNumberFormat="1" applyFont="1" applyBorder="1" applyAlignment="1">
      <alignment horizontal="right"/>
    </xf>
    <xf numFmtId="4" fontId="42" fillId="0" borderId="0" xfId="0" applyNumberFormat="1" applyFont="1" applyAlignment="1">
      <alignment horizontal="right"/>
    </xf>
    <xf numFmtId="0" fontId="34" fillId="2" borderId="18" xfId="0" applyFont="1" applyFill="1" applyBorder="1" applyProtection="1">
      <protection locked="0"/>
    </xf>
    <xf numFmtId="0" fontId="34" fillId="0" borderId="0" xfId="0" applyFont="1" applyBorder="1" applyAlignment="1">
      <alignment horizontal="center"/>
    </xf>
    <xf numFmtId="43" fontId="34" fillId="2" borderId="18" xfId="3" applyFont="1" applyFill="1" applyBorder="1" applyProtection="1"/>
    <xf numFmtId="0" fontId="34" fillId="0" borderId="0" xfId="0" applyFont="1" applyBorder="1" applyAlignment="1">
      <alignment horizontal="center" vertical="center"/>
    </xf>
    <xf numFmtId="43" fontId="23" fillId="0" borderId="18" xfId="3" applyFont="1" applyFill="1" applyBorder="1" applyProtection="1"/>
    <xf numFmtId="14" fontId="34" fillId="0" borderId="0" xfId="0" applyNumberFormat="1" applyFont="1" applyFill="1" applyBorder="1" applyAlignment="1" applyProtection="1">
      <alignment horizontal="left" wrapText="1"/>
    </xf>
    <xf numFmtId="164" fontId="34" fillId="0" borderId="0" xfId="1" applyFont="1" applyFill="1" applyBorder="1" applyAlignment="1" applyProtection="1">
      <alignment horizontal="right" wrapText="1"/>
    </xf>
    <xf numFmtId="0" fontId="34" fillId="0" borderId="0" xfId="0" applyNumberFormat="1" applyFont="1" applyFill="1" applyBorder="1" applyAlignment="1" applyProtection="1">
      <alignment horizontal="left" wrapText="1"/>
    </xf>
    <xf numFmtId="173" fontId="34" fillId="0" borderId="0" xfId="0" applyNumberFormat="1" applyFont="1" applyFill="1" applyBorder="1" applyAlignment="1" applyProtection="1">
      <alignment horizontal="right" wrapText="1"/>
    </xf>
    <xf numFmtId="0" fontId="34" fillId="2" borderId="0" xfId="0" applyFont="1" applyFill="1" applyBorder="1"/>
    <xf numFmtId="0" fontId="35" fillId="0" borderId="13" xfId="0" applyFont="1" applyBorder="1"/>
    <xf numFmtId="0" fontId="35" fillId="0" borderId="9" xfId="0" applyFont="1" applyBorder="1"/>
    <xf numFmtId="0" fontId="34" fillId="0" borderId="9" xfId="0" applyFont="1" applyBorder="1"/>
    <xf numFmtId="43" fontId="35" fillId="0" borderId="21" xfId="3" applyFont="1" applyFill="1" applyBorder="1"/>
    <xf numFmtId="43" fontId="35" fillId="0" borderId="0" xfId="3" applyFont="1" applyFill="1" applyBorder="1" applyAlignment="1">
      <alignment horizontal="right"/>
    </xf>
    <xf numFmtId="164" fontId="23" fillId="0" borderId="0" xfId="1" applyFont="1" applyFill="1" applyBorder="1"/>
    <xf numFmtId="0" fontId="39" fillId="0" borderId="0" xfId="0" applyFont="1" applyAlignment="1">
      <alignment horizontal="right"/>
    </xf>
    <xf numFmtId="0" fontId="41" fillId="0" borderId="0" xfId="0" applyFont="1"/>
    <xf numFmtId="164" fontId="39" fillId="0" borderId="18" xfId="1" applyFont="1" applyBorder="1" applyAlignment="1">
      <alignment horizontal="right"/>
    </xf>
    <xf numFmtId="43" fontId="41" fillId="0" borderId="18" xfId="3" applyFont="1" applyFill="1" applyBorder="1"/>
    <xf numFmtId="0" fontId="4" fillId="0" borderId="0" xfId="0" applyFont="1" applyFill="1" applyBorder="1" applyAlignment="1">
      <alignment horizontal="center" vertical="center"/>
    </xf>
    <xf numFmtId="0" fontId="34" fillId="0" borderId="0" xfId="0" applyFont="1" applyBorder="1" applyAlignment="1">
      <alignment horizontal="center"/>
    </xf>
    <xf numFmtId="0" fontId="34" fillId="0" borderId="0" xfId="0" applyFont="1" applyBorder="1" applyAlignment="1">
      <alignment horizontal="left"/>
    </xf>
    <xf numFmtId="0" fontId="34" fillId="2" borderId="0" xfId="0" applyFont="1" applyFill="1" applyBorder="1" applyAlignment="1">
      <alignment horizontal="center"/>
    </xf>
    <xf numFmtId="0" fontId="34" fillId="0" borderId="0" xfId="0" applyFont="1" applyBorder="1" applyAlignment="1">
      <alignment horizontal="center" vertical="center"/>
    </xf>
    <xf numFmtId="0" fontId="34" fillId="0" borderId="0" xfId="0" applyFont="1" applyBorder="1" applyAlignment="1">
      <alignment horizontal="center"/>
    </xf>
    <xf numFmtId="0" fontId="34" fillId="0" borderId="0" xfId="0" applyFont="1" applyBorder="1" applyAlignment="1">
      <alignment horizontal="left"/>
    </xf>
    <xf numFmtId="0" fontId="34" fillId="2" borderId="0" xfId="0" applyFont="1" applyFill="1" applyBorder="1" applyAlignment="1">
      <alignment horizontal="center"/>
    </xf>
    <xf numFmtId="0" fontId="34" fillId="0" borderId="0" xfId="0" applyFont="1" applyBorder="1" applyAlignment="1">
      <alignment horizontal="center" vertical="center"/>
    </xf>
    <xf numFmtId="164" fontId="39" fillId="0" borderId="0" xfId="1" applyFont="1" applyAlignment="1">
      <alignment horizontal="right"/>
    </xf>
    <xf numFmtId="164" fontId="39" fillId="0" borderId="0" xfId="1" applyFont="1" applyFill="1" applyAlignment="1">
      <alignment horizontal="right"/>
    </xf>
    <xf numFmtId="164" fontId="34" fillId="0" borderId="0" xfId="1" applyFont="1" applyFill="1" applyBorder="1" applyAlignment="1" applyProtection="1">
      <alignment horizontal="left" wrapText="1"/>
    </xf>
    <xf numFmtId="43" fontId="1" fillId="0" borderId="0" xfId="0" applyNumberFormat="1" applyFont="1"/>
    <xf numFmtId="43" fontId="11" fillId="0" borderId="0" xfId="0" applyNumberFormat="1" applyFont="1" applyFill="1" applyBorder="1" applyAlignment="1">
      <alignment horizontal="center" vertical="center" wrapText="1"/>
    </xf>
    <xf numFmtId="0" fontId="34" fillId="0" borderId="0" xfId="0" applyFont="1" applyBorder="1" applyAlignment="1">
      <alignment horizontal="center" vertical="center"/>
    </xf>
    <xf numFmtId="0" fontId="34" fillId="2" borderId="0" xfId="0" applyFont="1" applyFill="1" applyBorder="1" applyAlignment="1">
      <alignment horizontal="center"/>
    </xf>
    <xf numFmtId="0" fontId="34" fillId="0" borderId="0" xfId="0" applyFont="1" applyBorder="1" applyAlignment="1">
      <alignment horizontal="center"/>
    </xf>
    <xf numFmtId="0" fontId="34" fillId="0" borderId="0" xfId="0" applyFont="1" applyBorder="1" applyAlignment="1">
      <alignment horizontal="left"/>
    </xf>
    <xf numFmtId="0" fontId="23" fillId="0" borderId="18" xfId="0" applyFont="1" applyBorder="1"/>
    <xf numFmtId="0" fontId="34" fillId="0" borderId="18" xfId="1" applyNumberFormat="1" applyFont="1" applyBorder="1" applyAlignment="1">
      <alignment horizontal="right"/>
    </xf>
    <xf numFmtId="164" fontId="41" fillId="0" borderId="0" xfId="1" applyFont="1" applyBorder="1"/>
    <xf numFmtId="164" fontId="34" fillId="0" borderId="18" xfId="1" applyFont="1" applyBorder="1"/>
    <xf numFmtId="164" fontId="41" fillId="0" borderId="3" xfId="0" applyNumberFormat="1" applyFont="1" applyBorder="1" applyAlignment="1">
      <alignment horizontal="right"/>
    </xf>
    <xf numFmtId="164" fontId="23" fillId="0" borderId="0" xfId="1" applyFont="1" applyAlignment="1">
      <alignment horizontal="right"/>
    </xf>
    <xf numFmtId="164" fontId="41" fillId="0" borderId="0" xfId="1" applyFont="1" applyBorder="1" applyAlignment="1">
      <alignment horizontal="right"/>
    </xf>
    <xf numFmtId="0" fontId="41" fillId="0" borderId="0" xfId="0" applyFont="1" applyFill="1"/>
    <xf numFmtId="0" fontId="23" fillId="0" borderId="0" xfId="0" applyFont="1" applyFill="1"/>
    <xf numFmtId="0" fontId="23" fillId="0" borderId="0" xfId="0" applyFont="1" applyAlignment="1">
      <alignment horizontal="left" wrapText="1"/>
    </xf>
    <xf numFmtId="0" fontId="23" fillId="0" borderId="0" xfId="0" applyFont="1" applyAlignment="1">
      <alignment horizontal="right"/>
    </xf>
    <xf numFmtId="43" fontId="23" fillId="0" borderId="0" xfId="0" applyNumberFormat="1" applyFont="1"/>
    <xf numFmtId="164" fontId="41" fillId="0" borderId="3" xfId="0" applyNumberFormat="1" applyFont="1" applyBorder="1"/>
    <xf numFmtId="164" fontId="41" fillId="0" borderId="3" xfId="1" applyFont="1" applyBorder="1" applyAlignment="1">
      <alignment horizontal="right"/>
    </xf>
    <xf numFmtId="164" fontId="23" fillId="0" borderId="0" xfId="1" applyFont="1" applyFill="1"/>
    <xf numFmtId="164" fontId="41" fillId="0" borderId="0" xfId="1" applyFont="1"/>
    <xf numFmtId="0" fontId="41" fillId="0" borderId="0" xfId="0" applyFont="1" applyFill="1" applyAlignment="1">
      <alignment horizontal="center"/>
    </xf>
    <xf numFmtId="0" fontId="41" fillId="0" borderId="0" xfId="0" applyFont="1" applyFill="1" applyAlignment="1">
      <alignment horizontal="left" wrapText="1"/>
    </xf>
    <xf numFmtId="0" fontId="23" fillId="0" borderId="0" xfId="0" applyFont="1" applyFill="1" applyAlignment="1">
      <alignment wrapText="1"/>
    </xf>
    <xf numFmtId="164" fontId="23" fillId="0" borderId="0" xfId="1" applyFont="1" applyFill="1" applyAlignment="1"/>
    <xf numFmtId="164" fontId="41" fillId="0" borderId="0" xfId="1" applyFont="1" applyFill="1"/>
    <xf numFmtId="0" fontId="41" fillId="0" borderId="0" xfId="0" applyFont="1" applyFill="1" applyAlignment="1">
      <alignment wrapText="1"/>
    </xf>
    <xf numFmtId="164" fontId="41" fillId="0" borderId="1" xfId="1" applyFont="1" applyFill="1" applyBorder="1"/>
    <xf numFmtId="0" fontId="41" fillId="0" borderId="0" xfId="1" applyNumberFormat="1" applyFont="1" applyAlignment="1">
      <alignment horizontal="center" vertical="center" wrapText="1"/>
    </xf>
    <xf numFmtId="0" fontId="0" fillId="0" borderId="0" xfId="0" applyAlignment="1">
      <alignment horizontal="left"/>
    </xf>
    <xf numFmtId="43" fontId="0" fillId="0" borderId="0" xfId="3" applyFont="1"/>
    <xf numFmtId="0" fontId="0" fillId="0" borderId="9" xfId="0" applyBorder="1"/>
    <xf numFmtId="43" fontId="0" fillId="0" borderId="9" xfId="3" applyFont="1" applyBorder="1"/>
    <xf numFmtId="14" fontId="0" fillId="0" borderId="6" xfId="0" applyNumberFormat="1" applyBorder="1"/>
    <xf numFmtId="175" fontId="0" fillId="0" borderId="6" xfId="0" applyNumberFormat="1" applyBorder="1"/>
    <xf numFmtId="43" fontId="0" fillId="0" borderId="0" xfId="0" applyNumberFormat="1"/>
    <xf numFmtId="0" fontId="15" fillId="0" borderId="0" xfId="0" applyFont="1" applyAlignment="1">
      <alignment horizontal="left" vertical="center" wrapText="1"/>
    </xf>
    <xf numFmtId="43" fontId="15" fillId="0" borderId="0" xfId="0" applyNumberFormat="1" applyFont="1"/>
    <xf numFmtId="43" fontId="15" fillId="0" borderId="0" xfId="3" applyFont="1"/>
    <xf numFmtId="0" fontId="15" fillId="0" borderId="0" xfId="0" applyFont="1" applyBorder="1" applyAlignment="1">
      <alignment horizontal="left"/>
    </xf>
    <xf numFmtId="0" fontId="15" fillId="0" borderId="0" xfId="0" applyFont="1" applyBorder="1"/>
    <xf numFmtId="0" fontId="0" fillId="0" borderId="0" xfId="0" applyBorder="1"/>
    <xf numFmtId="171" fontId="0" fillId="0" borderId="6" xfId="0" applyNumberFormat="1" applyBorder="1"/>
    <xf numFmtId="43" fontId="0" fillId="0" borderId="6" xfId="3" applyFont="1" applyBorder="1"/>
    <xf numFmtId="43" fontId="0" fillId="0" borderId="6" xfId="3" applyFont="1" applyFill="1" applyBorder="1"/>
    <xf numFmtId="0" fontId="0" fillId="0" borderId="6" xfId="0" applyBorder="1"/>
    <xf numFmtId="0" fontId="0" fillId="0" borderId="6" xfId="0" applyFont="1" applyFill="1" applyBorder="1" applyAlignment="1">
      <alignment horizontal="left"/>
    </xf>
    <xf numFmtId="43" fontId="6" fillId="0" borderId="6" xfId="3" applyFont="1" applyFill="1" applyBorder="1" applyAlignment="1"/>
    <xf numFmtId="9" fontId="0" fillId="0" borderId="0" xfId="2" applyFont="1"/>
    <xf numFmtId="175" fontId="0" fillId="2" borderId="0" xfId="0" applyNumberFormat="1" applyFill="1" applyBorder="1"/>
    <xf numFmtId="0" fontId="0" fillId="0" borderId="6" xfId="0" applyBorder="1" applyAlignment="1">
      <alignment horizontal="left" wrapText="1"/>
    </xf>
    <xf numFmtId="0" fontId="15" fillId="5" borderId="6" xfId="0" applyFont="1" applyFill="1" applyBorder="1" applyAlignment="1">
      <alignment horizontal="left"/>
    </xf>
    <xf numFmtId="175" fontId="15" fillId="5" borderId="6" xfId="0" applyNumberFormat="1" applyFont="1" applyFill="1" applyBorder="1"/>
    <xf numFmtId="43" fontId="0" fillId="0" borderId="6" xfId="3" applyFont="1" applyFill="1" applyBorder="1" applyAlignment="1">
      <alignment horizontal="right"/>
    </xf>
    <xf numFmtId="0" fontId="30" fillId="0" borderId="0" xfId="4" applyFont="1" applyFill="1" applyAlignment="1"/>
    <xf numFmtId="0" fontId="30" fillId="0" borderId="0" xfId="0" applyFont="1" applyFill="1"/>
    <xf numFmtId="49" fontId="11" fillId="6" borderId="6" xfId="4" applyNumberFormat="1" applyFont="1" applyFill="1" applyBorder="1" applyAlignment="1" applyProtection="1">
      <alignment horizontal="left"/>
      <protection locked="0"/>
    </xf>
    <xf numFmtId="0" fontId="27" fillId="6" borderId="6" xfId="0" applyFont="1" applyFill="1" applyBorder="1" applyAlignment="1">
      <alignment horizontal="center" wrapText="1"/>
    </xf>
    <xf numFmtId="17" fontId="27" fillId="6" borderId="6" xfId="0" applyNumberFormat="1" applyFont="1" applyFill="1" applyBorder="1" applyAlignment="1">
      <alignment horizontal="center"/>
    </xf>
    <xf numFmtId="171" fontId="14" fillId="0" borderId="6" xfId="0" applyNumberFormat="1" applyFont="1" applyFill="1" applyBorder="1" applyAlignment="1" applyProtection="1">
      <protection locked="0"/>
    </xf>
    <xf numFmtId="0" fontId="14" fillId="0" borderId="6" xfId="4" applyFont="1" applyFill="1" applyBorder="1" applyAlignment="1" applyProtection="1">
      <alignment horizontal="left"/>
      <protection locked="0"/>
    </xf>
    <xf numFmtId="49" fontId="14" fillId="0" borderId="6" xfId="4" applyNumberFormat="1" applyFont="1" applyFill="1" applyBorder="1" applyAlignment="1" applyProtection="1">
      <alignment horizontal="left"/>
      <protection locked="0"/>
    </xf>
    <xf numFmtId="0" fontId="14" fillId="0" borderId="6" xfId="4" applyFont="1" applyFill="1" applyBorder="1" applyAlignment="1" applyProtection="1">
      <alignment wrapText="1"/>
      <protection locked="0"/>
    </xf>
    <xf numFmtId="167" fontId="14" fillId="0" borderId="6" xfId="7" applyNumberFormat="1" applyFont="1" applyFill="1" applyBorder="1" applyAlignment="1" applyProtection="1">
      <protection locked="0"/>
    </xf>
    <xf numFmtId="0" fontId="30" fillId="0" borderId="6" xfId="0" applyFont="1" applyFill="1" applyBorder="1"/>
    <xf numFmtId="167" fontId="30" fillId="0" borderId="6" xfId="0" applyNumberFormat="1" applyFont="1" applyFill="1" applyBorder="1"/>
    <xf numFmtId="0" fontId="14" fillId="0" borderId="6" xfId="0" applyFont="1" applyFill="1" applyBorder="1" applyAlignment="1" applyProtection="1">
      <alignment horizontal="left"/>
      <protection locked="0"/>
    </xf>
    <xf numFmtId="49" fontId="14" fillId="0" borderId="6" xfId="5" applyNumberFormat="1" applyFont="1" applyFill="1" applyBorder="1" applyAlignment="1" applyProtection="1">
      <alignment horizontal="left"/>
      <protection locked="0"/>
    </xf>
    <xf numFmtId="0" fontId="14" fillId="0" borderId="6" xfId="0" applyFont="1" applyFill="1" applyBorder="1" applyAlignment="1" applyProtection="1">
      <alignment wrapText="1"/>
      <protection locked="0"/>
    </xf>
    <xf numFmtId="49" fontId="14" fillId="0" borderId="6" xfId="0" applyNumberFormat="1" applyFont="1" applyFill="1" applyBorder="1" applyAlignment="1" applyProtection="1">
      <alignment horizontal="left"/>
      <protection locked="0"/>
    </xf>
    <xf numFmtId="0" fontId="14" fillId="0" borderId="6" xfId="4" applyNumberFormat="1" applyFont="1" applyFill="1" applyBorder="1" applyAlignment="1" applyProtection="1">
      <alignment horizontal="left"/>
      <protection locked="0"/>
    </xf>
    <xf numFmtId="0" fontId="14" fillId="0" borderId="6" xfId="5" applyNumberFormat="1" applyFont="1" applyFill="1" applyBorder="1" applyAlignment="1" applyProtection="1">
      <alignment horizontal="left"/>
      <protection locked="0"/>
    </xf>
    <xf numFmtId="0" fontId="14" fillId="0" borderId="6" xfId="5" applyFont="1" applyFill="1" applyBorder="1" applyAlignment="1" applyProtection="1">
      <alignment wrapText="1"/>
      <protection locked="0"/>
    </xf>
    <xf numFmtId="0" fontId="14" fillId="0" borderId="6" xfId="0" applyNumberFormat="1" applyFont="1" applyFill="1" applyBorder="1" applyAlignment="1" applyProtection="1">
      <alignment horizontal="left"/>
      <protection locked="0"/>
    </xf>
    <xf numFmtId="0" fontId="14" fillId="0" borderId="6" xfId="5" applyFont="1" applyFill="1" applyBorder="1" applyAlignment="1" applyProtection="1">
      <alignment vertical="center" wrapText="1"/>
      <protection locked="0"/>
    </xf>
    <xf numFmtId="0" fontId="47" fillId="0" borderId="6" xfId="0" applyFont="1" applyFill="1" applyBorder="1"/>
    <xf numFmtId="0" fontId="47" fillId="0" borderId="0" xfId="0" applyFont="1" applyFill="1"/>
    <xf numFmtId="0" fontId="30" fillId="0" borderId="0" xfId="0" applyFont="1" applyFill="1" applyBorder="1"/>
    <xf numFmtId="0" fontId="30" fillId="0" borderId="28" xfId="0" applyFont="1" applyFill="1" applyBorder="1"/>
    <xf numFmtId="49" fontId="14" fillId="0" borderId="6" xfId="4" applyNumberFormat="1" applyFont="1" applyFill="1" applyBorder="1" applyAlignment="1">
      <alignment horizontal="left"/>
    </xf>
    <xf numFmtId="0" fontId="14" fillId="0" borderId="6" xfId="4" applyFont="1" applyFill="1" applyBorder="1" applyAlignment="1">
      <alignment wrapText="1"/>
    </xf>
    <xf numFmtId="0" fontId="14" fillId="0" borderId="6" xfId="0" applyFont="1" applyFill="1" applyBorder="1" applyAlignment="1">
      <alignment horizontal="left"/>
    </xf>
    <xf numFmtId="0" fontId="14" fillId="0" borderId="6" xfId="5" applyNumberFormat="1" applyFont="1" applyFill="1" applyBorder="1" applyAlignment="1">
      <alignment horizontal="left"/>
    </xf>
    <xf numFmtId="0" fontId="14" fillId="0" borderId="6" xfId="5" applyFont="1" applyFill="1" applyBorder="1" applyAlignment="1">
      <alignment wrapText="1"/>
    </xf>
    <xf numFmtId="0" fontId="14" fillId="0" borderId="6" xfId="0" applyFont="1" applyFill="1" applyBorder="1" applyAlignment="1">
      <alignment wrapText="1"/>
    </xf>
    <xf numFmtId="49" fontId="14" fillId="0" borderId="6" xfId="4" applyNumberFormat="1" applyFont="1" applyFill="1" applyBorder="1" applyAlignment="1" applyProtection="1">
      <alignment wrapText="1"/>
      <protection locked="0"/>
    </xf>
    <xf numFmtId="0" fontId="14" fillId="0" borderId="6" xfId="0" applyNumberFormat="1" applyFont="1" applyFill="1" applyBorder="1" applyAlignment="1">
      <alignment horizontal="left"/>
    </xf>
    <xf numFmtId="49" fontId="14" fillId="0" borderId="6" xfId="0" applyNumberFormat="1" applyFont="1" applyFill="1" applyBorder="1" applyAlignment="1" applyProtection="1">
      <alignment wrapText="1"/>
      <protection locked="0"/>
    </xf>
    <xf numFmtId="49" fontId="14" fillId="0" borderId="6" xfId="5" applyNumberFormat="1" applyFont="1" applyFill="1" applyBorder="1" applyAlignment="1">
      <alignment horizontal="left"/>
    </xf>
    <xf numFmtId="0" fontId="30" fillId="0" borderId="6" xfId="0" applyFont="1" applyFill="1" applyBorder="1" applyAlignment="1" applyProtection="1">
      <alignment wrapText="1"/>
      <protection locked="0"/>
    </xf>
    <xf numFmtId="171" fontId="30" fillId="0" borderId="0" xfId="0" applyNumberFormat="1" applyFont="1" applyFill="1"/>
    <xf numFmtId="0" fontId="30" fillId="0" borderId="0" xfId="0" applyFont="1" applyFill="1" applyAlignment="1">
      <alignment horizontal="left"/>
    </xf>
    <xf numFmtId="0" fontId="30" fillId="0" borderId="0" xfId="0" applyFont="1" applyFill="1" applyAlignment="1">
      <alignment wrapText="1"/>
    </xf>
    <xf numFmtId="0" fontId="4" fillId="0" borderId="0" xfId="0" applyFont="1" applyFill="1" applyBorder="1" applyAlignment="1">
      <alignment vertical="center"/>
    </xf>
    <xf numFmtId="171" fontId="8" fillId="7" borderId="6" xfId="0" applyNumberFormat="1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left" wrapText="1"/>
    </xf>
    <xf numFmtId="0" fontId="8" fillId="7" borderId="6" xfId="0" applyFont="1" applyFill="1" applyBorder="1" applyAlignment="1">
      <alignment horizontal="center" vertical="center" wrapText="1"/>
    </xf>
    <xf numFmtId="0" fontId="8" fillId="7" borderId="6" xfId="0" applyFont="1" applyFill="1" applyBorder="1" applyAlignment="1">
      <alignment horizontal="center" wrapText="1"/>
    </xf>
    <xf numFmtId="43" fontId="8" fillId="7" borderId="6" xfId="3" applyFont="1" applyFill="1" applyBorder="1" applyAlignment="1">
      <alignment horizontal="center" vertical="center" wrapText="1"/>
    </xf>
    <xf numFmtId="171" fontId="0" fillId="2" borderId="6" xfId="0" applyNumberFormat="1" applyFont="1" applyFill="1" applyBorder="1" applyAlignment="1">
      <alignment horizontal="center" vertical="center" wrapText="1"/>
    </xf>
    <xf numFmtId="0" fontId="0" fillId="2" borderId="6" xfId="0" applyFont="1" applyFill="1" applyBorder="1" applyAlignment="1">
      <alignment vertical="center" wrapText="1"/>
    </xf>
    <xf numFmtId="0" fontId="0" fillId="2" borderId="6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wrapText="1"/>
    </xf>
    <xf numFmtId="0" fontId="2" fillId="2" borderId="6" xfId="0" applyFont="1" applyFill="1" applyBorder="1" applyAlignment="1">
      <alignment horizontal="center" vertical="center" wrapText="1"/>
    </xf>
    <xf numFmtId="4" fontId="2" fillId="2" borderId="6" xfId="3" applyNumberFormat="1" applyFont="1" applyFill="1" applyBorder="1" applyAlignment="1">
      <alignment horizontal="center" vertical="center" wrapText="1"/>
    </xf>
    <xf numFmtId="0" fontId="0" fillId="2" borderId="0" xfId="0" applyFill="1"/>
    <xf numFmtId="0" fontId="50" fillId="2" borderId="0" xfId="0" applyFont="1" applyFill="1" applyAlignment="1">
      <alignment horizontal="center"/>
    </xf>
    <xf numFmtId="4" fontId="51" fillId="2" borderId="6" xfId="0" applyNumberFormat="1" applyFont="1" applyFill="1" applyBorder="1" applyAlignment="1">
      <alignment horizontal="center" vertical="center"/>
    </xf>
    <xf numFmtId="171" fontId="0" fillId="2" borderId="6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wrapText="1"/>
    </xf>
    <xf numFmtId="0" fontId="52" fillId="0" borderId="6" xfId="0" applyFont="1" applyBorder="1" applyAlignment="1">
      <alignment horizontal="center" vertical="center" wrapText="1"/>
    </xf>
    <xf numFmtId="0" fontId="52" fillId="0" borderId="6" xfId="0" applyFont="1" applyBorder="1" applyAlignment="1">
      <alignment horizontal="center" vertical="center"/>
    </xf>
    <xf numFmtId="0" fontId="50" fillId="2" borderId="6" xfId="0" applyFont="1" applyFill="1" applyBorder="1" applyAlignment="1">
      <alignment horizontal="center"/>
    </xf>
    <xf numFmtId="4" fontId="2" fillId="2" borderId="6" xfId="0" applyNumberFormat="1" applyFont="1" applyFill="1" applyBorder="1" applyAlignment="1">
      <alignment horizontal="center"/>
    </xf>
    <xf numFmtId="4" fontId="2" fillId="2" borderId="6" xfId="0" applyNumberFormat="1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8" fillId="2" borderId="6" xfId="0" applyFont="1" applyFill="1" applyBorder="1" applyAlignment="1">
      <alignment wrapText="1"/>
    </xf>
    <xf numFmtId="0" fontId="2" fillId="0" borderId="6" xfId="0" applyFont="1" applyBorder="1" applyAlignment="1">
      <alignment horizontal="center" vertical="center"/>
    </xf>
    <xf numFmtId="0" fontId="0" fillId="2" borderId="26" xfId="0" applyFont="1" applyFill="1" applyBorder="1" applyAlignment="1">
      <alignment horizontal="center" vertical="center" wrapText="1"/>
    </xf>
    <xf numFmtId="0" fontId="8" fillId="2" borderId="26" xfId="0" applyFont="1" applyFill="1" applyBorder="1" applyAlignment="1">
      <alignment wrapText="1"/>
    </xf>
    <xf numFmtId="171" fontId="0" fillId="2" borderId="26" xfId="0" applyNumberFormat="1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wrapText="1"/>
    </xf>
    <xf numFmtId="0" fontId="8" fillId="2" borderId="29" xfId="0" applyFont="1" applyFill="1" applyBorder="1" applyAlignment="1">
      <alignment wrapText="1"/>
    </xf>
    <xf numFmtId="0" fontId="2" fillId="0" borderId="29" xfId="0" applyFont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wrapText="1"/>
    </xf>
    <xf numFmtId="0" fontId="8" fillId="2" borderId="29" xfId="0" applyFont="1" applyFill="1" applyBorder="1" applyAlignment="1">
      <alignment horizont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left" wrapText="1"/>
    </xf>
    <xf numFmtId="4" fontId="2" fillId="2" borderId="6" xfId="3" applyNumberFormat="1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left" wrapText="1"/>
    </xf>
    <xf numFmtId="0" fontId="2" fillId="0" borderId="6" xfId="0" applyFont="1" applyFill="1" applyBorder="1" applyAlignment="1">
      <alignment horizontal="left" vertical="center" wrapText="1"/>
    </xf>
    <xf numFmtId="0" fontId="53" fillId="0" borderId="0" xfId="0" applyFont="1"/>
    <xf numFmtId="0" fontId="2" fillId="2" borderId="6" xfId="0" applyFont="1" applyFill="1" applyBorder="1" applyAlignment="1">
      <alignment horizontal="center" vertical="center"/>
    </xf>
    <xf numFmtId="171" fontId="0" fillId="0" borderId="6" xfId="0" applyNumberFormat="1" applyFont="1" applyFill="1" applyBorder="1" applyAlignment="1">
      <alignment horizontal="center" vertical="center"/>
    </xf>
    <xf numFmtId="14" fontId="0" fillId="0" borderId="6" xfId="0" applyNumberFormat="1" applyFont="1" applyBorder="1" applyAlignment="1">
      <alignment horizontal="center" vertical="center"/>
    </xf>
    <xf numFmtId="49" fontId="0" fillId="0" borderId="6" xfId="0" applyNumberFormat="1" applyFont="1" applyFill="1" applyBorder="1" applyAlignment="1">
      <alignment horizontal="center" vertical="center" wrapText="1"/>
    </xf>
    <xf numFmtId="14" fontId="0" fillId="2" borderId="6" xfId="0" applyNumberFormat="1" applyFont="1" applyFill="1" applyBorder="1" applyAlignment="1">
      <alignment horizontal="center" vertical="center"/>
    </xf>
    <xf numFmtId="0" fontId="2" fillId="0" borderId="27" xfId="0" applyFont="1" applyFill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/>
    </xf>
    <xf numFmtId="0" fontId="0" fillId="0" borderId="0" xfId="0" applyFont="1" applyAlignment="1">
      <alignment horizontal="center" wrapText="1"/>
    </xf>
    <xf numFmtId="0" fontId="52" fillId="0" borderId="0" xfId="0" applyFont="1" applyAlignment="1">
      <alignment horizontal="center"/>
    </xf>
    <xf numFmtId="0" fontId="52" fillId="0" borderId="6" xfId="0" applyFont="1" applyBorder="1" applyAlignment="1">
      <alignment horizontal="center"/>
    </xf>
    <xf numFmtId="4" fontId="2" fillId="2" borderId="6" xfId="0" applyNumberFormat="1" applyFont="1" applyFill="1" applyBorder="1" applyAlignment="1">
      <alignment horizontal="center" vertical="center" wrapText="1"/>
    </xf>
    <xf numFmtId="4" fontId="52" fillId="2" borderId="6" xfId="0" applyNumberFormat="1" applyFont="1" applyFill="1" applyBorder="1" applyAlignment="1">
      <alignment horizontal="center"/>
    </xf>
    <xf numFmtId="0" fontId="50" fillId="2" borderId="0" xfId="0" applyFont="1" applyFill="1" applyAlignment="1">
      <alignment horizontal="center" vertical="center"/>
    </xf>
    <xf numFmtId="171" fontId="2" fillId="0" borderId="6" xfId="0" applyNumberFormat="1" applyFont="1" applyFill="1" applyBorder="1" applyAlignment="1">
      <alignment horizontal="left" vertical="center"/>
    </xf>
    <xf numFmtId="0" fontId="0" fillId="0" borderId="6" xfId="0" applyBorder="1" applyAlignment="1">
      <alignment vertical="center" wrapText="1"/>
    </xf>
    <xf numFmtId="0" fontId="2" fillId="0" borderId="6" xfId="0" applyFont="1" applyBorder="1" applyAlignment="1">
      <alignment horizontal="left" wrapText="1"/>
    </xf>
    <xf numFmtId="0" fontId="2" fillId="0" borderId="6" xfId="0" applyFont="1" applyBorder="1" applyAlignment="1">
      <alignment wrapText="1"/>
    </xf>
    <xf numFmtId="43" fontId="2" fillId="7" borderId="6" xfId="3" applyNumberFormat="1" applyFont="1" applyFill="1" applyBorder="1" applyAlignment="1">
      <alignment horizontal="center" vertical="center"/>
    </xf>
    <xf numFmtId="171" fontId="2" fillId="0" borderId="0" xfId="0" applyNumberFormat="1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0" xfId="0" applyFont="1" applyBorder="1" applyAlignment="1">
      <alignment wrapText="1"/>
    </xf>
    <xf numFmtId="0" fontId="8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right" vertical="center"/>
    </xf>
    <xf numFmtId="43" fontId="2" fillId="0" borderId="0" xfId="3" applyFont="1" applyBorder="1" applyAlignment="1">
      <alignment vertical="center"/>
    </xf>
    <xf numFmtId="171" fontId="0" fillId="0" borderId="0" xfId="0" applyNumberFormat="1" applyAlignment="1">
      <alignment horizontal="left"/>
    </xf>
    <xf numFmtId="0" fontId="53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43" fontId="0" fillId="0" borderId="0" xfId="3" applyFont="1" applyAlignment="1">
      <alignment vertical="center"/>
    </xf>
    <xf numFmtId="171" fontId="15" fillId="0" borderId="0" xfId="0" applyNumberFormat="1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0" fillId="0" borderId="0" xfId="0" applyFont="1" applyAlignment="1">
      <alignment wrapText="1"/>
    </xf>
    <xf numFmtId="0" fontId="15" fillId="0" borderId="0" xfId="0" applyFont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0" fillId="0" borderId="0" xfId="0" applyFont="1" applyAlignment="1">
      <alignment horizontal="center" vertical="center" wrapText="1"/>
    </xf>
    <xf numFmtId="171" fontId="15" fillId="7" borderId="6" xfId="0" applyNumberFormat="1" applyFont="1" applyFill="1" applyBorder="1" applyAlignment="1">
      <alignment horizontal="left"/>
    </xf>
    <xf numFmtId="0" fontId="15" fillId="7" borderId="6" xfId="0" applyFont="1" applyFill="1" applyBorder="1" applyAlignment="1">
      <alignment horizontal="left"/>
    </xf>
    <xf numFmtId="0" fontId="15" fillId="7" borderId="6" xfId="0" applyFont="1" applyFill="1" applyBorder="1" applyAlignment="1">
      <alignment horizontal="center" wrapText="1"/>
    </xf>
    <xf numFmtId="0" fontId="15" fillId="7" borderId="6" xfId="0" applyFont="1" applyFill="1" applyBorder="1" applyAlignment="1">
      <alignment horizontal="center" vertical="center" wrapText="1"/>
    </xf>
    <xf numFmtId="0" fontId="15" fillId="7" borderId="6" xfId="0" applyFont="1" applyFill="1" applyBorder="1" applyAlignment="1">
      <alignment horizontal="center" vertical="center"/>
    </xf>
    <xf numFmtId="43" fontId="15" fillId="7" borderId="6" xfId="3" applyFont="1" applyFill="1" applyBorder="1" applyAlignment="1">
      <alignment horizontal="center" vertical="center"/>
    </xf>
    <xf numFmtId="171" fontId="0" fillId="2" borderId="6" xfId="0" applyNumberFormat="1" applyFont="1" applyFill="1" applyBorder="1" applyAlignment="1">
      <alignment horizontal="left"/>
    </xf>
    <xf numFmtId="0" fontId="0" fillId="2" borderId="6" xfId="0" applyFont="1" applyFill="1" applyBorder="1" applyAlignment="1">
      <alignment horizontal="center"/>
    </xf>
    <xf numFmtId="4" fontId="0" fillId="2" borderId="6" xfId="0" applyNumberFormat="1" applyFont="1" applyFill="1" applyBorder="1" applyAlignment="1">
      <alignment horizontal="center" wrapText="1"/>
    </xf>
    <xf numFmtId="0" fontId="0" fillId="0" borderId="6" xfId="0" applyFont="1" applyBorder="1" applyAlignment="1">
      <alignment horizontal="center" vertical="center" wrapText="1"/>
    </xf>
    <xf numFmtId="0" fontId="0" fillId="0" borderId="6" xfId="0" applyFont="1" applyBorder="1" applyAlignment="1">
      <alignment vertical="center"/>
    </xf>
    <xf numFmtId="43" fontId="0" fillId="0" borderId="6" xfId="3" applyFont="1" applyBorder="1" applyAlignment="1">
      <alignment vertical="center"/>
    </xf>
    <xf numFmtId="0" fontId="0" fillId="7" borderId="6" xfId="0" applyFont="1" applyFill="1" applyBorder="1" applyAlignment="1">
      <alignment vertical="center"/>
    </xf>
    <xf numFmtId="43" fontId="0" fillId="7" borderId="6" xfId="3" applyFont="1" applyFill="1" applyBorder="1" applyAlignment="1">
      <alignment vertical="center"/>
    </xf>
    <xf numFmtId="171" fontId="0" fillId="2" borderId="6" xfId="0" applyNumberFormat="1" applyFill="1" applyBorder="1" applyAlignment="1">
      <alignment horizontal="left"/>
    </xf>
    <xf numFmtId="0" fontId="0" fillId="2" borderId="6" xfId="0" applyFill="1" applyBorder="1" applyAlignment="1">
      <alignment horizontal="center" vertical="center"/>
    </xf>
    <xf numFmtId="4" fontId="0" fillId="2" borderId="6" xfId="0" applyNumberFormat="1" applyFill="1" applyBorder="1" applyAlignment="1">
      <alignment horizontal="center" wrapText="1"/>
    </xf>
    <xf numFmtId="0" fontId="15" fillId="7" borderId="0" xfId="0" applyFont="1" applyFill="1" applyBorder="1" applyAlignment="1">
      <alignment horizontal="center" vertical="center" wrapText="1"/>
    </xf>
    <xf numFmtId="0" fontId="0" fillId="7" borderId="0" xfId="0" applyFont="1" applyFill="1" applyBorder="1" applyAlignment="1">
      <alignment vertical="center"/>
    </xf>
    <xf numFmtId="43" fontId="0" fillId="7" borderId="0" xfId="3" applyFont="1" applyFill="1" applyBorder="1" applyAlignment="1">
      <alignment vertical="center"/>
    </xf>
    <xf numFmtId="0" fontId="0" fillId="0" borderId="0" xfId="0" applyFont="1" applyAlignment="1"/>
    <xf numFmtId="43" fontId="0" fillId="0" borderId="0" xfId="3" applyFont="1" applyAlignment="1"/>
    <xf numFmtId="4" fontId="0" fillId="2" borderId="6" xfId="3" applyNumberFormat="1" applyFont="1" applyFill="1" applyBorder="1" applyAlignment="1">
      <alignment horizontal="center" wrapText="1"/>
    </xf>
    <xf numFmtId="0" fontId="53" fillId="0" borderId="0" xfId="0" applyFont="1" applyAlignment="1">
      <alignment horizontal="center" wrapText="1"/>
    </xf>
    <xf numFmtId="4" fontId="0" fillId="0" borderId="0" xfId="0" applyNumberFormat="1" applyAlignment="1">
      <alignment wrapText="1"/>
    </xf>
    <xf numFmtId="0" fontId="0" fillId="2" borderId="0" xfId="0" applyFill="1" applyAlignment="1">
      <alignment wrapText="1"/>
    </xf>
    <xf numFmtId="0" fontId="0" fillId="2" borderId="6" xfId="0" applyFill="1" applyBorder="1" applyAlignment="1">
      <alignment horizontal="center"/>
    </xf>
    <xf numFmtId="0" fontId="0" fillId="0" borderId="0" xfId="0" applyAlignment="1">
      <alignment horizontal="center" wrapText="1"/>
    </xf>
    <xf numFmtId="0" fontId="0" fillId="7" borderId="6" xfId="0" applyFont="1" applyFill="1" applyBorder="1" applyAlignment="1">
      <alignment horizontal="center"/>
    </xf>
    <xf numFmtId="4" fontId="0" fillId="7" borderId="6" xfId="0" applyNumberForma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/>
    <xf numFmtId="171" fontId="0" fillId="0" borderId="0" xfId="0" applyNumberFormat="1" applyFont="1" applyAlignment="1">
      <alignment horizontal="left"/>
    </xf>
    <xf numFmtId="43" fontId="0" fillId="0" borderId="0" xfId="0" applyNumberFormat="1" applyAlignment="1">
      <alignment wrapText="1"/>
    </xf>
    <xf numFmtId="171" fontId="0" fillId="0" borderId="0" xfId="0" applyNumberFormat="1"/>
    <xf numFmtId="0" fontId="0" fillId="2" borderId="26" xfId="0" applyFill="1" applyBorder="1" applyAlignment="1">
      <alignment wrapText="1"/>
    </xf>
    <xf numFmtId="0" fontId="0" fillId="2" borderId="27" xfId="0" applyFill="1" applyBorder="1" applyAlignment="1">
      <alignment wrapText="1"/>
    </xf>
    <xf numFmtId="0" fontId="15" fillId="2" borderId="27" xfId="0" applyFont="1" applyFill="1" applyBorder="1" applyAlignment="1">
      <alignment wrapText="1"/>
    </xf>
    <xf numFmtId="0" fontId="0" fillId="8" borderId="29" xfId="0" applyFill="1" applyBorder="1" applyAlignment="1">
      <alignment wrapText="1"/>
    </xf>
    <xf numFmtId="164" fontId="0" fillId="0" borderId="0" xfId="1" applyFont="1"/>
    <xf numFmtId="0" fontId="15" fillId="0" borderId="6" xfId="0" applyFont="1" applyBorder="1"/>
    <xf numFmtId="164" fontId="0" fillId="0" borderId="6" xfId="1" applyFont="1" applyBorder="1"/>
    <xf numFmtId="4" fontId="0" fillId="0" borderId="6" xfId="0" applyNumberFormat="1" applyBorder="1"/>
    <xf numFmtId="0" fontId="8" fillId="5" borderId="32" xfId="0" applyFont="1" applyFill="1" applyBorder="1" applyAlignment="1">
      <alignment horizontal="center"/>
    </xf>
    <xf numFmtId="0" fontId="8" fillId="5" borderId="33" xfId="0" applyFont="1" applyFill="1" applyBorder="1" applyAlignment="1">
      <alignment horizontal="center"/>
    </xf>
    <xf numFmtId="0" fontId="8" fillId="9" borderId="34" xfId="0" applyFont="1" applyFill="1" applyBorder="1" applyAlignment="1">
      <alignment horizontal="center"/>
    </xf>
    <xf numFmtId="0" fontId="8" fillId="9" borderId="23" xfId="0" applyFont="1" applyFill="1" applyBorder="1" applyAlignment="1">
      <alignment horizontal="center"/>
    </xf>
    <xf numFmtId="0" fontId="8" fillId="9" borderId="25" xfId="0" applyFont="1" applyFill="1" applyBorder="1" applyAlignment="1">
      <alignment horizontal="center"/>
    </xf>
    <xf numFmtId="0" fontId="8" fillId="9" borderId="6" xfId="0" applyFont="1" applyFill="1" applyBorder="1"/>
    <xf numFmtId="0" fontId="8" fillId="9" borderId="6" xfId="0" applyFont="1" applyFill="1" applyBorder="1" applyAlignment="1">
      <alignment wrapText="1"/>
    </xf>
    <xf numFmtId="0" fontId="8" fillId="9" borderId="35" xfId="0" applyFont="1" applyFill="1" applyBorder="1" applyAlignment="1">
      <alignment wrapText="1"/>
    </xf>
    <xf numFmtId="0" fontId="0" fillId="0" borderId="36" xfId="0" applyBorder="1"/>
    <xf numFmtId="14" fontId="0" fillId="0" borderId="6" xfId="0" applyNumberFormat="1" applyBorder="1" applyAlignment="1">
      <alignment horizontal="right"/>
    </xf>
    <xf numFmtId="0" fontId="0" fillId="0" borderId="6" xfId="0" applyBorder="1" applyAlignment="1">
      <alignment horizontal="center"/>
    </xf>
    <xf numFmtId="0" fontId="0" fillId="0" borderId="35" xfId="0" applyBorder="1" applyAlignment="1">
      <alignment horizontal="center"/>
    </xf>
    <xf numFmtId="43" fontId="0" fillId="0" borderId="6" xfId="0" applyNumberFormat="1" applyBorder="1" applyAlignment="1">
      <alignment horizontal="center"/>
    </xf>
    <xf numFmtId="0" fontId="0" fillId="0" borderId="35" xfId="0" applyBorder="1"/>
    <xf numFmtId="0" fontId="15" fillId="0" borderId="37" xfId="0" applyFont="1" applyBorder="1"/>
    <xf numFmtId="0" fontId="15" fillId="0" borderId="38" xfId="0" applyFont="1" applyBorder="1"/>
    <xf numFmtId="44" fontId="15" fillId="0" borderId="38" xfId="8" applyFont="1" applyBorder="1"/>
    <xf numFmtId="44" fontId="15" fillId="0" borderId="39" xfId="8" applyFont="1" applyBorder="1"/>
    <xf numFmtId="43" fontId="0" fillId="2" borderId="0" xfId="0" applyNumberFormat="1" applyFill="1" applyAlignment="1">
      <alignment wrapText="1"/>
    </xf>
    <xf numFmtId="164" fontId="54" fillId="0" borderId="0" xfId="1" applyFont="1"/>
    <xf numFmtId="164" fontId="41" fillId="0" borderId="1" xfId="0" applyNumberFormat="1" applyFont="1" applyBorder="1" applyAlignment="1">
      <alignment horizontal="right"/>
    </xf>
    <xf numFmtId="164" fontId="2" fillId="0" borderId="0" xfId="0" applyNumberFormat="1" applyFont="1"/>
    <xf numFmtId="0" fontId="55" fillId="0" borderId="0" xfId="4" applyFont="1" applyFill="1" applyAlignment="1"/>
    <xf numFmtId="0" fontId="14" fillId="0" borderId="0" xfId="4" applyFont="1" applyFill="1" applyAlignment="1"/>
    <xf numFmtId="0" fontId="14" fillId="0" borderId="0" xfId="0" applyFont="1" applyFill="1" applyAlignment="1"/>
    <xf numFmtId="17" fontId="11" fillId="0" borderId="0" xfId="4" applyNumberFormat="1" applyFont="1" applyFill="1" applyBorder="1" applyAlignment="1">
      <alignment vertical="center"/>
    </xf>
    <xf numFmtId="17" fontId="14" fillId="0" borderId="0" xfId="4" applyNumberFormat="1" applyFont="1" applyFill="1" applyBorder="1" applyAlignment="1">
      <alignment vertical="center"/>
    </xf>
    <xf numFmtId="171" fontId="14" fillId="0" borderId="0" xfId="4" applyNumberFormat="1" applyFont="1" applyFill="1" applyBorder="1" applyAlignment="1">
      <alignment horizontal="center" vertical="center"/>
    </xf>
    <xf numFmtId="17" fontId="14" fillId="0" borderId="0" xfId="4" applyNumberFormat="1" applyFont="1" applyFill="1" applyBorder="1" applyAlignment="1">
      <alignment horizontal="center" vertical="center" wrapText="1"/>
    </xf>
    <xf numFmtId="17" fontId="14" fillId="0" borderId="0" xfId="4" applyNumberFormat="1" applyFont="1" applyFill="1" applyBorder="1" applyAlignment="1">
      <alignment horizontal="left" vertical="center"/>
    </xf>
    <xf numFmtId="17" fontId="14" fillId="0" borderId="0" xfId="4" applyNumberFormat="1" applyFont="1" applyFill="1" applyBorder="1" applyAlignment="1">
      <alignment horizontal="center" vertical="center"/>
    </xf>
    <xf numFmtId="0" fontId="14" fillId="0" borderId="0" xfId="0" applyFont="1" applyFill="1" applyBorder="1" applyAlignment="1" applyProtection="1">
      <alignment horizontal="center" wrapText="1"/>
      <protection locked="0"/>
    </xf>
    <xf numFmtId="0" fontId="14" fillId="0" borderId="0" xfId="0" applyFont="1" applyFill="1" applyBorder="1" applyAlignment="1" applyProtection="1">
      <alignment horizontal="left"/>
      <protection locked="0"/>
    </xf>
    <xf numFmtId="49" fontId="14" fillId="0" borderId="0" xfId="5" applyNumberFormat="1" applyFont="1" applyFill="1" applyBorder="1" applyAlignment="1" applyProtection="1">
      <alignment wrapText="1"/>
      <protection locked="0"/>
    </xf>
    <xf numFmtId="167" fontId="14" fillId="0" borderId="0" xfId="5" applyNumberFormat="1" applyFont="1" applyFill="1" applyBorder="1" applyAlignment="1" applyProtection="1">
      <alignment horizontal="left"/>
      <protection locked="0"/>
    </xf>
    <xf numFmtId="171" fontId="11" fillId="6" borderId="6" xfId="4" applyNumberFormat="1" applyFont="1" applyFill="1" applyBorder="1" applyAlignment="1" applyProtection="1">
      <alignment horizontal="center"/>
      <protection locked="0"/>
    </xf>
    <xf numFmtId="0" fontId="11" fillId="6" borderId="6" xfId="4" applyFont="1" applyFill="1" applyBorder="1" applyAlignment="1" applyProtection="1">
      <alignment horizontal="center" wrapText="1"/>
      <protection locked="0"/>
    </xf>
    <xf numFmtId="167" fontId="11" fillId="6" borderId="6" xfId="7" applyNumberFormat="1" applyFont="1" applyFill="1" applyBorder="1" applyAlignment="1" applyProtection="1">
      <alignment horizontal="center"/>
      <protection locked="0"/>
    </xf>
    <xf numFmtId="43" fontId="27" fillId="6" borderId="6" xfId="3" applyFont="1" applyFill="1" applyBorder="1" applyAlignment="1">
      <alignment horizontal="center" wrapText="1"/>
    </xf>
    <xf numFmtId="171" fontId="14" fillId="0" borderId="6" xfId="0" applyNumberFormat="1" applyFont="1" applyFill="1" applyBorder="1" applyAlignment="1" applyProtection="1">
      <alignment horizontal="left"/>
      <protection locked="0"/>
    </xf>
    <xf numFmtId="171" fontId="14" fillId="0" borderId="6" xfId="4" applyNumberFormat="1" applyFont="1" applyFill="1" applyBorder="1" applyAlignment="1" applyProtection="1">
      <alignment horizontal="left"/>
      <protection locked="0"/>
    </xf>
    <xf numFmtId="0" fontId="14" fillId="0" borderId="6" xfId="4" applyFont="1" applyFill="1" applyBorder="1" applyAlignment="1" applyProtection="1">
      <alignment horizontal="center" wrapText="1"/>
      <protection locked="0"/>
    </xf>
    <xf numFmtId="167" fontId="14" fillId="0" borderId="6" xfId="7" applyNumberFormat="1" applyFont="1" applyFill="1" applyBorder="1" applyAlignment="1" applyProtection="1">
      <alignment horizontal="left"/>
      <protection locked="0"/>
    </xf>
    <xf numFmtId="0" fontId="56" fillId="0" borderId="6" xfId="0" applyFont="1" applyFill="1" applyBorder="1"/>
    <xf numFmtId="0" fontId="56" fillId="0" borderId="0" xfId="0" applyFont="1" applyFill="1"/>
    <xf numFmtId="171" fontId="14" fillId="0" borderId="6" xfId="5" applyNumberFormat="1" applyFont="1" applyFill="1" applyBorder="1" applyAlignment="1" applyProtection="1">
      <alignment horizontal="left"/>
      <protection locked="0"/>
    </xf>
    <xf numFmtId="0" fontId="31" fillId="0" borderId="6" xfId="0" applyFont="1" applyFill="1" applyBorder="1"/>
    <xf numFmtId="0" fontId="31" fillId="0" borderId="0" xfId="0" applyFont="1" applyFill="1"/>
    <xf numFmtId="0" fontId="14" fillId="0" borderId="6" xfId="0" applyFont="1" applyFill="1" applyBorder="1" applyAlignment="1" applyProtection="1">
      <alignment horizontal="center" wrapText="1"/>
      <protection locked="0"/>
    </xf>
    <xf numFmtId="167" fontId="14" fillId="0" borderId="6" xfId="3" applyNumberFormat="1" applyFont="1" applyFill="1" applyBorder="1" applyAlignment="1" applyProtection="1">
      <alignment horizontal="left"/>
      <protection locked="0"/>
    </xf>
    <xf numFmtId="167" fontId="14" fillId="0" borderId="6" xfId="0" applyNumberFormat="1" applyFont="1" applyFill="1" applyBorder="1" applyAlignment="1" applyProtection="1">
      <alignment horizontal="left"/>
      <protection locked="0"/>
    </xf>
    <xf numFmtId="0" fontId="14" fillId="0" borderId="6" xfId="0" applyFont="1" applyFill="1" applyBorder="1" applyAlignment="1" applyProtection="1">
      <alignment horizontal="left" wrapText="1"/>
      <protection locked="0"/>
    </xf>
    <xf numFmtId="43" fontId="14" fillId="0" borderId="6" xfId="3" applyFont="1" applyFill="1" applyBorder="1" applyAlignment="1" applyProtection="1">
      <alignment horizontal="left"/>
      <protection locked="0"/>
    </xf>
    <xf numFmtId="0" fontId="14" fillId="0" borderId="6" xfId="5" applyNumberFormat="1" applyFont="1" applyFill="1" applyBorder="1" applyAlignment="1" applyProtection="1">
      <alignment horizontal="center" wrapText="1"/>
      <protection locked="0"/>
    </xf>
    <xf numFmtId="171" fontId="14" fillId="0" borderId="6" xfId="0" applyNumberFormat="1" applyFont="1" applyFill="1" applyBorder="1" applyAlignment="1">
      <alignment horizontal="left"/>
    </xf>
    <xf numFmtId="171" fontId="14" fillId="0" borderId="6" xfId="4" applyNumberFormat="1" applyFont="1" applyFill="1" applyBorder="1" applyAlignment="1">
      <alignment horizontal="left"/>
    </xf>
    <xf numFmtId="0" fontId="14" fillId="0" borderId="6" xfId="4" applyFont="1" applyFill="1" applyBorder="1" applyAlignment="1">
      <alignment horizontal="center" wrapText="1"/>
    </xf>
    <xf numFmtId="167" fontId="14" fillId="0" borderId="6" xfId="7" applyNumberFormat="1" applyFont="1" applyFill="1" applyBorder="1" applyAlignment="1">
      <alignment horizontal="left"/>
    </xf>
    <xf numFmtId="0" fontId="14" fillId="0" borderId="6" xfId="0" applyFont="1" applyFill="1" applyBorder="1" applyAlignment="1">
      <alignment horizontal="center" wrapText="1"/>
    </xf>
    <xf numFmtId="167" fontId="14" fillId="0" borderId="6" xfId="3" applyNumberFormat="1" applyFont="1" applyFill="1" applyBorder="1" applyAlignment="1">
      <alignment horizontal="left"/>
    </xf>
    <xf numFmtId="0" fontId="57" fillId="0" borderId="6" xfId="0" applyFont="1" applyFill="1" applyBorder="1"/>
    <xf numFmtId="0" fontId="57" fillId="0" borderId="0" xfId="0" applyFont="1" applyFill="1"/>
    <xf numFmtId="0" fontId="14" fillId="0" borderId="6" xfId="4" applyNumberFormat="1" applyFont="1" applyFill="1" applyBorder="1" applyAlignment="1" applyProtection="1">
      <alignment horizontal="center" wrapText="1"/>
      <protection locked="0"/>
    </xf>
    <xf numFmtId="0" fontId="14" fillId="0" borderId="6" xfId="0" applyNumberFormat="1" applyFont="1" applyFill="1" applyBorder="1" applyAlignment="1" applyProtection="1">
      <alignment horizontal="center" wrapText="1"/>
      <protection locked="0"/>
    </xf>
    <xf numFmtId="0" fontId="14" fillId="0" borderId="6" xfId="4" applyFont="1" applyFill="1" applyBorder="1" applyAlignment="1" applyProtection="1">
      <protection locked="0"/>
    </xf>
    <xf numFmtId="43" fontId="14" fillId="0" borderId="6" xfId="7" applyFont="1" applyFill="1" applyBorder="1" applyAlignment="1" applyProtection="1">
      <alignment horizontal="left"/>
      <protection locked="0"/>
    </xf>
    <xf numFmtId="0" fontId="29" fillId="0" borderId="6" xfId="0" applyFont="1" applyFill="1" applyBorder="1"/>
    <xf numFmtId="0" fontId="29" fillId="0" borderId="0" xfId="0" applyFont="1" applyFill="1"/>
    <xf numFmtId="0" fontId="14" fillId="0" borderId="6" xfId="4" applyFont="1" applyFill="1" applyBorder="1" applyAlignment="1" applyProtection="1">
      <alignment horizontal="left" wrapText="1"/>
      <protection locked="0"/>
    </xf>
    <xf numFmtId="0" fontId="30" fillId="0" borderId="6" xfId="0" applyFont="1" applyFill="1" applyBorder="1" applyAlignment="1">
      <alignment wrapText="1"/>
    </xf>
    <xf numFmtId="171" fontId="48" fillId="0" borderId="6" xfId="4" applyNumberFormat="1" applyFont="1" applyFill="1" applyBorder="1" applyAlignment="1" applyProtection="1">
      <alignment horizontal="left"/>
      <protection locked="0"/>
    </xf>
    <xf numFmtId="167" fontId="14" fillId="0" borderId="6" xfId="7" applyNumberFormat="1" applyFont="1" applyFill="1" applyBorder="1" applyAlignment="1" applyProtection="1">
      <alignment horizontal="center"/>
      <protection locked="0"/>
    </xf>
    <xf numFmtId="0" fontId="14" fillId="0" borderId="6" xfId="0" applyFont="1" applyFill="1" applyBorder="1" applyAlignment="1">
      <alignment horizontal="left" wrapText="1"/>
    </xf>
    <xf numFmtId="168" fontId="14" fillId="0" borderId="6" xfId="4" applyNumberFormat="1" applyFont="1" applyFill="1" applyBorder="1" applyAlignment="1" applyProtection="1">
      <alignment horizontal="left" wrapText="1"/>
      <protection locked="0"/>
    </xf>
    <xf numFmtId="168" fontId="14" fillId="0" borderId="6" xfId="4" applyNumberFormat="1" applyFont="1" applyFill="1" applyBorder="1" applyAlignment="1" applyProtection="1">
      <alignment wrapText="1"/>
      <protection locked="0"/>
    </xf>
    <xf numFmtId="0" fontId="14" fillId="0" borderId="6" xfId="0" applyFont="1" applyFill="1" applyBorder="1" applyAlignment="1" applyProtection="1">
      <protection locked="0"/>
    </xf>
    <xf numFmtId="0" fontId="47" fillId="0" borderId="6" xfId="0" applyFont="1" applyFill="1" applyBorder="1" applyAlignment="1">
      <alignment wrapText="1"/>
    </xf>
    <xf numFmtId="168" fontId="14" fillId="0" borderId="6" xfId="0" applyNumberFormat="1" applyFont="1" applyFill="1" applyBorder="1" applyAlignment="1" applyProtection="1">
      <alignment horizontal="center" wrapText="1"/>
      <protection locked="0"/>
    </xf>
    <xf numFmtId="49" fontId="14" fillId="0" borderId="6" xfId="5" applyNumberFormat="1" applyFont="1" applyFill="1" applyBorder="1" applyAlignment="1" applyProtection="1">
      <alignment wrapText="1"/>
      <protection locked="0"/>
    </xf>
    <xf numFmtId="167" fontId="27" fillId="6" borderId="6" xfId="0" applyNumberFormat="1" applyFont="1" applyFill="1" applyBorder="1"/>
    <xf numFmtId="0" fontId="41" fillId="0" borderId="0" xfId="0" applyFont="1" applyAlignment="1">
      <alignment horizontal="left"/>
    </xf>
    <xf numFmtId="164" fontId="41" fillId="0" borderId="0" xfId="1" applyFont="1" applyFill="1" applyAlignment="1">
      <alignment horizontal="center"/>
    </xf>
    <xf numFmtId="164" fontId="23" fillId="0" borderId="0" xfId="1" applyFont="1" applyAlignment="1">
      <alignment horizontal="left" wrapText="1"/>
    </xf>
    <xf numFmtId="0" fontId="2" fillId="0" borderId="0" xfId="0" applyFont="1" applyBorder="1" applyAlignment="1">
      <alignment horizontal="center"/>
    </xf>
    <xf numFmtId="0" fontId="11" fillId="0" borderId="0" xfId="0" applyFont="1" applyFill="1" applyBorder="1" applyAlignment="1">
      <alignment horizontal="left" vertical="center" wrapText="1"/>
    </xf>
    <xf numFmtId="164" fontId="3" fillId="0" borderId="0" xfId="1" applyFont="1" applyBorder="1" applyAlignment="1">
      <alignment horizontal="left" vertical="center" wrapText="1" indent="8"/>
    </xf>
    <xf numFmtId="0" fontId="4" fillId="0" borderId="0" xfId="0" applyFont="1" applyFill="1" applyAlignment="1">
      <alignment vertical="center" wrapText="1"/>
    </xf>
    <xf numFmtId="0" fontId="4" fillId="10" borderId="1" xfId="0" applyFont="1" applyFill="1" applyBorder="1" applyAlignment="1">
      <alignment vertical="center" wrapText="1"/>
    </xf>
    <xf numFmtId="164" fontId="3" fillId="0" borderId="3" xfId="1" applyFont="1" applyBorder="1" applyAlignment="1">
      <alignment horizontal="left" vertical="center" wrapText="1" indent="8"/>
    </xf>
    <xf numFmtId="0" fontId="4" fillId="0" borderId="0" xfId="0" applyFont="1" applyAlignment="1">
      <alignment horizontal="center" vertical="center"/>
    </xf>
    <xf numFmtId="43" fontId="11" fillId="0" borderId="0" xfId="3" applyFont="1" applyFill="1" applyBorder="1" applyAlignment="1">
      <alignment horizontal="center" vertical="top" wrapText="1"/>
    </xf>
    <xf numFmtId="43" fontId="14" fillId="0" borderId="0" xfId="3" applyFont="1" applyFill="1" applyBorder="1" applyAlignment="1">
      <alignment horizontal="center" vertical="top" wrapText="1"/>
    </xf>
    <xf numFmtId="43" fontId="11" fillId="0" borderId="0" xfId="3" applyFont="1" applyFill="1" applyBorder="1" applyAlignment="1">
      <alignment horizontal="center" vertical="center" wrapText="1"/>
    </xf>
    <xf numFmtId="43" fontId="1" fillId="0" borderId="0" xfId="3" applyFont="1"/>
    <xf numFmtId="43" fontId="2" fillId="0" borderId="0" xfId="3" applyFont="1"/>
    <xf numFmtId="43" fontId="2" fillId="0" borderId="0" xfId="3" applyFont="1" applyBorder="1"/>
    <xf numFmtId="43" fontId="2" fillId="0" borderId="2" xfId="3" applyFont="1" applyBorder="1"/>
    <xf numFmtId="0" fontId="4" fillId="0" borderId="0" xfId="0" applyFont="1" applyFill="1" applyAlignment="1">
      <alignment horizontal="center" vertical="center" wrapText="1"/>
    </xf>
    <xf numFmtId="49" fontId="59" fillId="11" borderId="6" xfId="0" applyNumberFormat="1" applyFont="1" applyFill="1" applyBorder="1" applyAlignment="1">
      <alignment horizontal="left"/>
    </xf>
    <xf numFmtId="49" fontId="59" fillId="12" borderId="6" xfId="0" applyNumberFormat="1" applyFont="1" applyFill="1" applyBorder="1" applyAlignment="1">
      <alignment horizontal="left"/>
    </xf>
    <xf numFmtId="164" fontId="59" fillId="11" borderId="6" xfId="1" applyFont="1" applyFill="1" applyBorder="1" applyAlignment="1">
      <alignment horizontal="left"/>
    </xf>
    <xf numFmtId="49" fontId="60" fillId="0" borderId="0" xfId="0" applyNumberFormat="1" applyFont="1" applyAlignment="1">
      <alignment horizontal="left"/>
    </xf>
    <xf numFmtId="15" fontId="60" fillId="0" borderId="0" xfId="0" applyNumberFormat="1" applyFont="1" applyAlignment="1">
      <alignment horizontal="center"/>
    </xf>
    <xf numFmtId="164" fontId="60" fillId="0" borderId="0" xfId="1" applyFont="1" applyAlignment="1">
      <alignment horizontal="right"/>
    </xf>
    <xf numFmtId="164" fontId="15" fillId="0" borderId="0" xfId="1" applyFont="1"/>
    <xf numFmtId="0" fontId="8" fillId="0" borderId="7" xfId="0" applyFont="1" applyBorder="1" applyAlignment="1">
      <alignment horizontal="center"/>
    </xf>
    <xf numFmtId="0" fontId="27" fillId="6" borderId="6" xfId="0" applyFont="1" applyFill="1" applyBorder="1" applyAlignment="1">
      <alignment horizontal="center"/>
    </xf>
    <xf numFmtId="49" fontId="61" fillId="0" borderId="0" xfId="0" applyNumberFormat="1" applyFont="1" applyAlignment="1">
      <alignment horizontal="left"/>
    </xf>
    <xf numFmtId="0" fontId="2" fillId="0" borderId="0" xfId="0" applyFont="1" applyAlignment="1">
      <alignment horizontal="center"/>
    </xf>
    <xf numFmtId="164" fontId="41" fillId="0" borderId="0" xfId="0" applyNumberFormat="1" applyFont="1" applyBorder="1"/>
    <xf numFmtId="9" fontId="14" fillId="0" borderId="0" xfId="2" applyFont="1" applyFill="1" applyBorder="1" applyAlignment="1">
      <alignment horizontal="center" vertical="top" wrapText="1"/>
    </xf>
    <xf numFmtId="0" fontId="41" fillId="0" borderId="0" xfId="0" applyFont="1" applyAlignment="1">
      <alignment horizontal="left" wrapText="1"/>
    </xf>
    <xf numFmtId="164" fontId="41" fillId="0" borderId="0" xfId="1" applyFont="1" applyAlignment="1">
      <alignment horizontal="right"/>
    </xf>
    <xf numFmtId="164" fontId="0" fillId="0" borderId="0" xfId="0" applyNumberFormat="1"/>
    <xf numFmtId="164" fontId="3" fillId="0" borderId="0" xfId="1" applyFont="1" applyFill="1" applyAlignment="1">
      <alignment horizontal="center" vertical="center" wrapText="1"/>
    </xf>
    <xf numFmtId="164" fontId="4" fillId="0" borderId="7" xfId="1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/>
    </xf>
    <xf numFmtId="0" fontId="34" fillId="0" borderId="0" xfId="0" applyFont="1"/>
    <xf numFmtId="164" fontId="34" fillId="0" borderId="0" xfId="1" applyFont="1"/>
    <xf numFmtId="43" fontId="4" fillId="0" borderId="0" xfId="0" applyNumberFormat="1" applyFont="1" applyAlignment="1">
      <alignment horizontal="center" vertical="center" wrapText="1"/>
    </xf>
    <xf numFmtId="0" fontId="23" fillId="0" borderId="0" xfId="0" applyFont="1" applyAlignment="1">
      <alignment horizontal="left" wrapText="1"/>
    </xf>
    <xf numFmtId="0" fontId="41" fillId="0" borderId="0" xfId="0" applyFont="1" applyAlignment="1">
      <alignment horizontal="center"/>
    </xf>
    <xf numFmtId="0" fontId="8" fillId="5" borderId="6" xfId="0" applyFont="1" applyFill="1" applyBorder="1" applyAlignment="1">
      <alignment horizontal="center"/>
    </xf>
    <xf numFmtId="164" fontId="23" fillId="0" borderId="0" xfId="0" applyNumberFormat="1" applyFont="1" applyAlignment="1">
      <alignment horizontal="right"/>
    </xf>
    <xf numFmtId="9" fontId="63" fillId="0" borderId="0" xfId="2" applyFont="1" applyFill="1" applyBorder="1" applyAlignment="1">
      <alignment horizontal="center" vertical="top" wrapText="1"/>
    </xf>
    <xf numFmtId="167" fontId="34" fillId="0" borderId="0" xfId="0" applyNumberFormat="1" applyFont="1"/>
    <xf numFmtId="43" fontId="0" fillId="0" borderId="0" xfId="3" applyFont="1" applyAlignment="1">
      <alignment horizontal="right"/>
    </xf>
    <xf numFmtId="43" fontId="0" fillId="0" borderId="9" xfId="3" applyFont="1" applyBorder="1" applyAlignment="1">
      <alignment horizontal="right"/>
    </xf>
    <xf numFmtId="0" fontId="15" fillId="2" borderId="13" xfId="0" applyFont="1" applyFill="1" applyBorder="1" applyAlignment="1">
      <alignment horizontal="left"/>
    </xf>
    <xf numFmtId="0" fontId="15" fillId="2" borderId="9" xfId="0" applyFont="1" applyFill="1" applyBorder="1"/>
    <xf numFmtId="0" fontId="15" fillId="2" borderId="9" xfId="0" applyFont="1" applyFill="1" applyBorder="1" applyAlignment="1">
      <alignment horizontal="left"/>
    </xf>
    <xf numFmtId="43" fontId="15" fillId="2" borderId="9" xfId="3" applyFont="1" applyFill="1" applyBorder="1" applyAlignment="1">
      <alignment horizontal="right"/>
    </xf>
    <xf numFmtId="43" fontId="15" fillId="2" borderId="9" xfId="3" applyFont="1" applyFill="1" applyBorder="1"/>
    <xf numFmtId="0" fontId="15" fillId="5" borderId="22" xfId="0" applyFont="1" applyFill="1" applyBorder="1" applyAlignment="1">
      <alignment horizontal="left" vertical="center"/>
    </xf>
    <xf numFmtId="0" fontId="15" fillId="5" borderId="23" xfId="0" applyFont="1" applyFill="1" applyBorder="1" applyAlignment="1">
      <alignment horizontal="center" vertical="center" wrapText="1"/>
    </xf>
    <xf numFmtId="0" fontId="15" fillId="5" borderId="23" xfId="0" applyFont="1" applyFill="1" applyBorder="1" applyAlignment="1">
      <alignment horizontal="left" vertical="center" wrapText="1"/>
    </xf>
    <xf numFmtId="43" fontId="15" fillId="5" borderId="23" xfId="3" applyFont="1" applyFill="1" applyBorder="1" applyAlignment="1">
      <alignment horizontal="right" vertical="center" wrapText="1"/>
    </xf>
    <xf numFmtId="43" fontId="15" fillId="5" borderId="23" xfId="3" applyFont="1" applyFill="1" applyBorder="1" applyAlignment="1">
      <alignment horizontal="center" vertical="center" wrapText="1"/>
    </xf>
    <xf numFmtId="0" fontId="15" fillId="5" borderId="24" xfId="0" applyFont="1" applyFill="1" applyBorder="1" applyAlignment="1">
      <alignment horizontal="center" vertical="center" wrapText="1"/>
    </xf>
    <xf numFmtId="0" fontId="15" fillId="5" borderId="25" xfId="0" applyFont="1" applyFill="1" applyBorder="1" applyAlignment="1">
      <alignment horizontal="center" vertical="center"/>
    </xf>
    <xf numFmtId="14" fontId="0" fillId="0" borderId="6" xfId="0" applyNumberFormat="1" applyFont="1" applyFill="1" applyBorder="1" applyAlignment="1">
      <alignment horizontal="center"/>
    </xf>
    <xf numFmtId="43" fontId="0" fillId="0" borderId="6" xfId="3" applyFont="1" applyFill="1" applyBorder="1" applyAlignment="1">
      <alignment horizontal="left" vertical="center"/>
    </xf>
    <xf numFmtId="4" fontId="0" fillId="0" borderId="6" xfId="3" applyNumberFormat="1" applyFont="1" applyFill="1" applyBorder="1" applyAlignment="1">
      <alignment horizontal="right"/>
    </xf>
    <xf numFmtId="43" fontId="15" fillId="0" borderId="0" xfId="3" applyFont="1" applyAlignment="1">
      <alignment horizontal="right"/>
    </xf>
    <xf numFmtId="43" fontId="15" fillId="0" borderId="0" xfId="3" applyFont="1" applyBorder="1" applyAlignment="1">
      <alignment horizontal="right"/>
    </xf>
    <xf numFmtId="43" fontId="0" fillId="0" borderId="6" xfId="3" applyFont="1" applyBorder="1" applyAlignment="1">
      <alignment horizontal="right"/>
    </xf>
    <xf numFmtId="175" fontId="0" fillId="2" borderId="6" xfId="0" applyNumberFormat="1" applyFill="1" applyBorder="1"/>
    <xf numFmtId="43" fontId="64" fillId="0" borderId="6" xfId="3" applyFont="1" applyFill="1" applyBorder="1"/>
    <xf numFmtId="43" fontId="23" fillId="0" borderId="0" xfId="3" applyFont="1" applyFill="1"/>
    <xf numFmtId="164" fontId="23" fillId="0" borderId="0" xfId="1" applyFont="1" applyAlignment="1"/>
    <xf numFmtId="49" fontId="66" fillId="0" borderId="0" xfId="0" applyNumberFormat="1" applyFont="1" applyAlignment="1">
      <alignment horizontal="left"/>
    </xf>
    <xf numFmtId="164" fontId="66" fillId="0" borderId="0" xfId="1" applyFont="1" applyAlignment="1">
      <alignment horizontal="right"/>
    </xf>
    <xf numFmtId="164" fontId="23" fillId="0" borderId="0" xfId="1" applyFont="1" applyBorder="1" applyAlignment="1">
      <alignment horizontal="right"/>
    </xf>
    <xf numFmtId="164" fontId="23" fillId="0" borderId="0" xfId="1" applyFont="1" applyFill="1" applyBorder="1" applyAlignment="1">
      <alignment horizontal="right"/>
    </xf>
    <xf numFmtId="0" fontId="23" fillId="0" borderId="0" xfId="0" applyFont="1" applyAlignment="1">
      <alignment vertical="top"/>
    </xf>
    <xf numFmtId="0" fontId="41" fillId="0" borderId="0" xfId="0" applyFont="1" applyAlignment="1">
      <alignment vertical="center" wrapText="1"/>
    </xf>
    <xf numFmtId="0" fontId="23" fillId="0" borderId="0" xfId="0" applyFont="1" applyAlignment="1">
      <alignment vertical="center" wrapText="1"/>
    </xf>
    <xf numFmtId="164" fontId="23" fillId="0" borderId="0" xfId="1" applyFont="1" applyAlignment="1">
      <alignment horizontal="center" vertical="center" wrapText="1"/>
    </xf>
    <xf numFmtId="164" fontId="23" fillId="0" borderId="0" xfId="1" applyFont="1" applyBorder="1" applyAlignment="1">
      <alignment horizontal="center" vertical="center" wrapText="1"/>
    </xf>
    <xf numFmtId="164" fontId="23" fillId="0" borderId="0" xfId="1" applyFont="1" applyFill="1" applyAlignment="1">
      <alignment horizontal="right"/>
    </xf>
    <xf numFmtId="164" fontId="41" fillId="0" borderId="3" xfId="1" applyFont="1" applyBorder="1"/>
    <xf numFmtId="164" fontId="11" fillId="0" borderId="1" xfId="1" applyFont="1" applyFill="1" applyBorder="1" applyAlignment="1">
      <alignment horizontal="center" vertical="center" wrapText="1"/>
    </xf>
    <xf numFmtId="43" fontId="11" fillId="0" borderId="1" xfId="3" applyFont="1" applyFill="1" applyBorder="1" applyAlignment="1">
      <alignment horizontal="center" vertical="center" wrapText="1"/>
    </xf>
    <xf numFmtId="9" fontId="11" fillId="0" borderId="1" xfId="2" applyFont="1" applyFill="1" applyBorder="1" applyAlignment="1">
      <alignment horizontal="center" vertical="top" wrapText="1"/>
    </xf>
    <xf numFmtId="43" fontId="4" fillId="0" borderId="0" xfId="3" applyFont="1" applyAlignment="1">
      <alignment horizontal="center" vertical="center" wrapText="1"/>
    </xf>
    <xf numFmtId="43" fontId="4" fillId="0" borderId="0" xfId="3" applyFont="1" applyAlignment="1">
      <alignment horizontal="left" vertical="center" wrapText="1" indent="8"/>
    </xf>
    <xf numFmtId="43" fontId="4" fillId="0" borderId="6" xfId="3" applyFont="1" applyBorder="1" applyAlignment="1">
      <alignment horizontal="center" vertical="center" wrapText="1"/>
    </xf>
    <xf numFmtId="43" fontId="2" fillId="0" borderId="0" xfId="3" applyFont="1" applyAlignment="1">
      <alignment vertical="top" wrapText="1"/>
    </xf>
    <xf numFmtId="43" fontId="4" fillId="0" borderId="4" xfId="3" applyFont="1" applyBorder="1" applyAlignment="1">
      <alignment horizontal="center" vertical="center" wrapText="1"/>
    </xf>
    <xf numFmtId="43" fontId="4" fillId="0" borderId="4" xfId="3" applyFont="1" applyBorder="1" applyAlignment="1">
      <alignment horizontal="left" vertical="center" wrapText="1" indent="8"/>
    </xf>
    <xf numFmtId="43" fontId="3" fillId="0" borderId="0" xfId="3" applyFont="1" applyAlignment="1">
      <alignment horizontal="center" vertical="center" wrapText="1"/>
    </xf>
    <xf numFmtId="43" fontId="3" fillId="0" borderId="0" xfId="3" applyFont="1" applyAlignment="1">
      <alignment horizontal="left" vertical="center" wrapText="1" indent="8"/>
    </xf>
    <xf numFmtId="43" fontId="3" fillId="0" borderId="2" xfId="3" applyFont="1" applyBorder="1" applyAlignment="1">
      <alignment horizontal="left" vertical="center" wrapText="1" indent="8"/>
    </xf>
    <xf numFmtId="43" fontId="4" fillId="0" borderId="0" xfId="0" applyNumberFormat="1" applyFont="1" applyAlignment="1">
      <alignment horizontal="right" vertical="center" wrapText="1"/>
    </xf>
    <xf numFmtId="43" fontId="23" fillId="0" borderId="0" xfId="3" applyFont="1" applyFill="1" applyAlignment="1"/>
    <xf numFmtId="43" fontId="41" fillId="0" borderId="0" xfId="3" applyFont="1" applyFill="1"/>
    <xf numFmtId="43" fontId="41" fillId="0" borderId="1" xfId="3" applyFont="1" applyFill="1" applyBorder="1"/>
    <xf numFmtId="164" fontId="3" fillId="0" borderId="2" xfId="1" applyFont="1" applyFill="1" applyBorder="1" applyAlignment="1">
      <alignment horizontal="center" vertical="center" wrapText="1"/>
    </xf>
    <xf numFmtId="164" fontId="66" fillId="0" borderId="0" xfId="1" applyFont="1" applyAlignment="1">
      <alignment horizontal="left"/>
    </xf>
    <xf numFmtId="0" fontId="4" fillId="0" borderId="0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Border="1" applyAlignment="1">
      <alignment horizontal="center"/>
    </xf>
    <xf numFmtId="0" fontId="41" fillId="0" borderId="0" xfId="0" applyFont="1" applyBorder="1" applyAlignment="1">
      <alignment horizontal="center"/>
    </xf>
    <xf numFmtId="164" fontId="2" fillId="0" borderId="0" xfId="0" applyNumberFormat="1" applyFont="1" applyBorder="1"/>
    <xf numFmtId="9" fontId="23" fillId="0" borderId="0" xfId="2" applyFont="1"/>
    <xf numFmtId="0" fontId="4" fillId="0" borderId="0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164" fontId="3" fillId="0" borderId="0" xfId="1" applyFont="1" applyBorder="1" applyAlignment="1">
      <alignment horizontal="center" vertical="center"/>
    </xf>
    <xf numFmtId="164" fontId="4" fillId="0" borderId="0" xfId="1" applyFont="1" applyBorder="1" applyAlignment="1">
      <alignment horizontal="center" vertical="center"/>
    </xf>
    <xf numFmtId="164" fontId="3" fillId="0" borderId="0" xfId="1" applyFont="1" applyBorder="1" applyAlignment="1">
      <alignment horizontal="justify" vertical="center" wrapText="1"/>
    </xf>
    <xf numFmtId="43" fontId="2" fillId="0" borderId="0" xfId="0" applyNumberFormat="1" applyFont="1" applyBorder="1"/>
    <xf numFmtId="164" fontId="23" fillId="0" borderId="0" xfId="1" applyFont="1" applyBorder="1" applyAlignment="1"/>
    <xf numFmtId="164" fontId="66" fillId="0" borderId="0" xfId="1" applyFont="1" applyBorder="1" applyAlignment="1">
      <alignment horizontal="right"/>
    </xf>
    <xf numFmtId="164" fontId="41" fillId="0" borderId="0" xfId="0" applyNumberFormat="1" applyFont="1" applyBorder="1" applyAlignment="1">
      <alignment horizontal="right"/>
    </xf>
    <xf numFmtId="0" fontId="41" fillId="0" borderId="0" xfId="1" applyNumberFormat="1" applyFont="1" applyBorder="1" applyAlignment="1">
      <alignment horizontal="center" vertical="center" wrapText="1"/>
    </xf>
    <xf numFmtId="0" fontId="23" fillId="0" borderId="0" xfId="0" applyFont="1" applyBorder="1" applyAlignment="1">
      <alignment horizontal="right"/>
    </xf>
    <xf numFmtId="164" fontId="23" fillId="0" borderId="0" xfId="0" applyNumberFormat="1" applyFont="1" applyBorder="1" applyAlignment="1">
      <alignment horizontal="right"/>
    </xf>
    <xf numFmtId="43" fontId="23" fillId="0" borderId="0" xfId="0" applyNumberFormat="1" applyFont="1" applyBorder="1"/>
    <xf numFmtId="0" fontId="23" fillId="0" borderId="0" xfId="0" applyFont="1" applyAlignment="1">
      <alignment wrapText="1"/>
    </xf>
    <xf numFmtId="164" fontId="41" fillId="0" borderId="0" xfId="1" applyFont="1" applyAlignment="1"/>
    <xf numFmtId="164" fontId="23" fillId="0" borderId="2" xfId="1" applyFont="1" applyBorder="1" applyAlignment="1"/>
    <xf numFmtId="0" fontId="1" fillId="0" borderId="0" xfId="0" applyFont="1" applyBorder="1"/>
    <xf numFmtId="9" fontId="1" fillId="0" borderId="0" xfId="2" applyFont="1" applyBorder="1"/>
    <xf numFmtId="43" fontId="1" fillId="0" borderId="0" xfId="3" applyFont="1" applyBorder="1"/>
    <xf numFmtId="0" fontId="4" fillId="0" borderId="2" xfId="0" applyFont="1" applyFill="1" applyBorder="1" applyAlignment="1">
      <alignment vertical="center"/>
    </xf>
    <xf numFmtId="174" fontId="0" fillId="2" borderId="9" xfId="7" applyNumberFormat="1" applyFont="1" applyFill="1" applyBorder="1"/>
    <xf numFmtId="43" fontId="15" fillId="2" borderId="11" xfId="7" applyFont="1" applyFill="1" applyBorder="1" applyAlignment="1">
      <alignment horizontal="center"/>
    </xf>
    <xf numFmtId="9" fontId="0" fillId="2" borderId="6" xfId="2" applyFont="1" applyFill="1" applyBorder="1" applyAlignment="1">
      <alignment horizontal="center"/>
    </xf>
    <xf numFmtId="1" fontId="0" fillId="2" borderId="6" xfId="0" applyNumberFormat="1" applyFill="1" applyBorder="1" applyAlignment="1">
      <alignment horizontal="center"/>
    </xf>
    <xf numFmtId="43" fontId="0" fillId="2" borderId="6" xfId="0" applyNumberFormat="1" applyFill="1" applyBorder="1"/>
    <xf numFmtId="49" fontId="0" fillId="2" borderId="6" xfId="0" applyNumberFormat="1" applyFill="1" applyBorder="1" applyAlignment="1">
      <alignment horizontal="center"/>
    </xf>
    <xf numFmtId="175" fontId="0" fillId="0" borderId="0" xfId="0" applyNumberFormat="1" applyFill="1" applyBorder="1"/>
    <xf numFmtId="0" fontId="0" fillId="0" borderId="26" xfId="0" applyFill="1" applyBorder="1" applyAlignment="1">
      <alignment vertical="center" wrapText="1"/>
    </xf>
    <xf numFmtId="43" fontId="0" fillId="0" borderId="0" xfId="3" applyFont="1" applyFill="1"/>
    <xf numFmtId="0" fontId="0" fillId="0" borderId="6" xfId="0" applyBorder="1" applyAlignment="1">
      <alignment wrapText="1"/>
    </xf>
    <xf numFmtId="0" fontId="0" fillId="0" borderId="26" xfId="0" applyBorder="1"/>
    <xf numFmtId="0" fontId="64" fillId="2" borderId="54" xfId="4" applyFont="1" applyFill="1" applyBorder="1"/>
    <xf numFmtId="0" fontId="64" fillId="2" borderId="7" xfId="4" applyFont="1" applyFill="1" applyBorder="1"/>
    <xf numFmtId="0" fontId="85" fillId="2" borderId="7" xfId="4" applyFont="1" applyFill="1" applyBorder="1"/>
    <xf numFmtId="0" fontId="85" fillId="2" borderId="55" xfId="4" applyFont="1" applyFill="1" applyBorder="1"/>
    <xf numFmtId="0" fontId="24" fillId="0" borderId="0" xfId="4"/>
    <xf numFmtId="0" fontId="85" fillId="2" borderId="0" xfId="4" applyFont="1" applyFill="1"/>
    <xf numFmtId="0" fontId="85" fillId="2" borderId="28" xfId="4" applyFont="1" applyFill="1" applyBorder="1"/>
    <xf numFmtId="0" fontId="28" fillId="25" borderId="56" xfId="4" applyFont="1" applyFill="1" applyBorder="1" applyAlignment="1">
      <alignment horizontal="left"/>
    </xf>
    <xf numFmtId="0" fontId="28" fillId="25" borderId="0" xfId="4" applyFont="1" applyFill="1" applyAlignment="1">
      <alignment horizontal="left"/>
    </xf>
    <xf numFmtId="0" fontId="28" fillId="25" borderId="28" xfId="4" applyFont="1" applyFill="1" applyBorder="1" applyAlignment="1">
      <alignment horizontal="left"/>
    </xf>
    <xf numFmtId="0" fontId="89" fillId="4" borderId="56" xfId="4" applyFont="1" applyFill="1" applyBorder="1"/>
    <xf numFmtId="0" fontId="89" fillId="4" borderId="0" xfId="4" applyFont="1" applyFill="1"/>
    <xf numFmtId="0" fontId="90" fillId="4" borderId="0" xfId="4" applyFont="1" applyFill="1" applyAlignment="1">
      <alignment horizontal="left" indent="3"/>
    </xf>
    <xf numFmtId="0" fontId="90" fillId="2" borderId="0" xfId="4" applyFont="1" applyFill="1" applyAlignment="1">
      <alignment horizontal="center"/>
    </xf>
    <xf numFmtId="0" fontId="91" fillId="4" borderId="0" xfId="4" applyFont="1" applyFill="1"/>
    <xf numFmtId="0" fontId="90" fillId="2" borderId="28" xfId="4" applyFont="1" applyFill="1" applyBorder="1" applyAlignment="1">
      <alignment horizontal="center"/>
    </xf>
    <xf numFmtId="4" fontId="90" fillId="4" borderId="0" xfId="4" applyNumberFormat="1" applyFont="1" applyFill="1" applyAlignment="1">
      <alignment horizontal="left" indent="11"/>
    </xf>
    <xf numFmtId="4" fontId="91" fillId="4" borderId="2" xfId="4" applyNumberFormat="1" applyFont="1" applyFill="1" applyBorder="1"/>
    <xf numFmtId="4" fontId="92" fillId="4" borderId="0" xfId="4" applyNumberFormat="1" applyFont="1" applyFill="1" applyAlignment="1">
      <alignment horizontal="left" indent="2"/>
    </xf>
    <xf numFmtId="0" fontId="93" fillId="0" borderId="0" xfId="4" applyFont="1"/>
    <xf numFmtId="4" fontId="94" fillId="4" borderId="0" xfId="4" applyNumberFormat="1" applyFont="1" applyFill="1" applyAlignment="1">
      <alignment horizontal="left" indent="2"/>
    </xf>
    <xf numFmtId="4" fontId="91" fillId="4" borderId="0" xfId="4" applyNumberFormat="1" applyFont="1" applyFill="1"/>
    <xf numFmtId="4" fontId="91" fillId="4" borderId="4" xfId="4" applyNumberFormat="1" applyFont="1" applyFill="1" applyBorder="1"/>
    <xf numFmtId="4" fontId="90" fillId="4" borderId="0" xfId="4" applyNumberFormat="1" applyFont="1" applyFill="1" applyAlignment="1">
      <alignment horizontal="left" indent="2"/>
    </xf>
    <xf numFmtId="4" fontId="90" fillId="4" borderId="0" xfId="4" applyNumberFormat="1" applyFont="1" applyFill="1" applyAlignment="1">
      <alignment horizontal="left" indent="3"/>
    </xf>
    <xf numFmtId="176" fontId="90" fillId="2" borderId="28" xfId="4" applyNumberFormat="1" applyFont="1" applyFill="1" applyBorder="1" applyAlignment="1">
      <alignment horizontal="center"/>
    </xf>
    <xf numFmtId="176" fontId="24" fillId="0" borderId="0" xfId="4" applyNumberFormat="1"/>
    <xf numFmtId="4" fontId="91" fillId="4" borderId="7" xfId="4" applyNumberFormat="1" applyFont="1" applyFill="1" applyBorder="1"/>
    <xf numFmtId="43" fontId="90" fillId="0" borderId="0" xfId="7" applyFont="1" applyBorder="1" applyAlignment="1">
      <alignment horizontal="left"/>
    </xf>
    <xf numFmtId="0" fontId="90" fillId="0" borderId="0" xfId="4" applyFont="1"/>
    <xf numFmtId="4" fontId="28" fillId="4" borderId="0" xfId="4" applyNumberFormat="1" applyFont="1" applyFill="1" applyAlignment="1">
      <alignment horizontal="left" indent="11"/>
    </xf>
    <xf numFmtId="4" fontId="90" fillId="4" borderId="0" xfId="4" applyNumberFormat="1" applyFont="1" applyFill="1" applyAlignment="1">
      <alignment horizontal="center"/>
    </xf>
    <xf numFmtId="4" fontId="91" fillId="4" borderId="0" xfId="4" applyNumberFormat="1" applyFont="1" applyFill="1" applyAlignment="1">
      <alignment horizontal="center"/>
    </xf>
    <xf numFmtId="0" fontId="89" fillId="25" borderId="56" xfId="4" applyFont="1" applyFill="1" applyBorder="1"/>
    <xf numFmtId="0" fontId="28" fillId="25" borderId="0" xfId="4" applyFont="1" applyFill="1"/>
    <xf numFmtId="4" fontId="28" fillId="25" borderId="0" xfId="4" applyNumberFormat="1" applyFont="1" applyFill="1" applyAlignment="1">
      <alignment horizontal="left"/>
    </xf>
    <xf numFmtId="0" fontId="89" fillId="25" borderId="0" xfId="4" applyFont="1" applyFill="1"/>
    <xf numFmtId="4" fontId="28" fillId="25" borderId="0" xfId="4" applyNumberFormat="1" applyFont="1" applyFill="1"/>
    <xf numFmtId="4" fontId="89" fillId="25" borderId="0" xfId="4" applyNumberFormat="1" applyFont="1" applyFill="1"/>
    <xf numFmtId="4" fontId="92" fillId="25" borderId="0" xfId="4" applyNumberFormat="1" applyFont="1" applyFill="1"/>
    <xf numFmtId="0" fontId="90" fillId="2" borderId="56" xfId="4" applyFont="1" applyFill="1" applyBorder="1" applyAlignment="1">
      <alignment horizontal="center"/>
    </xf>
    <xf numFmtId="0" fontId="96" fillId="17" borderId="6" xfId="4" applyFont="1" applyFill="1" applyBorder="1" applyAlignment="1">
      <alignment horizontal="center"/>
    </xf>
    <xf numFmtId="43" fontId="24" fillId="0" borderId="0" xfId="3" applyFont="1"/>
    <xf numFmtId="0" fontId="101" fillId="29" borderId="31" xfId="4" applyFont="1" applyFill="1" applyBorder="1" applyAlignment="1">
      <alignment vertical="top"/>
    </xf>
    <xf numFmtId="0" fontId="102" fillId="29" borderId="31" xfId="4" applyFont="1" applyFill="1" applyBorder="1" applyAlignment="1">
      <alignment horizontal="center" vertical="top"/>
    </xf>
    <xf numFmtId="0" fontId="102" fillId="29" borderId="31" xfId="4" applyFont="1" applyFill="1" applyBorder="1" applyAlignment="1">
      <alignment vertical="top"/>
    </xf>
    <xf numFmtId="9" fontId="102" fillId="29" borderId="26" xfId="51" applyFont="1" applyFill="1" applyBorder="1" applyAlignment="1">
      <alignment vertical="top"/>
    </xf>
    <xf numFmtId="0" fontId="92" fillId="36" borderId="57" xfId="4" applyFont="1" applyFill="1" applyBorder="1" applyAlignment="1">
      <alignment vertical="top"/>
    </xf>
    <xf numFmtId="0" fontId="90" fillId="36" borderId="57" xfId="4" applyFont="1" applyFill="1" applyBorder="1" applyAlignment="1">
      <alignment horizontal="center" vertical="top"/>
    </xf>
    <xf numFmtId="0" fontId="90" fillId="36" borderId="57" xfId="4" applyFont="1" applyFill="1" applyBorder="1" applyAlignment="1">
      <alignment vertical="top"/>
    </xf>
    <xf numFmtId="9" fontId="90" fillId="36" borderId="6" xfId="51" applyFont="1" applyFill="1" applyBorder="1" applyAlignment="1">
      <alignment vertical="top"/>
    </xf>
    <xf numFmtId="0" fontId="90" fillId="36" borderId="6" xfId="4" applyFont="1" applyFill="1" applyBorder="1" applyAlignment="1">
      <alignment vertical="top"/>
    </xf>
    <xf numFmtId="0" fontId="90" fillId="36" borderId="6" xfId="4" applyFont="1" applyFill="1" applyBorder="1" applyAlignment="1">
      <alignment horizontal="center" vertical="top"/>
    </xf>
    <xf numFmtId="0" fontId="64" fillId="21" borderId="6" xfId="4" applyFont="1" applyFill="1" applyBorder="1" applyAlignment="1">
      <alignment vertical="top"/>
    </xf>
    <xf numFmtId="0" fontId="64" fillId="21" borderId="6" xfId="4" applyFont="1" applyFill="1" applyBorder="1" applyAlignment="1">
      <alignment horizontal="center" vertical="top"/>
    </xf>
    <xf numFmtId="176" fontId="64" fillId="21" borderId="6" xfId="7" applyNumberFormat="1" applyFont="1" applyFill="1" applyBorder="1" applyAlignment="1">
      <alignment vertical="top"/>
    </xf>
    <xf numFmtId="9" fontId="64" fillId="21" borderId="6" xfId="2" applyFont="1" applyFill="1" applyBorder="1" applyAlignment="1">
      <alignment vertical="top"/>
    </xf>
    <xf numFmtId="0" fontId="64" fillId="4" borderId="6" xfId="4" applyFont="1" applyFill="1" applyBorder="1" applyAlignment="1">
      <alignment vertical="top"/>
    </xf>
    <xf numFmtId="0" fontId="64" fillId="4" borderId="6" xfId="4" applyFont="1" applyFill="1" applyBorder="1" applyAlignment="1">
      <alignment horizontal="center" vertical="top"/>
    </xf>
    <xf numFmtId="0" fontId="64" fillId="4" borderId="6" xfId="4" quotePrefix="1" applyFont="1" applyFill="1" applyBorder="1" applyAlignment="1">
      <alignment horizontal="center" vertical="top"/>
    </xf>
    <xf numFmtId="9" fontId="64" fillId="4" borderId="6" xfId="2" applyFont="1" applyFill="1" applyBorder="1" applyAlignment="1">
      <alignment vertical="top"/>
    </xf>
    <xf numFmtId="9" fontId="64" fillId="2" borderId="6" xfId="51" applyFont="1" applyFill="1" applyBorder="1" applyAlignment="1">
      <alignment vertical="top"/>
    </xf>
    <xf numFmtId="9" fontId="64" fillId="21" borderId="6" xfId="51" applyFont="1" applyFill="1" applyBorder="1" applyAlignment="1">
      <alignment vertical="top"/>
    </xf>
    <xf numFmtId="0" fontId="64" fillId="4" borderId="6" xfId="4" applyFont="1" applyFill="1" applyBorder="1" applyAlignment="1">
      <alignment vertical="top" wrapText="1"/>
    </xf>
    <xf numFmtId="0" fontId="90" fillId="36" borderId="6" xfId="4" applyFont="1" applyFill="1" applyBorder="1"/>
    <xf numFmtId="0" fontId="64" fillId="21" borderId="6" xfId="4" applyFont="1" applyFill="1" applyBorder="1"/>
    <xf numFmtId="0" fontId="64" fillId="4" borderId="6" xfId="4" applyFont="1" applyFill="1" applyBorder="1"/>
    <xf numFmtId="0" fontId="90" fillId="36" borderId="6" xfId="4" applyFont="1" applyFill="1" applyBorder="1" applyAlignment="1">
      <alignment horizontal="center"/>
    </xf>
    <xf numFmtId="0" fontId="90" fillId="21" borderId="6" xfId="4" applyFont="1" applyFill="1" applyBorder="1" applyAlignment="1">
      <alignment horizontal="center" vertical="top"/>
    </xf>
    <xf numFmtId="0" fontId="64" fillId="36" borderId="6" xfId="4" applyFont="1" applyFill="1" applyBorder="1" applyAlignment="1">
      <alignment horizontal="center" vertical="top"/>
    </xf>
    <xf numFmtId="0" fontId="90" fillId="36" borderId="6" xfId="4" applyFont="1" applyFill="1" applyBorder="1" applyAlignment="1">
      <alignment wrapText="1"/>
    </xf>
    <xf numFmtId="0" fontId="64" fillId="4" borderId="6" xfId="4" applyFont="1" applyFill="1" applyBorder="1" applyAlignment="1">
      <alignment wrapText="1"/>
    </xf>
    <xf numFmtId="0" fontId="64" fillId="21" borderId="6" xfId="4" applyFont="1" applyFill="1" applyBorder="1" applyAlignment="1">
      <alignment vertical="top" wrapText="1"/>
    </xf>
    <xf numFmtId="0" fontId="90" fillId="36" borderId="6" xfId="4" applyFont="1" applyFill="1" applyBorder="1" applyAlignment="1">
      <alignment vertical="top" wrapText="1"/>
    </xf>
    <xf numFmtId="0" fontId="64" fillId="4" borderId="6" xfId="4" applyFont="1" applyFill="1" applyBorder="1" applyAlignment="1">
      <alignment horizontal="justify" vertical="top" wrapText="1"/>
    </xf>
    <xf numFmtId="0" fontId="90" fillId="36" borderId="6" xfId="4" applyFont="1" applyFill="1" applyBorder="1" applyAlignment="1">
      <alignment horizontal="right" vertical="top"/>
    </xf>
    <xf numFmtId="0" fontId="90" fillId="36" borderId="6" xfId="4" applyFont="1" applyFill="1" applyBorder="1" applyAlignment="1">
      <alignment horizontal="left" vertical="top"/>
    </xf>
    <xf numFmtId="0" fontId="64" fillId="0" borderId="6" xfId="4" applyFont="1" applyBorder="1"/>
    <xf numFmtId="0" fontId="64" fillId="0" borderId="6" xfId="4" applyFont="1" applyBorder="1" applyAlignment="1">
      <alignment horizontal="center" vertical="top"/>
    </xf>
    <xf numFmtId="0" fontId="64" fillId="0" borderId="6" xfId="4" applyFont="1" applyBorder="1" applyAlignment="1">
      <alignment vertical="top" wrapText="1"/>
    </xf>
    <xf numFmtId="0" fontId="103" fillId="0" borderId="0" xfId="4" applyFont="1"/>
    <xf numFmtId="9" fontId="103" fillId="0" borderId="0" xfId="4" applyNumberFormat="1" applyFont="1"/>
    <xf numFmtId="164" fontId="34" fillId="0" borderId="0" xfId="1" applyFont="1" applyBorder="1"/>
    <xf numFmtId="4" fontId="34" fillId="0" borderId="18" xfId="0" applyNumberFormat="1" applyFont="1" applyBorder="1"/>
    <xf numFmtId="4" fontId="34" fillId="0" borderId="18" xfId="1" applyNumberFormat="1" applyFont="1" applyBorder="1"/>
    <xf numFmtId="164" fontId="34" fillId="0" borderId="0" xfId="1" applyFont="1" applyAlignment="1">
      <alignment horizontal="right"/>
    </xf>
    <xf numFmtId="164" fontId="34" fillId="0" borderId="18" xfId="1" applyFont="1" applyFill="1" applyBorder="1"/>
    <xf numFmtId="164" fontId="34" fillId="0" borderId="0" xfId="1" applyFont="1" applyFill="1" applyAlignment="1">
      <alignment horizontal="right"/>
    </xf>
    <xf numFmtId="43" fontId="34" fillId="0" borderId="18" xfId="3" applyFont="1" applyFill="1" applyBorder="1"/>
    <xf numFmtId="164" fontId="35" fillId="0" borderId="19" xfId="1" applyFont="1" applyBorder="1"/>
    <xf numFmtId="0" fontId="34" fillId="0" borderId="18" xfId="0" applyFont="1" applyBorder="1"/>
    <xf numFmtId="164" fontId="34" fillId="0" borderId="0" xfId="1" applyFont="1" applyFill="1"/>
    <xf numFmtId="0" fontId="35" fillId="0" borderId="0" xfId="0" applyFont="1" applyBorder="1" applyAlignment="1">
      <alignment horizontal="center"/>
    </xf>
    <xf numFmtId="43" fontId="34" fillId="2" borderId="19" xfId="3" applyFont="1" applyFill="1" applyBorder="1" applyProtection="1"/>
    <xf numFmtId="43" fontId="35" fillId="2" borderId="19" xfId="3" applyFont="1" applyFill="1" applyBorder="1" applyProtection="1"/>
    <xf numFmtId="171" fontId="35" fillId="0" borderId="0" xfId="0" applyNumberFormat="1" applyFont="1" applyBorder="1"/>
    <xf numFmtId="171" fontId="34" fillId="0" borderId="0" xfId="0" applyNumberFormat="1" applyFont="1"/>
    <xf numFmtId="0" fontId="34" fillId="0" borderId="0" xfId="0" applyFont="1" applyAlignment="1">
      <alignment horizontal="left"/>
    </xf>
    <xf numFmtId="171" fontId="35" fillId="0" borderId="0" xfId="0" applyNumberFormat="1" applyFont="1"/>
    <xf numFmtId="0" fontId="35" fillId="0" borderId="0" xfId="0" applyFont="1" applyAlignment="1">
      <alignment horizontal="left"/>
    </xf>
    <xf numFmtId="4" fontId="0" fillId="0" borderId="0" xfId="0" applyNumberFormat="1"/>
    <xf numFmtId="0" fontId="15" fillId="0" borderId="0" xfId="0" applyFont="1" applyAlignment="1">
      <alignment horizontal="center"/>
    </xf>
    <xf numFmtId="0" fontId="45" fillId="0" borderId="0" xfId="0" applyFont="1" applyAlignment="1">
      <alignment horizontal="center"/>
    </xf>
    <xf numFmtId="0" fontId="0" fillId="0" borderId="0" xfId="0" applyAlignment="1">
      <alignment horizontal="left"/>
    </xf>
    <xf numFmtId="4" fontId="0" fillId="0" borderId="6" xfId="0" applyNumberFormat="1" applyBorder="1" applyAlignment="1">
      <alignment horizontal="center"/>
    </xf>
    <xf numFmtId="0" fontId="15" fillId="0" borderId="2" xfId="0" applyFont="1" applyBorder="1"/>
    <xf numFmtId="0" fontId="15" fillId="0" borderId="0" xfId="0" applyFont="1"/>
    <xf numFmtId="17" fontId="15" fillId="0" borderId="0" xfId="0" applyNumberFormat="1" applyFont="1"/>
    <xf numFmtId="0" fontId="15" fillId="35" borderId="6" xfId="0" applyFont="1" applyFill="1" applyBorder="1" applyAlignment="1">
      <alignment horizontal="center" vertical="center" wrapText="1"/>
    </xf>
    <xf numFmtId="0" fontId="15" fillId="35" borderId="6" xfId="0" applyFont="1" applyFill="1" applyBorder="1" applyAlignment="1">
      <alignment vertical="center" wrapText="1"/>
    </xf>
    <xf numFmtId="0" fontId="106" fillId="0" borderId="6" xfId="52" applyFont="1" applyBorder="1" applyAlignment="1">
      <alignment vertical="center"/>
    </xf>
    <xf numFmtId="43" fontId="0" fillId="0" borderId="6" xfId="3" applyFont="1" applyFill="1" applyBorder="1" applyAlignment="1"/>
    <xf numFmtId="0" fontId="106" fillId="0" borderId="6" xfId="54" applyFont="1" applyBorder="1" applyAlignment="1">
      <alignment vertical="center"/>
    </xf>
    <xf numFmtId="0" fontId="106" fillId="0" borderId="6" xfId="0" applyFont="1" applyBorder="1" applyAlignment="1">
      <alignment vertical="center"/>
    </xf>
    <xf numFmtId="0" fontId="106" fillId="0" borderId="6" xfId="55" applyFont="1" applyBorder="1" applyAlignment="1">
      <alignment vertical="center"/>
    </xf>
    <xf numFmtId="0" fontId="106" fillId="0" borderId="6" xfId="56" applyFont="1" applyBorder="1" applyAlignment="1">
      <alignment vertical="center"/>
    </xf>
    <xf numFmtId="0" fontId="106" fillId="0" borderId="6" xfId="57" applyFont="1" applyBorder="1" applyAlignment="1">
      <alignment vertical="center"/>
    </xf>
    <xf numFmtId="43" fontId="15" fillId="37" borderId="4" xfId="0" applyNumberFormat="1" applyFont="1" applyFill="1" applyBorder="1"/>
    <xf numFmtId="43" fontId="15" fillId="37" borderId="6" xfId="0" applyNumberFormat="1" applyFont="1" applyFill="1" applyBorder="1"/>
    <xf numFmtId="0" fontId="15" fillId="0" borderId="0" xfId="0" applyFont="1" applyAlignment="1">
      <alignment horizontal="center"/>
    </xf>
    <xf numFmtId="0" fontId="45" fillId="0" borderId="0" xfId="0" applyFont="1" applyAlignment="1">
      <alignment horizontal="center"/>
    </xf>
    <xf numFmtId="43" fontId="24" fillId="0" borderId="0" xfId="3" applyFont="1" applyAlignment="1">
      <alignment horizontal="center"/>
    </xf>
    <xf numFmtId="0" fontId="95" fillId="17" borderId="6" xfId="4" applyFont="1" applyFill="1" applyBorder="1" applyAlignment="1">
      <alignment horizontal="center"/>
    </xf>
    <xf numFmtId="0" fontId="15" fillId="0" borderId="0" xfId="0" applyFont="1" applyBorder="1" applyAlignment="1">
      <alignment horizontal="center"/>
    </xf>
    <xf numFmtId="43" fontId="45" fillId="0" borderId="0" xfId="3" applyFont="1" applyAlignment="1">
      <alignment horizontal="center"/>
    </xf>
    <xf numFmtId="0" fontId="15" fillId="35" borderId="22" xfId="0" applyFont="1" applyFill="1" applyBorder="1" applyAlignment="1">
      <alignment horizontal="center" vertical="center"/>
    </xf>
    <xf numFmtId="0" fontId="15" fillId="35" borderId="23" xfId="0" applyFont="1" applyFill="1" applyBorder="1" applyAlignment="1">
      <alignment horizontal="center" vertical="center"/>
    </xf>
    <xf numFmtId="0" fontId="15" fillId="35" borderId="23" xfId="0" applyFont="1" applyFill="1" applyBorder="1" applyAlignment="1">
      <alignment horizontal="center" vertical="center" wrapText="1"/>
    </xf>
    <xf numFmtId="43" fontId="15" fillId="35" borderId="23" xfId="3" applyFont="1" applyFill="1" applyBorder="1" applyAlignment="1">
      <alignment horizontal="center" vertical="center" wrapText="1"/>
    </xf>
    <xf numFmtId="0" fontId="0" fillId="2" borderId="26" xfId="0" applyFill="1" applyBorder="1" applyAlignment="1">
      <alignment vertical="center" wrapText="1"/>
    </xf>
    <xf numFmtId="14" fontId="0" fillId="2" borderId="6" xfId="0" applyNumberFormat="1" applyFill="1" applyBorder="1"/>
    <xf numFmtId="1" fontId="0" fillId="2" borderId="6" xfId="0" applyNumberFormat="1" applyFill="1" applyBorder="1"/>
    <xf numFmtId="43" fontId="0" fillId="2" borderId="6" xfId="3" applyFont="1" applyFill="1" applyBorder="1"/>
    <xf numFmtId="0" fontId="0" fillId="38" borderId="6" xfId="0" applyFill="1" applyBorder="1"/>
    <xf numFmtId="43" fontId="15" fillId="38" borderId="6" xfId="3" applyFont="1" applyFill="1" applyBorder="1"/>
    <xf numFmtId="1" fontId="0" fillId="0" borderId="27" xfId="0" applyNumberFormat="1" applyBorder="1"/>
    <xf numFmtId="44" fontId="0" fillId="0" borderId="0" xfId="0" applyNumberFormat="1"/>
    <xf numFmtId="1" fontId="0" fillId="0" borderId="6" xfId="0" applyNumberFormat="1" applyBorder="1"/>
    <xf numFmtId="0" fontId="0" fillId="2" borderId="6" xfId="0" applyFill="1" applyBorder="1"/>
    <xf numFmtId="44" fontId="0" fillId="2" borderId="0" xfId="0" applyNumberFormat="1" applyFill="1"/>
    <xf numFmtId="0" fontId="46" fillId="0" borderId="6" xfId="0" applyFont="1" applyBorder="1"/>
    <xf numFmtId="0" fontId="15" fillId="0" borderId="29" xfId="0" applyFont="1" applyBorder="1" applyAlignment="1">
      <alignment horizontal="left" vertical="center" wrapText="1"/>
    </xf>
    <xf numFmtId="0" fontId="46" fillId="2" borderId="6" xfId="0" applyFont="1" applyFill="1" applyBorder="1"/>
    <xf numFmtId="0" fontId="15" fillId="0" borderId="56" xfId="0" applyFont="1" applyBorder="1" applyAlignment="1">
      <alignment horizontal="center" vertical="center" wrapText="1"/>
    </xf>
    <xf numFmtId="0" fontId="0" fillId="2" borderId="6" xfId="0" applyFill="1" applyBorder="1" applyAlignment="1">
      <alignment wrapText="1"/>
    </xf>
    <xf numFmtId="14" fontId="107" fillId="2" borderId="6" xfId="4" applyNumberFormat="1" applyFont="1" applyFill="1" applyBorder="1"/>
    <xf numFmtId="43" fontId="107" fillId="2" borderId="6" xfId="3" applyFont="1" applyFill="1" applyBorder="1"/>
    <xf numFmtId="0" fontId="0" fillId="39" borderId="6" xfId="0" applyFill="1" applyBorder="1"/>
    <xf numFmtId="43" fontId="15" fillId="39" borderId="6" xfId="3" applyFont="1" applyFill="1" applyBorder="1"/>
    <xf numFmtId="0" fontId="15" fillId="39" borderId="0" xfId="0" applyFont="1" applyFill="1" applyAlignment="1">
      <alignment horizontal="center" vertical="center" wrapText="1"/>
    </xf>
    <xf numFmtId="0" fontId="0" fillId="39" borderId="0" xfId="0" applyFill="1"/>
    <xf numFmtId="43" fontId="15" fillId="39" borderId="0" xfId="3" applyFont="1" applyFill="1"/>
    <xf numFmtId="43" fontId="0" fillId="0" borderId="0" xfId="3" applyFont="1" applyAlignment="1">
      <alignment horizontal="left"/>
    </xf>
    <xf numFmtId="43" fontId="15" fillId="0" borderId="0" xfId="3" applyFont="1" applyAlignment="1">
      <alignment horizontal="center"/>
    </xf>
    <xf numFmtId="164" fontId="8" fillId="0" borderId="0" xfId="1" applyFont="1" applyBorder="1"/>
    <xf numFmtId="0" fontId="8" fillId="0" borderId="0" xfId="0" applyFont="1" applyBorder="1"/>
    <xf numFmtId="164" fontId="8" fillId="0" borderId="0" xfId="1" applyFont="1" applyBorder="1" applyAlignment="1"/>
    <xf numFmtId="0" fontId="8" fillId="0" borderId="0" xfId="0" applyFont="1" applyAlignment="1"/>
    <xf numFmtId="164" fontId="8" fillId="0" borderId="7" xfId="1" applyFont="1" applyBorder="1" applyAlignment="1"/>
    <xf numFmtId="43" fontId="15" fillId="35" borderId="6" xfId="3" applyFont="1" applyFill="1" applyBorder="1" applyAlignment="1">
      <alignment vertical="center" wrapText="1"/>
    </xf>
    <xf numFmtId="43" fontId="40" fillId="0" borderId="6" xfId="3" applyFont="1" applyBorder="1" applyAlignment="1">
      <alignment horizontal="left" vertical="center"/>
    </xf>
    <xf numFmtId="0" fontId="15" fillId="2" borderId="6" xfId="0" applyFont="1" applyFill="1" applyBorder="1" applyAlignment="1">
      <alignment horizontal="left" vertical="center" wrapText="1"/>
    </xf>
    <xf numFmtId="0" fontId="0" fillId="2" borderId="6" xfId="0" applyFill="1" applyBorder="1" applyAlignment="1">
      <alignment horizontal="left"/>
    </xf>
    <xf numFmtId="175" fontId="15" fillId="2" borderId="6" xfId="0" applyNumberFormat="1" applyFont="1" applyFill="1" applyBorder="1"/>
    <xf numFmtId="0" fontId="15" fillId="5" borderId="26" xfId="0" applyFont="1" applyFill="1" applyBorder="1" applyAlignment="1">
      <alignment horizontal="left" vertical="center"/>
    </xf>
    <xf numFmtId="171" fontId="15" fillId="5" borderId="26" xfId="0" applyNumberFormat="1" applyFont="1" applyFill="1" applyBorder="1" applyAlignment="1">
      <alignment horizontal="center" vertical="center" wrapText="1"/>
    </xf>
    <xf numFmtId="0" fontId="15" fillId="5" borderId="26" xfId="0" applyFont="1" applyFill="1" applyBorder="1" applyAlignment="1">
      <alignment horizontal="left" vertical="center" wrapText="1"/>
    </xf>
    <xf numFmtId="0" fontId="15" fillId="5" borderId="26" xfId="0" applyFont="1" applyFill="1" applyBorder="1" applyAlignment="1">
      <alignment horizontal="center" vertical="center" wrapText="1"/>
    </xf>
    <xf numFmtId="43" fontId="15" fillId="5" borderId="26" xfId="3" applyFont="1" applyFill="1" applyBorder="1" applyAlignment="1">
      <alignment horizontal="right" vertical="center" wrapText="1"/>
    </xf>
    <xf numFmtId="43" fontId="15" fillId="5" borderId="26" xfId="3" applyFont="1" applyFill="1" applyBorder="1" applyAlignment="1">
      <alignment horizontal="center" vertical="center" wrapText="1"/>
    </xf>
    <xf numFmtId="0" fontId="15" fillId="5" borderId="26" xfId="0" applyFont="1" applyFill="1" applyBorder="1" applyAlignment="1">
      <alignment horizontal="center" vertical="center"/>
    </xf>
    <xf numFmtId="0" fontId="0" fillId="0" borderId="58" xfId="0" applyFont="1" applyFill="1" applyBorder="1" applyAlignment="1">
      <alignment horizontal="left"/>
    </xf>
    <xf numFmtId="171" fontId="0" fillId="0" borderId="59" xfId="0" applyNumberFormat="1" applyBorder="1"/>
    <xf numFmtId="0" fontId="0" fillId="0" borderId="59" xfId="0" applyFont="1" applyFill="1" applyBorder="1" applyAlignment="1">
      <alignment horizontal="left"/>
    </xf>
    <xf numFmtId="0" fontId="0" fillId="0" borderId="59" xfId="0" applyBorder="1"/>
    <xf numFmtId="43" fontId="0" fillId="0" borderId="59" xfId="3" applyFont="1" applyBorder="1" applyAlignment="1">
      <alignment horizontal="right"/>
    </xf>
    <xf numFmtId="43" fontId="0" fillId="0" borderId="59" xfId="3" applyFont="1" applyFill="1" applyBorder="1"/>
    <xf numFmtId="43" fontId="64" fillId="0" borderId="59" xfId="3" applyFont="1" applyFill="1" applyBorder="1"/>
    <xf numFmtId="175" fontId="0" fillId="2" borderId="60" xfId="0" applyNumberFormat="1" applyFill="1" applyBorder="1"/>
    <xf numFmtId="0" fontId="0" fillId="0" borderId="36" xfId="0" applyFont="1" applyFill="1" applyBorder="1" applyAlignment="1">
      <alignment horizontal="left"/>
    </xf>
    <xf numFmtId="175" fontId="0" fillId="2" borderId="35" xfId="0" applyNumberFormat="1" applyFill="1" applyBorder="1"/>
    <xf numFmtId="43" fontId="15" fillId="5" borderId="38" xfId="3" applyFont="1" applyFill="1" applyBorder="1" applyAlignment="1">
      <alignment horizontal="right"/>
    </xf>
    <xf numFmtId="176" fontId="102" fillId="29" borderId="31" xfId="7" applyNumberFormat="1" applyFont="1" applyFill="1" applyBorder="1" applyAlignment="1">
      <alignment vertical="top"/>
    </xf>
    <xf numFmtId="176" fontId="90" fillId="36" borderId="57" xfId="7" applyNumberFormat="1" applyFont="1" applyFill="1" applyBorder="1" applyAlignment="1">
      <alignment vertical="top"/>
    </xf>
    <xf numFmtId="176" fontId="90" fillId="36" borderId="6" xfId="7" applyNumberFormat="1" applyFont="1" applyFill="1" applyBorder="1" applyAlignment="1">
      <alignment vertical="top"/>
    </xf>
    <xf numFmtId="176" fontId="64" fillId="4" borderId="6" xfId="7" applyNumberFormat="1" applyFont="1" applyFill="1" applyBorder="1" applyAlignment="1">
      <alignment vertical="top"/>
    </xf>
    <xf numFmtId="176" fontId="64" fillId="0" borderId="6" xfId="7" applyNumberFormat="1" applyFont="1" applyFill="1" applyBorder="1" applyAlignment="1">
      <alignment vertical="top"/>
    </xf>
    <xf numFmtId="14" fontId="0" fillId="0" borderId="6" xfId="0" applyNumberFormat="1" applyFill="1" applyBorder="1"/>
    <xf numFmtId="1" fontId="0" fillId="0" borderId="6" xfId="0" applyNumberFormat="1" applyFill="1" applyBorder="1"/>
    <xf numFmtId="43" fontId="46" fillId="0" borderId="6" xfId="3" applyFont="1" applyBorder="1"/>
    <xf numFmtId="0" fontId="46" fillId="0" borderId="6" xfId="0" applyFont="1" applyFill="1" applyBorder="1"/>
    <xf numFmtId="0" fontId="0" fillId="0" borderId="6" xfId="0" applyFill="1" applyBorder="1"/>
    <xf numFmtId="43" fontId="15" fillId="0" borderId="6" xfId="3" applyFont="1" applyFill="1" applyBorder="1"/>
    <xf numFmtId="0" fontId="0" fillId="0" borderId="26" xfId="0" applyFont="1" applyFill="1" applyBorder="1" applyAlignment="1">
      <alignment wrapText="1"/>
    </xf>
    <xf numFmtId="14" fontId="107" fillId="0" borderId="6" xfId="4" applyNumberFormat="1" applyFont="1" applyFill="1" applyBorder="1"/>
    <xf numFmtId="1" fontId="0" fillId="0" borderId="6" xfId="0" applyNumberFormat="1" applyFont="1" applyFill="1" applyBorder="1"/>
    <xf numFmtId="43" fontId="110" fillId="0" borderId="6" xfId="3" applyFont="1" applyFill="1" applyBorder="1"/>
    <xf numFmtId="0" fontId="0" fillId="0" borderId="6" xfId="0" applyFont="1" applyFill="1" applyBorder="1"/>
    <xf numFmtId="0" fontId="0" fillId="0" borderId="6" xfId="0" applyFont="1" applyFill="1" applyBorder="1" applyAlignment="1">
      <alignment wrapText="1"/>
    </xf>
    <xf numFmtId="43" fontId="107" fillId="0" borderId="6" xfId="3" applyFont="1" applyFill="1" applyBorder="1"/>
    <xf numFmtId="0" fontId="0" fillId="0" borderId="26" xfId="0" applyFont="1" applyFill="1" applyBorder="1"/>
    <xf numFmtId="0" fontId="109" fillId="40" borderId="6" xfId="0" applyFont="1" applyFill="1" applyBorder="1" applyAlignment="1">
      <alignment horizontal="center"/>
    </xf>
    <xf numFmtId="0" fontId="109" fillId="40" borderId="30" xfId="0" applyFont="1" applyFill="1" applyBorder="1"/>
    <xf numFmtId="43" fontId="109" fillId="0" borderId="0" xfId="3" applyFont="1"/>
    <xf numFmtId="0" fontId="15" fillId="0" borderId="6" xfId="0" applyFont="1" applyBorder="1" applyAlignment="1">
      <alignment horizontal="center"/>
    </xf>
    <xf numFmtId="43" fontId="46" fillId="0" borderId="6" xfId="3" applyFont="1" applyBorder="1" applyAlignment="1">
      <alignment horizontal="center"/>
    </xf>
    <xf numFmtId="43" fontId="15" fillId="0" borderId="6" xfId="3" applyFont="1" applyBorder="1"/>
    <xf numFmtId="43" fontId="34" fillId="0" borderId="0" xfId="0" applyNumberFormat="1" applyFont="1"/>
    <xf numFmtId="0" fontId="15" fillId="0" borderId="0" xfId="0" applyFont="1" applyAlignment="1">
      <alignment horizontal="center"/>
    </xf>
    <xf numFmtId="0" fontId="45" fillId="0" borderId="0" xfId="0" applyFont="1" applyAlignment="1">
      <alignment horizontal="center"/>
    </xf>
    <xf numFmtId="0" fontId="95" fillId="17" borderId="6" xfId="4" applyFont="1" applyFill="1" applyBorder="1" applyAlignment="1">
      <alignment horizontal="center"/>
    </xf>
    <xf numFmtId="0" fontId="34" fillId="0" borderId="0" xfId="0" applyFont="1" applyBorder="1" applyAlignment="1">
      <alignment horizontal="left"/>
    </xf>
    <xf numFmtId="0" fontId="34" fillId="2" borderId="0" xfId="0" applyFont="1" applyFill="1" applyBorder="1" applyAlignment="1">
      <alignment horizontal="center"/>
    </xf>
    <xf numFmtId="0" fontId="35" fillId="0" borderId="0" xfId="0" applyFont="1" applyBorder="1" applyAlignment="1">
      <alignment horizontal="center" vertical="center"/>
    </xf>
    <xf numFmtId="0" fontId="15" fillId="0" borderId="29" xfId="0" applyFont="1" applyBorder="1" applyAlignment="1">
      <alignment horizontal="left" vertical="center" wrapText="1"/>
    </xf>
    <xf numFmtId="0" fontId="4" fillId="0" borderId="0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164" fontId="8" fillId="0" borderId="0" xfId="1" applyFont="1" applyAlignment="1">
      <alignment horizontal="center"/>
    </xf>
    <xf numFmtId="0" fontId="4" fillId="0" borderId="0" xfId="0" applyFont="1" applyAlignment="1">
      <alignment horizontal="left" vertical="center" wrapText="1" indent="1"/>
    </xf>
    <xf numFmtId="0" fontId="8" fillId="0" borderId="7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164" fontId="8" fillId="0" borderId="7" xfId="1" applyFont="1" applyBorder="1" applyAlignment="1">
      <alignment horizontal="center"/>
    </xf>
    <xf numFmtId="0" fontId="7" fillId="0" borderId="0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164" fontId="28" fillId="0" borderId="7" xfId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wrapText="1"/>
    </xf>
    <xf numFmtId="0" fontId="2" fillId="0" borderId="0" xfId="0" applyFont="1" applyBorder="1" applyAlignment="1">
      <alignment horizontal="center"/>
    </xf>
    <xf numFmtId="43" fontId="8" fillId="0" borderId="7" xfId="3" applyFont="1" applyBorder="1" applyAlignment="1">
      <alignment horizontal="center"/>
    </xf>
    <xf numFmtId="0" fontId="8" fillId="0" borderId="0" xfId="0" applyFont="1" applyAlignment="1">
      <alignment horizontal="center" wrapText="1"/>
    </xf>
    <xf numFmtId="0" fontId="10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top" wrapText="1"/>
    </xf>
    <xf numFmtId="0" fontId="65" fillId="0" borderId="0" xfId="0" applyFont="1" applyFill="1" applyBorder="1" applyAlignment="1">
      <alignment horizontal="center" vertical="center"/>
    </xf>
    <xf numFmtId="0" fontId="41" fillId="0" borderId="0" xfId="0" applyFont="1" applyFill="1" applyBorder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23" fillId="0" borderId="0" xfId="0" applyFont="1" applyAlignment="1">
      <alignment horizontal="left" vertical="center" wrapText="1"/>
    </xf>
    <xf numFmtId="0" fontId="8" fillId="5" borderId="43" xfId="0" applyFont="1" applyFill="1" applyBorder="1" applyAlignment="1">
      <alignment horizontal="center"/>
    </xf>
    <xf numFmtId="0" fontId="8" fillId="5" borderId="44" xfId="0" applyFont="1" applyFill="1" applyBorder="1" applyAlignment="1">
      <alignment horizontal="center"/>
    </xf>
    <xf numFmtId="0" fontId="8" fillId="5" borderId="30" xfId="0" applyFont="1" applyFill="1" applyBorder="1" applyAlignment="1">
      <alignment horizontal="center"/>
    </xf>
    <xf numFmtId="0" fontId="8" fillId="5" borderId="8" xfId="0" applyFont="1" applyFill="1" applyBorder="1" applyAlignment="1">
      <alignment horizontal="center"/>
    </xf>
    <xf numFmtId="0" fontId="8" fillId="9" borderId="30" xfId="0" applyFont="1" applyFill="1" applyBorder="1" applyAlignment="1">
      <alignment horizontal="center"/>
    </xf>
    <xf numFmtId="0" fontId="8" fillId="9" borderId="4" xfId="0" applyFont="1" applyFill="1" applyBorder="1" applyAlignment="1">
      <alignment horizontal="center"/>
    </xf>
    <xf numFmtId="0" fontId="8" fillId="9" borderId="40" xfId="0" applyFont="1" applyFill="1" applyBorder="1" applyAlignment="1">
      <alignment horizontal="center"/>
    </xf>
    <xf numFmtId="0" fontId="45" fillId="0" borderId="0" xfId="0" applyFont="1" applyAlignment="1">
      <alignment horizontal="center"/>
    </xf>
    <xf numFmtId="0" fontId="45" fillId="0" borderId="9" xfId="0" applyFont="1" applyBorder="1" applyAlignment="1">
      <alignment horizontal="center"/>
    </xf>
    <xf numFmtId="0" fontId="8" fillId="5" borderId="41" xfId="0" applyFont="1" applyFill="1" applyBorder="1" applyAlignment="1">
      <alignment horizontal="center"/>
    </xf>
    <xf numFmtId="0" fontId="8" fillId="5" borderId="42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7" xfId="0" applyFont="1" applyBorder="1" applyAlignment="1">
      <alignment horizontal="center" wrapText="1"/>
    </xf>
    <xf numFmtId="0" fontId="8" fillId="7" borderId="6" xfId="0" applyFont="1" applyFill="1" applyBorder="1" applyAlignment="1">
      <alignment horizontal="left" vertical="center"/>
    </xf>
    <xf numFmtId="175" fontId="15" fillId="5" borderId="37" xfId="0" applyNumberFormat="1" applyFont="1" applyFill="1" applyBorder="1" applyAlignment="1">
      <alignment horizontal="center"/>
    </xf>
    <xf numFmtId="175" fontId="15" fillId="5" borderId="38" xfId="0" applyNumberFormat="1" applyFont="1" applyFill="1" applyBorder="1" applyAlignment="1">
      <alignment horizontal="center"/>
    </xf>
    <xf numFmtId="0" fontId="15" fillId="5" borderId="6" xfId="0" applyFont="1" applyFill="1" applyBorder="1" applyAlignment="1">
      <alignment horizontal="center"/>
    </xf>
    <xf numFmtId="0" fontId="44" fillId="0" borderId="0" xfId="0" applyFont="1" applyAlignment="1">
      <alignment horizontal="center"/>
    </xf>
    <xf numFmtId="0" fontId="15" fillId="5" borderId="10" xfId="0" applyFont="1" applyFill="1" applyBorder="1" applyAlignment="1">
      <alignment horizontal="center"/>
    </xf>
    <xf numFmtId="0" fontId="15" fillId="5" borderId="11" xfId="0" applyFont="1" applyFill="1" applyBorder="1" applyAlignment="1">
      <alignment horizontal="center"/>
    </xf>
    <xf numFmtId="0" fontId="15" fillId="5" borderId="14" xfId="0" applyFont="1" applyFill="1" applyBorder="1" applyAlignment="1">
      <alignment horizontal="center"/>
    </xf>
    <xf numFmtId="0" fontId="15" fillId="5" borderId="0" xfId="0" applyFont="1" applyFill="1" applyBorder="1" applyAlignment="1">
      <alignment horizontal="center"/>
    </xf>
    <xf numFmtId="43" fontId="15" fillId="0" borderId="2" xfId="7" applyFont="1" applyBorder="1" applyAlignment="1">
      <alignment horizontal="center"/>
    </xf>
    <xf numFmtId="0" fontId="104" fillId="0" borderId="0" xfId="0" applyFont="1" applyAlignment="1">
      <alignment horizontal="center"/>
    </xf>
    <xf numFmtId="0" fontId="65" fillId="0" borderId="0" xfId="0" applyFont="1" applyAlignment="1">
      <alignment horizontal="center"/>
    </xf>
    <xf numFmtId="0" fontId="15" fillId="37" borderId="30" xfId="0" applyFont="1" applyFill="1" applyBorder="1" applyAlignment="1">
      <alignment horizontal="center"/>
    </xf>
    <xf numFmtId="0" fontId="15" fillId="37" borderId="4" xfId="0" applyFont="1" applyFill="1" applyBorder="1" applyAlignment="1">
      <alignment horizontal="center"/>
    </xf>
    <xf numFmtId="43" fontId="24" fillId="0" borderId="0" xfId="3" applyFont="1" applyAlignment="1">
      <alignment horizontal="center"/>
    </xf>
    <xf numFmtId="9" fontId="100" fillId="19" borderId="26" xfId="51" applyFont="1" applyFill="1" applyBorder="1" applyAlignment="1">
      <alignment horizontal="center" vertical="center"/>
    </xf>
    <xf numFmtId="9" fontId="100" fillId="19" borderId="27" xfId="51" applyFont="1" applyFill="1" applyBorder="1" applyAlignment="1">
      <alignment horizontal="center" vertical="center"/>
    </xf>
    <xf numFmtId="9" fontId="100" fillId="19" borderId="29" xfId="51" applyFont="1" applyFill="1" applyBorder="1" applyAlignment="1">
      <alignment horizontal="center" vertical="center"/>
    </xf>
    <xf numFmtId="0" fontId="95" fillId="19" borderId="26" xfId="4" applyFont="1" applyFill="1" applyBorder="1" applyAlignment="1">
      <alignment horizontal="center" vertical="center" textRotation="90"/>
    </xf>
    <xf numFmtId="0" fontId="95" fillId="19" borderId="29" xfId="4" applyFont="1" applyFill="1" applyBorder="1" applyAlignment="1">
      <alignment horizontal="center" vertical="center" textRotation="90"/>
    </xf>
    <xf numFmtId="0" fontId="28" fillId="19" borderId="26" xfId="4" applyFont="1" applyFill="1" applyBorder="1" applyAlignment="1">
      <alignment horizontal="center" vertical="center" wrapText="1"/>
    </xf>
    <xf numFmtId="0" fontId="28" fillId="19" borderId="29" xfId="4" applyFont="1" applyFill="1" applyBorder="1" applyAlignment="1">
      <alignment horizontal="center" vertical="center" wrapText="1"/>
    </xf>
    <xf numFmtId="0" fontId="99" fillId="19" borderId="26" xfId="4" applyFont="1" applyFill="1" applyBorder="1" applyAlignment="1">
      <alignment horizontal="center" vertical="center" wrapText="1"/>
    </xf>
    <xf numFmtId="0" fontId="99" fillId="19" borderId="29" xfId="4" applyFont="1" applyFill="1" applyBorder="1" applyAlignment="1">
      <alignment horizontal="center" vertical="center" wrapText="1"/>
    </xf>
    <xf numFmtId="0" fontId="95" fillId="19" borderId="26" xfId="4" applyFont="1" applyFill="1" applyBorder="1" applyAlignment="1">
      <alignment horizontal="center" vertical="center" wrapText="1"/>
    </xf>
    <xf numFmtId="0" fontId="95" fillId="19" borderId="27" xfId="4" applyFont="1" applyFill="1" applyBorder="1" applyAlignment="1">
      <alignment horizontal="center" vertical="center" wrapText="1"/>
    </xf>
    <xf numFmtId="0" fontId="95" fillId="19" borderId="29" xfId="4" applyFont="1" applyFill="1" applyBorder="1" applyAlignment="1">
      <alignment horizontal="center" vertical="center" wrapText="1"/>
    </xf>
    <xf numFmtId="0" fontId="95" fillId="17" borderId="6" xfId="4" applyFont="1" applyFill="1" applyBorder="1" applyAlignment="1">
      <alignment horizontal="center"/>
    </xf>
    <xf numFmtId="0" fontId="96" fillId="17" borderId="30" xfId="4" applyFont="1" applyFill="1" applyBorder="1" applyAlignment="1">
      <alignment horizontal="center"/>
    </xf>
    <xf numFmtId="0" fontId="96" fillId="17" borderId="4" xfId="4" applyFont="1" applyFill="1" applyBorder="1" applyAlignment="1">
      <alignment horizontal="center"/>
    </xf>
    <xf numFmtId="0" fontId="97" fillId="19" borderId="6" xfId="4" applyFont="1" applyFill="1" applyBorder="1" applyAlignment="1">
      <alignment horizontal="center" vertical="center"/>
    </xf>
    <xf numFmtId="0" fontId="98" fillId="19" borderId="26" xfId="4" applyFont="1" applyFill="1" applyBorder="1" applyAlignment="1">
      <alignment horizontal="center" vertical="center"/>
    </xf>
    <xf numFmtId="0" fontId="98" fillId="19" borderId="27" xfId="4" applyFont="1" applyFill="1" applyBorder="1" applyAlignment="1">
      <alignment horizontal="center" vertical="center"/>
    </xf>
    <xf numFmtId="0" fontId="98" fillId="19" borderId="29" xfId="4" applyFont="1" applyFill="1" applyBorder="1" applyAlignment="1">
      <alignment horizontal="center" vertical="center"/>
    </xf>
    <xf numFmtId="0" fontId="99" fillId="19" borderId="30" xfId="4" applyFont="1" applyFill="1" applyBorder="1" applyAlignment="1">
      <alignment horizontal="center" vertical="center" wrapText="1"/>
    </xf>
    <xf numFmtId="0" fontId="99" fillId="19" borderId="4" xfId="4" applyFont="1" applyFill="1" applyBorder="1" applyAlignment="1">
      <alignment horizontal="center" vertical="center" wrapText="1"/>
    </xf>
    <xf numFmtId="0" fontId="99" fillId="19" borderId="8" xfId="4" applyFont="1" applyFill="1" applyBorder="1" applyAlignment="1">
      <alignment horizontal="center" vertical="center" wrapText="1"/>
    </xf>
    <xf numFmtId="49" fontId="28" fillId="4" borderId="56" xfId="4" applyNumberFormat="1" applyFont="1" applyFill="1" applyBorder="1" applyAlignment="1">
      <alignment horizontal="center"/>
    </xf>
    <xf numFmtId="49" fontId="28" fillId="4" borderId="0" xfId="4" applyNumberFormat="1" applyFont="1" applyFill="1" applyAlignment="1">
      <alignment horizontal="center"/>
    </xf>
    <xf numFmtId="49" fontId="28" fillId="4" borderId="28" xfId="4" applyNumberFormat="1" applyFont="1" applyFill="1" applyBorder="1" applyAlignment="1">
      <alignment horizontal="center"/>
    </xf>
    <xf numFmtId="0" fontId="86" fillId="2" borderId="56" xfId="4" applyFont="1" applyFill="1" applyBorder="1" applyAlignment="1">
      <alignment horizontal="center"/>
    </xf>
    <xf numFmtId="0" fontId="86" fillId="2" borderId="0" xfId="4" applyFont="1" applyFill="1" applyAlignment="1">
      <alignment horizontal="center"/>
    </xf>
    <xf numFmtId="0" fontId="87" fillId="2" borderId="56" xfId="4" applyFont="1" applyFill="1" applyBorder="1" applyAlignment="1">
      <alignment horizontal="center"/>
    </xf>
    <xf numFmtId="0" fontId="87" fillId="2" borderId="0" xfId="4" applyFont="1" applyFill="1" applyAlignment="1">
      <alignment horizontal="center"/>
    </xf>
    <xf numFmtId="0" fontId="87" fillId="2" borderId="28" xfId="4" applyFont="1" applyFill="1" applyBorder="1" applyAlignment="1">
      <alignment horizontal="center"/>
    </xf>
    <xf numFmtId="0" fontId="88" fillId="10" borderId="56" xfId="4" applyFont="1" applyFill="1" applyBorder="1" applyAlignment="1">
      <alignment horizontal="center"/>
    </xf>
    <xf numFmtId="0" fontId="88" fillId="10" borderId="0" xfId="4" applyFont="1" applyFill="1" applyAlignment="1">
      <alignment horizontal="center"/>
    </xf>
    <xf numFmtId="0" fontId="88" fillId="10" borderId="28" xfId="4" applyFont="1" applyFill="1" applyBorder="1" applyAlignment="1">
      <alignment horizontal="center"/>
    </xf>
    <xf numFmtId="0" fontId="62" fillId="2" borderId="56" xfId="4" applyFont="1" applyFill="1" applyBorder="1" applyAlignment="1">
      <alignment horizontal="center"/>
    </xf>
    <xf numFmtId="0" fontId="62" fillId="2" borderId="0" xfId="4" applyFont="1" applyFill="1" applyAlignment="1">
      <alignment horizontal="center"/>
    </xf>
    <xf numFmtId="0" fontId="62" fillId="2" borderId="28" xfId="4" applyFont="1" applyFill="1" applyBorder="1" applyAlignment="1">
      <alignment horizontal="center"/>
    </xf>
    <xf numFmtId="0" fontId="28" fillId="4" borderId="56" xfId="4" applyFont="1" applyFill="1" applyBorder="1" applyAlignment="1">
      <alignment horizontal="center"/>
    </xf>
    <xf numFmtId="0" fontId="28" fillId="4" borderId="0" xfId="4" applyFont="1" applyFill="1" applyAlignment="1">
      <alignment horizontal="center"/>
    </xf>
    <xf numFmtId="0" fontId="28" fillId="4" borderId="28" xfId="4" applyFont="1" applyFill="1" applyBorder="1" applyAlignment="1">
      <alignment horizontal="center"/>
    </xf>
    <xf numFmtId="0" fontId="35" fillId="0" borderId="0" xfId="0" applyFont="1" applyAlignment="1">
      <alignment horizontal="center"/>
    </xf>
    <xf numFmtId="0" fontId="35" fillId="3" borderId="14" xfId="0" applyFont="1" applyFill="1" applyBorder="1" applyAlignment="1">
      <alignment horizontal="center"/>
    </xf>
    <xf numFmtId="0" fontId="35" fillId="3" borderId="0" xfId="0" applyFont="1" applyFill="1" applyBorder="1" applyAlignment="1">
      <alignment horizontal="center"/>
    </xf>
    <xf numFmtId="0" fontId="34" fillId="2" borderId="0" xfId="0" applyFont="1" applyFill="1" applyBorder="1" applyAlignment="1">
      <alignment horizontal="center"/>
    </xf>
    <xf numFmtId="0" fontId="34" fillId="0" borderId="0" xfId="0" applyFont="1" applyBorder="1" applyAlignment="1">
      <alignment horizontal="center"/>
    </xf>
    <xf numFmtId="0" fontId="35" fillId="0" borderId="7" xfId="0" applyFont="1" applyBorder="1" applyAlignment="1">
      <alignment horizontal="center"/>
    </xf>
    <xf numFmtId="0" fontId="35" fillId="0" borderId="0" xfId="0" applyFont="1" applyBorder="1" applyAlignment="1">
      <alignment horizontal="center" vertical="center"/>
    </xf>
    <xf numFmtId="0" fontId="35" fillId="2" borderId="9" xfId="0" applyFont="1" applyFill="1" applyBorder="1" applyAlignment="1">
      <alignment horizontal="center"/>
    </xf>
    <xf numFmtId="0" fontId="37" fillId="4" borderId="10" xfId="0" applyFont="1" applyFill="1" applyBorder="1" applyAlignment="1">
      <alignment horizontal="center"/>
    </xf>
    <xf numFmtId="0" fontId="37" fillId="4" borderId="11" xfId="0" applyFont="1" applyFill="1" applyBorder="1" applyAlignment="1">
      <alignment horizontal="center"/>
    </xf>
    <xf numFmtId="0" fontId="37" fillId="4" borderId="12" xfId="0" applyFont="1" applyFill="1" applyBorder="1" applyAlignment="1">
      <alignment horizontal="center"/>
    </xf>
    <xf numFmtId="172" fontId="37" fillId="4" borderId="17" xfId="0" applyNumberFormat="1" applyFont="1" applyFill="1" applyBorder="1" applyAlignment="1">
      <alignment horizontal="center"/>
    </xf>
    <xf numFmtId="0" fontId="37" fillId="4" borderId="15" xfId="0" applyFont="1" applyFill="1" applyBorder="1" applyAlignment="1">
      <alignment horizontal="center"/>
    </xf>
    <xf numFmtId="0" fontId="37" fillId="4" borderId="16" xfId="0" applyFont="1" applyFill="1" applyBorder="1" applyAlignment="1">
      <alignment horizontal="center"/>
    </xf>
    <xf numFmtId="0" fontId="34" fillId="0" borderId="14" xfId="0" applyFont="1" applyBorder="1" applyAlignment="1">
      <alignment horizontal="center"/>
    </xf>
    <xf numFmtId="0" fontId="34" fillId="0" borderId="0" xfId="0" applyFont="1" applyBorder="1" applyAlignment="1">
      <alignment horizontal="left"/>
    </xf>
    <xf numFmtId="0" fontId="108" fillId="0" borderId="0" xfId="0" applyFont="1" applyAlignment="1">
      <alignment horizontal="left"/>
    </xf>
    <xf numFmtId="0" fontId="15" fillId="35" borderId="6" xfId="0" applyFont="1" applyFill="1" applyBorder="1" applyAlignment="1">
      <alignment horizontal="center"/>
    </xf>
    <xf numFmtId="0" fontId="15" fillId="0" borderId="5" xfId="0" applyFont="1" applyBorder="1" applyAlignment="1"/>
    <xf numFmtId="0" fontId="15" fillId="38" borderId="6" xfId="0" applyFont="1" applyFill="1" applyBorder="1" applyAlignment="1">
      <alignment horizontal="center" vertical="center" wrapText="1"/>
    </xf>
    <xf numFmtId="0" fontId="15" fillId="0" borderId="26" xfId="0" applyFont="1" applyBorder="1" applyAlignment="1">
      <alignment horizontal="left" vertical="center" wrapText="1"/>
    </xf>
    <xf numFmtId="0" fontId="15" fillId="0" borderId="27" xfId="0" applyFont="1" applyBorder="1" applyAlignment="1">
      <alignment horizontal="left" vertical="center" wrapText="1"/>
    </xf>
    <xf numFmtId="0" fontId="15" fillId="0" borderId="29" xfId="0" applyFont="1" applyBorder="1" applyAlignment="1">
      <alignment horizontal="left" vertical="center" wrapText="1"/>
    </xf>
    <xf numFmtId="0" fontId="15" fillId="0" borderId="27" xfId="0" applyFont="1" applyBorder="1" applyAlignment="1">
      <alignment horizontal="center" vertical="center" wrapText="1"/>
    </xf>
    <xf numFmtId="0" fontId="15" fillId="38" borderId="30" xfId="0" applyFont="1" applyFill="1" applyBorder="1" applyAlignment="1">
      <alignment horizontal="center" vertical="center" wrapText="1"/>
    </xf>
    <xf numFmtId="0" fontId="15" fillId="38" borderId="8" xfId="0" applyFont="1" applyFill="1" applyBorder="1" applyAlignment="1">
      <alignment horizontal="center" vertical="center" wrapText="1"/>
    </xf>
    <xf numFmtId="0" fontId="15" fillId="39" borderId="30" xfId="0" applyFont="1" applyFill="1" applyBorder="1" applyAlignment="1">
      <alignment horizontal="center" vertical="center" wrapText="1"/>
    </xf>
    <xf numFmtId="0" fontId="15" fillId="39" borderId="8" xfId="0" applyFont="1" applyFill="1" applyBorder="1" applyAlignment="1">
      <alignment horizontal="center" vertical="center" wrapText="1"/>
    </xf>
    <xf numFmtId="0" fontId="108" fillId="0" borderId="0" xfId="0" applyFont="1" applyAlignment="1">
      <alignment horizontal="left" vertical="top" wrapText="1"/>
    </xf>
    <xf numFmtId="0" fontId="15" fillId="0" borderId="0" xfId="0" applyFont="1" applyAlignment="1">
      <alignment horizontal="center" wrapText="1"/>
    </xf>
    <xf numFmtId="0" fontId="49" fillId="0" borderId="0" xfId="0" applyFont="1" applyAlignment="1">
      <alignment horizontal="center"/>
    </xf>
    <xf numFmtId="0" fontId="15" fillId="0" borderId="26" xfId="0" applyFont="1" applyBorder="1" applyAlignment="1">
      <alignment horizontal="center" vertical="center" wrapText="1"/>
    </xf>
    <xf numFmtId="0" fontId="15" fillId="0" borderId="29" xfId="0" applyFont="1" applyBorder="1" applyAlignment="1">
      <alignment horizontal="center" vertical="center" wrapText="1"/>
    </xf>
    <xf numFmtId="0" fontId="0" fillId="0" borderId="30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2" borderId="0" xfId="0" applyFill="1" applyAlignment="1">
      <alignment horizontal="left" vertical="top" wrapText="1"/>
    </xf>
    <xf numFmtId="0" fontId="0" fillId="2" borderId="0" xfId="0" applyFill="1" applyAlignment="1">
      <alignment horizontal="left"/>
    </xf>
    <xf numFmtId="0" fontId="15" fillId="0" borderId="5" xfId="0" applyFont="1" applyBorder="1" applyAlignment="1">
      <alignment horizontal="left"/>
    </xf>
    <xf numFmtId="0" fontId="15" fillId="2" borderId="26" xfId="0" applyFont="1" applyFill="1" applyBorder="1" applyAlignment="1">
      <alignment horizontal="center" vertical="center"/>
    </xf>
    <xf numFmtId="0" fontId="15" fillId="2" borderId="27" xfId="0" applyFont="1" applyFill="1" applyBorder="1" applyAlignment="1">
      <alignment horizontal="center" vertical="center"/>
    </xf>
    <xf numFmtId="0" fontId="15" fillId="2" borderId="29" xfId="0" applyFont="1" applyFill="1" applyBorder="1" applyAlignment="1">
      <alignment horizontal="center" vertical="center"/>
    </xf>
    <xf numFmtId="0" fontId="27" fillId="6" borderId="6" xfId="0" applyFont="1" applyFill="1" applyBorder="1" applyAlignment="1">
      <alignment horizontal="center"/>
    </xf>
    <xf numFmtId="0" fontId="36" fillId="2" borderId="9" xfId="0" applyFont="1" applyFill="1" applyBorder="1" applyAlignment="1">
      <alignment horizontal="center"/>
    </xf>
    <xf numFmtId="0" fontId="41" fillId="0" borderId="0" xfId="0" applyFont="1" applyAlignment="1">
      <alignment horizontal="center"/>
    </xf>
    <xf numFmtId="0" fontId="34" fillId="0" borderId="0" xfId="0" applyFont="1" applyBorder="1" applyAlignment="1">
      <alignment horizontal="center" vertical="center"/>
    </xf>
    <xf numFmtId="0" fontId="41" fillId="0" borderId="7" xfId="0" applyFont="1" applyBorder="1" applyAlignment="1">
      <alignment horizontal="center"/>
    </xf>
    <xf numFmtId="0" fontId="41" fillId="0" borderId="0" xfId="0" applyFont="1" applyBorder="1" applyAlignment="1">
      <alignment horizontal="center"/>
    </xf>
    <xf numFmtId="0" fontId="43" fillId="0" borderId="14" xfId="0" applyFont="1" applyBorder="1" applyAlignment="1">
      <alignment horizontal="left"/>
    </xf>
    <xf numFmtId="0" fontId="43" fillId="0" borderId="0" xfId="0" applyFont="1" applyBorder="1" applyAlignment="1">
      <alignment horizontal="left"/>
    </xf>
    <xf numFmtId="0" fontId="27" fillId="3" borderId="6" xfId="0" applyFont="1" applyFill="1" applyBorder="1" applyAlignment="1">
      <alignment horizontal="right"/>
    </xf>
    <xf numFmtId="0" fontId="25" fillId="0" borderId="0" xfId="4" applyFont="1" applyAlignment="1">
      <alignment horizontal="center"/>
    </xf>
    <xf numFmtId="0" fontId="27" fillId="0" borderId="0" xfId="4" applyFont="1" applyAlignment="1">
      <alignment horizontal="center"/>
    </xf>
    <xf numFmtId="17" fontId="28" fillId="0" borderId="0" xfId="4" applyNumberFormat="1" applyFont="1" applyAlignment="1">
      <alignment horizontal="center" vertical="center"/>
    </xf>
    <xf numFmtId="0" fontId="17" fillId="0" borderId="0" xfId="0" applyFont="1" applyAlignment="1">
      <alignment wrapText="1"/>
    </xf>
    <xf numFmtId="0" fontId="17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171" fontId="0" fillId="2" borderId="6" xfId="0" applyNumberFormat="1" applyFill="1" applyBorder="1"/>
    <xf numFmtId="0" fontId="0" fillId="0" borderId="43" xfId="0" applyFont="1" applyFill="1" applyBorder="1" applyAlignment="1">
      <alignment horizontal="left"/>
    </xf>
    <xf numFmtId="171" fontId="0" fillId="0" borderId="26" xfId="0" applyNumberFormat="1" applyBorder="1"/>
    <xf numFmtId="43" fontId="6" fillId="0" borderId="26" xfId="3" applyFont="1" applyFill="1" applyBorder="1" applyAlignment="1"/>
    <xf numFmtId="43" fontId="0" fillId="0" borderId="26" xfId="3" applyFont="1" applyBorder="1"/>
    <xf numFmtId="43" fontId="0" fillId="0" borderId="26" xfId="3" applyFont="1" applyFill="1" applyBorder="1"/>
    <xf numFmtId="43" fontId="0" fillId="0" borderId="26" xfId="3" applyFont="1" applyFill="1" applyBorder="1" applyAlignment="1"/>
    <xf numFmtId="175" fontId="15" fillId="5" borderId="38" xfId="3" applyNumberFormat="1" applyFont="1" applyFill="1" applyBorder="1" applyAlignment="1">
      <alignment horizontal="right"/>
    </xf>
    <xf numFmtId="0" fontId="111" fillId="0" borderId="0" xfId="0" applyFont="1" applyAlignment="1">
      <alignment horizontal="left"/>
    </xf>
    <xf numFmtId="164" fontId="111" fillId="0" borderId="0" xfId="1" applyFont="1"/>
    <xf numFmtId="171" fontId="15" fillId="35" borderId="6" xfId="0" applyNumberFormat="1" applyFont="1" applyFill="1" applyBorder="1" applyAlignment="1">
      <alignment vertical="center" wrapText="1"/>
    </xf>
    <xf numFmtId="171" fontId="40" fillId="0" borderId="6" xfId="3" applyNumberFormat="1" applyFont="1" applyBorder="1" applyAlignment="1">
      <alignment horizontal="left" vertical="center"/>
    </xf>
    <xf numFmtId="171" fontId="40" fillId="0" borderId="8" xfId="3" applyNumberFormat="1" applyFont="1" applyBorder="1" applyAlignment="1">
      <alignment horizontal="left" vertical="center"/>
    </xf>
    <xf numFmtId="0" fontId="88" fillId="2" borderId="56" xfId="4" applyFont="1" applyFill="1" applyBorder="1" applyAlignment="1">
      <alignment horizontal="center"/>
    </xf>
    <xf numFmtId="0" fontId="88" fillId="2" borderId="0" xfId="4" applyFont="1" applyFill="1" applyAlignment="1">
      <alignment horizontal="center"/>
    </xf>
    <xf numFmtId="0" fontId="88" fillId="2" borderId="28" xfId="4" applyFont="1" applyFill="1" applyBorder="1" applyAlignment="1">
      <alignment horizontal="center"/>
    </xf>
    <xf numFmtId="4" fontId="90" fillId="2" borderId="28" xfId="4" applyNumberFormat="1" applyFont="1" applyFill="1" applyBorder="1" applyAlignment="1">
      <alignment horizontal="center"/>
    </xf>
    <xf numFmtId="0" fontId="96" fillId="17" borderId="8" xfId="4" applyFont="1" applyFill="1" applyBorder="1" applyAlignment="1">
      <alignment horizontal="center"/>
    </xf>
    <xf numFmtId="43" fontId="23" fillId="0" borderId="0" xfId="0" applyNumberFormat="1" applyFont="1" applyBorder="1" applyAlignment="1">
      <alignment horizontal="right"/>
    </xf>
  </cellXfs>
  <cellStyles count="58">
    <cellStyle name="20% - Accent1 2" xfId="10"/>
    <cellStyle name="20% - Accent2 2" xfId="11"/>
    <cellStyle name="20% - Accent3 2" xfId="12"/>
    <cellStyle name="20% - Accent4 2" xfId="13"/>
    <cellStyle name="20% - Accent5 2" xfId="14"/>
    <cellStyle name="20% - Accent6 2" xfId="15"/>
    <cellStyle name="40% - Accent1 2" xfId="16"/>
    <cellStyle name="40% - Accent2 2" xfId="17"/>
    <cellStyle name="40% - Accent3 2" xfId="18"/>
    <cellStyle name="40% - Accent4 2" xfId="19"/>
    <cellStyle name="40% - Accent5 2" xfId="20"/>
    <cellStyle name="40% - Accent6 2" xfId="21"/>
    <cellStyle name="60% - Accent1 2" xfId="22"/>
    <cellStyle name="60% - Accent2 2" xfId="23"/>
    <cellStyle name="60% - Accent3 2" xfId="24"/>
    <cellStyle name="60% - Accent4 2" xfId="25"/>
    <cellStyle name="60% - Accent5 2" xfId="26"/>
    <cellStyle name="60% - Accent6 2" xfId="27"/>
    <cellStyle name="Accent1 2" xfId="28"/>
    <cellStyle name="Accent2 2" xfId="29"/>
    <cellStyle name="Accent3 2" xfId="30"/>
    <cellStyle name="Accent4 2" xfId="31"/>
    <cellStyle name="Accent5 2" xfId="32"/>
    <cellStyle name="Accent6 2" xfId="33"/>
    <cellStyle name="Bad 2" xfId="34"/>
    <cellStyle name="Calculation 2" xfId="35"/>
    <cellStyle name="Check Cell 2" xfId="36"/>
    <cellStyle name="Explanatory Text 2" xfId="37"/>
    <cellStyle name="Good 2" xfId="38"/>
    <cellStyle name="Heading 1 2" xfId="39"/>
    <cellStyle name="Heading 2 2" xfId="40"/>
    <cellStyle name="Heading 3 2" xfId="41"/>
    <cellStyle name="Heading 4 2" xfId="42"/>
    <cellStyle name="Input 2" xfId="43"/>
    <cellStyle name="Linked Cell 2" xfId="44"/>
    <cellStyle name="Millares" xfId="1" builtinId="3"/>
    <cellStyle name="Millares 2" xfId="3"/>
    <cellStyle name="Millares 2 2" xfId="7"/>
    <cellStyle name="Moneda" xfId="8" builtinId="4"/>
    <cellStyle name="Neutral 2" xfId="45"/>
    <cellStyle name="Normal" xfId="0" builtinId="0"/>
    <cellStyle name="Normal 10" xfId="54"/>
    <cellStyle name="Normal 11" xfId="55"/>
    <cellStyle name="Normal 12 3" xfId="57"/>
    <cellStyle name="Normal 17" xfId="52"/>
    <cellStyle name="Normal 2" xfId="9"/>
    <cellStyle name="Normal 2 2" xfId="4"/>
    <cellStyle name="Normal 2 4" xfId="53"/>
    <cellStyle name="Normal 3" xfId="5"/>
    <cellStyle name="Normal 3 10" xfId="6"/>
    <cellStyle name="Normal 9" xfId="56"/>
    <cellStyle name="Note 2" xfId="46"/>
    <cellStyle name="Output 2" xfId="47"/>
    <cellStyle name="Porcentaje" xfId="2" builtinId="5"/>
    <cellStyle name="Porcentaje 2" xfId="51"/>
    <cellStyle name="Title 2" xfId="48"/>
    <cellStyle name="Total 2" xfId="49"/>
    <cellStyle name="Warning Text 2" xfId="5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7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2.xml"/><Relationship Id="rId42" Type="http://schemas.openxmlformats.org/officeDocument/2006/relationships/externalLink" Target="externalLinks/externalLink10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5.xml"/><Relationship Id="rId40" Type="http://schemas.openxmlformats.org/officeDocument/2006/relationships/externalLink" Target="externalLinks/externalLink8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3.xml"/><Relationship Id="rId43" Type="http://schemas.openxmlformats.org/officeDocument/2006/relationships/externalLink" Target="externalLinks/externalLink11.xml"/><Relationship Id="rId48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38" Type="http://schemas.openxmlformats.org/officeDocument/2006/relationships/externalLink" Target="externalLinks/externalLink6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104775</xdr:rowOff>
    </xdr:from>
    <xdr:to>
      <xdr:col>12</xdr:col>
      <xdr:colOff>152400</xdr:colOff>
      <xdr:row>15</xdr:row>
      <xdr:rowOff>85725</xdr:rowOff>
    </xdr:to>
    <xdr:pic>
      <xdr:nvPicPr>
        <xdr:cNvPr id="3" name="Imagen 2" descr="C:\Users\contabilidad\Downloads\Fil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5275"/>
          <a:ext cx="8724900" cy="2647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</xdr:row>
      <xdr:rowOff>127000</xdr:rowOff>
    </xdr:from>
    <xdr:to>
      <xdr:col>15</xdr:col>
      <xdr:colOff>222250</xdr:colOff>
      <xdr:row>51</xdr:row>
      <xdr:rowOff>149225</xdr:rowOff>
    </xdr:to>
    <xdr:pic>
      <xdr:nvPicPr>
        <xdr:cNvPr id="4" name="Imagen 3" descr="C:\Users\contabilidad\Downloads\File (1)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" t="-10778" r="-1533" b="1"/>
        <a:stretch/>
      </xdr:blipFill>
      <xdr:spPr bwMode="auto">
        <a:xfrm>
          <a:off x="0" y="3175000"/>
          <a:ext cx="10937875" cy="668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704850</xdr:colOff>
      <xdr:row>3</xdr:row>
      <xdr:rowOff>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xmlns="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63" t="39633" r="21451" b="33333"/>
        <a:stretch>
          <a:fillRect/>
        </a:stretch>
      </xdr:blipFill>
      <xdr:spPr bwMode="auto">
        <a:xfrm>
          <a:off x="0" y="0"/>
          <a:ext cx="29908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200025</xdr:colOff>
      <xdr:row>3</xdr:row>
      <xdr:rowOff>76200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00000000-0008-0000-0D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63" t="39633" r="21451" b="33333"/>
        <a:stretch>
          <a:fillRect/>
        </a:stretch>
      </xdr:blipFill>
      <xdr:spPr bwMode="auto">
        <a:xfrm>
          <a:off x="0" y="0"/>
          <a:ext cx="29908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200025</xdr:colOff>
      <xdr:row>3</xdr:row>
      <xdr:rowOff>76200</xdr:rowOff>
    </xdr:to>
    <xdr:pic>
      <xdr:nvPicPr>
        <xdr:cNvPr id="4" name="Imagen 2">
          <a:extLst>
            <a:ext uri="{FF2B5EF4-FFF2-40B4-BE49-F238E27FC236}">
              <a16:creationId xmlns:a16="http://schemas.microsoft.com/office/drawing/2014/main" xmlns="" id="{00000000-0008-0000-0D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63" t="39633" r="21451" b="33333"/>
        <a:stretch>
          <a:fillRect/>
        </a:stretch>
      </xdr:blipFill>
      <xdr:spPr bwMode="auto">
        <a:xfrm>
          <a:off x="0" y="0"/>
          <a:ext cx="29908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200025</xdr:colOff>
      <xdr:row>3</xdr:row>
      <xdr:rowOff>76200</xdr:rowOff>
    </xdr:to>
    <xdr:pic>
      <xdr:nvPicPr>
        <xdr:cNvPr id="5" name="Imagen 2">
          <a:extLst>
            <a:ext uri="{FF2B5EF4-FFF2-40B4-BE49-F238E27FC236}">
              <a16:creationId xmlns:a16="http://schemas.microsoft.com/office/drawing/2014/main" xmlns="" id="{00000000-0008-0000-0D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63" t="39633" r="21451" b="33333"/>
        <a:stretch>
          <a:fillRect/>
        </a:stretch>
      </xdr:blipFill>
      <xdr:spPr bwMode="auto">
        <a:xfrm>
          <a:off x="0" y="0"/>
          <a:ext cx="29908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200025</xdr:colOff>
      <xdr:row>3</xdr:row>
      <xdr:rowOff>76200</xdr:rowOff>
    </xdr:to>
    <xdr:pic>
      <xdr:nvPicPr>
        <xdr:cNvPr id="6" name="Imagen 2">
          <a:extLst>
            <a:ext uri="{FF2B5EF4-FFF2-40B4-BE49-F238E27FC236}">
              <a16:creationId xmlns:a16="http://schemas.microsoft.com/office/drawing/2014/main" xmlns="" id="{00000000-0008-0000-0D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63" t="39633" r="21451" b="33333"/>
        <a:stretch>
          <a:fillRect/>
        </a:stretch>
      </xdr:blipFill>
      <xdr:spPr bwMode="auto">
        <a:xfrm>
          <a:off x="0" y="0"/>
          <a:ext cx="29908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200025</xdr:colOff>
      <xdr:row>3</xdr:row>
      <xdr:rowOff>76200</xdr:rowOff>
    </xdr:to>
    <xdr:pic>
      <xdr:nvPicPr>
        <xdr:cNvPr id="7" name="Imagen 2">
          <a:extLst>
            <a:ext uri="{FF2B5EF4-FFF2-40B4-BE49-F238E27FC236}">
              <a16:creationId xmlns:a16="http://schemas.microsoft.com/office/drawing/2014/main" xmlns="" id="{00000000-0008-0000-0D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63" t="39633" r="21451" b="33333"/>
        <a:stretch>
          <a:fillRect/>
        </a:stretch>
      </xdr:blipFill>
      <xdr:spPr bwMode="auto">
        <a:xfrm>
          <a:off x="0" y="0"/>
          <a:ext cx="29908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200025</xdr:colOff>
      <xdr:row>3</xdr:row>
      <xdr:rowOff>76200</xdr:rowOff>
    </xdr:to>
    <xdr:pic>
      <xdr:nvPicPr>
        <xdr:cNvPr id="8" name="Imagen 2">
          <a:extLst>
            <a:ext uri="{FF2B5EF4-FFF2-40B4-BE49-F238E27FC236}">
              <a16:creationId xmlns:a16="http://schemas.microsoft.com/office/drawing/2014/main" xmlns="" id="{00000000-0008-0000-0D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63" t="39633" r="21451" b="33333"/>
        <a:stretch>
          <a:fillRect/>
        </a:stretch>
      </xdr:blipFill>
      <xdr:spPr bwMode="auto">
        <a:xfrm>
          <a:off x="0" y="0"/>
          <a:ext cx="29908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200025</xdr:colOff>
      <xdr:row>3</xdr:row>
      <xdr:rowOff>76200</xdr:rowOff>
    </xdr:to>
    <xdr:pic>
      <xdr:nvPicPr>
        <xdr:cNvPr id="9" name="Imagen 2">
          <a:extLst>
            <a:ext uri="{FF2B5EF4-FFF2-40B4-BE49-F238E27FC236}">
              <a16:creationId xmlns:a16="http://schemas.microsoft.com/office/drawing/2014/main" xmlns="" id="{00000000-0008-0000-0D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63" t="39633" r="21451" b="33333"/>
        <a:stretch>
          <a:fillRect/>
        </a:stretch>
      </xdr:blipFill>
      <xdr:spPr bwMode="auto">
        <a:xfrm>
          <a:off x="0" y="0"/>
          <a:ext cx="29908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200025</xdr:colOff>
      <xdr:row>3</xdr:row>
      <xdr:rowOff>76200</xdr:rowOff>
    </xdr:to>
    <xdr:pic>
      <xdr:nvPicPr>
        <xdr:cNvPr id="11" name="Imagen 2">
          <a:extLst>
            <a:ext uri="{FF2B5EF4-FFF2-40B4-BE49-F238E27FC236}">
              <a16:creationId xmlns:a16="http://schemas.microsoft.com/office/drawing/2014/main" xmlns="" id="{00000000-0008-0000-0D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63" t="39633" r="21451" b="33333"/>
        <a:stretch>
          <a:fillRect/>
        </a:stretch>
      </xdr:blipFill>
      <xdr:spPr bwMode="auto">
        <a:xfrm>
          <a:off x="0" y="0"/>
          <a:ext cx="29908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704850</xdr:colOff>
      <xdr:row>3</xdr:row>
      <xdr:rowOff>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xmlns="" id="{00000000-0008-0000-0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63" t="39633" r="21451" b="33333"/>
        <a:stretch>
          <a:fillRect/>
        </a:stretch>
      </xdr:blipFill>
      <xdr:spPr bwMode="auto">
        <a:xfrm>
          <a:off x="0" y="0"/>
          <a:ext cx="29908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200025</xdr:colOff>
      <xdr:row>3</xdr:row>
      <xdr:rowOff>76200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00000000-0008-0000-0E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63" t="39633" r="21451" b="33333"/>
        <a:stretch>
          <a:fillRect/>
        </a:stretch>
      </xdr:blipFill>
      <xdr:spPr bwMode="auto">
        <a:xfrm>
          <a:off x="0" y="0"/>
          <a:ext cx="29908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200025</xdr:colOff>
      <xdr:row>3</xdr:row>
      <xdr:rowOff>76200</xdr:rowOff>
    </xdr:to>
    <xdr:pic>
      <xdr:nvPicPr>
        <xdr:cNvPr id="4" name="Imagen 2">
          <a:extLst>
            <a:ext uri="{FF2B5EF4-FFF2-40B4-BE49-F238E27FC236}">
              <a16:creationId xmlns:a16="http://schemas.microsoft.com/office/drawing/2014/main" xmlns="" id="{00000000-0008-0000-0E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63" t="39633" r="21451" b="33333"/>
        <a:stretch>
          <a:fillRect/>
        </a:stretch>
      </xdr:blipFill>
      <xdr:spPr bwMode="auto">
        <a:xfrm>
          <a:off x="0" y="0"/>
          <a:ext cx="29908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200025</xdr:colOff>
      <xdr:row>3</xdr:row>
      <xdr:rowOff>76200</xdr:rowOff>
    </xdr:to>
    <xdr:pic>
      <xdr:nvPicPr>
        <xdr:cNvPr id="5" name="Imagen 2">
          <a:extLst>
            <a:ext uri="{FF2B5EF4-FFF2-40B4-BE49-F238E27FC236}">
              <a16:creationId xmlns:a16="http://schemas.microsoft.com/office/drawing/2014/main" xmlns="" id="{00000000-0008-0000-0E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63" t="39633" r="21451" b="33333"/>
        <a:stretch>
          <a:fillRect/>
        </a:stretch>
      </xdr:blipFill>
      <xdr:spPr bwMode="auto">
        <a:xfrm>
          <a:off x="0" y="0"/>
          <a:ext cx="29908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200025</xdr:colOff>
      <xdr:row>3</xdr:row>
      <xdr:rowOff>76200</xdr:rowOff>
    </xdr:to>
    <xdr:pic>
      <xdr:nvPicPr>
        <xdr:cNvPr id="7" name="Imagen 2">
          <a:extLst>
            <a:ext uri="{FF2B5EF4-FFF2-40B4-BE49-F238E27FC236}">
              <a16:creationId xmlns:a16="http://schemas.microsoft.com/office/drawing/2014/main" xmlns="" id="{00000000-0008-0000-0E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63" t="39633" r="21451" b="33333"/>
        <a:stretch>
          <a:fillRect/>
        </a:stretch>
      </xdr:blipFill>
      <xdr:spPr bwMode="auto">
        <a:xfrm>
          <a:off x="0" y="0"/>
          <a:ext cx="29908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704850</xdr:colOff>
      <xdr:row>2</xdr:row>
      <xdr:rowOff>180975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xmlns="" id="{00000000-0008-0000-0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63" t="39633" r="21451" b="33333"/>
        <a:stretch>
          <a:fillRect/>
        </a:stretch>
      </xdr:blipFill>
      <xdr:spPr bwMode="auto">
        <a:xfrm>
          <a:off x="0" y="0"/>
          <a:ext cx="29908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6350</xdr:colOff>
      <xdr:row>3</xdr:row>
      <xdr:rowOff>76200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xmlns="" id="{00000000-0008-0000-1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63" t="39633" r="21451" b="33333"/>
        <a:stretch>
          <a:fillRect/>
        </a:stretch>
      </xdr:blipFill>
      <xdr:spPr bwMode="auto">
        <a:xfrm>
          <a:off x="0" y="0"/>
          <a:ext cx="2181225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809625</xdr:colOff>
      <xdr:row>3</xdr:row>
      <xdr:rowOff>76200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xmlns="" id="{00000000-0008-0000-1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63" t="39633" r="21451" b="33333"/>
        <a:stretch>
          <a:fillRect/>
        </a:stretch>
      </xdr:blipFill>
      <xdr:spPr bwMode="auto">
        <a:xfrm>
          <a:off x="0" y="0"/>
          <a:ext cx="2638425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704850</xdr:colOff>
      <xdr:row>3</xdr:row>
      <xdr:rowOff>76200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xmlns="" id="{00000000-0008-0000-1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63" t="39633" r="21451" b="33333"/>
        <a:stretch>
          <a:fillRect/>
        </a:stretch>
      </xdr:blipFill>
      <xdr:spPr bwMode="auto">
        <a:xfrm>
          <a:off x="0" y="0"/>
          <a:ext cx="29908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63500</xdr:colOff>
      <xdr:row>1</xdr:row>
      <xdr:rowOff>111760</xdr:rowOff>
    </xdr:from>
    <xdr:ext cx="1904999" cy="710565"/>
    <xdr:pic>
      <xdr:nvPicPr>
        <xdr:cNvPr id="2" name="1 Imagen">
          <a:extLst>
            <a:ext uri="{FF2B5EF4-FFF2-40B4-BE49-F238E27FC236}">
              <a16:creationId xmlns:a16="http://schemas.microsoft.com/office/drawing/2014/main" xmlns="" id="{24A5A912-E7D1-4B1A-A407-1C0689F9C7B6}"/>
            </a:ext>
          </a:extLst>
        </xdr:cNvPr>
        <xdr:cNvPicPr/>
      </xdr:nvPicPr>
      <xdr:blipFill>
        <a:blip xmlns:r="http://schemas.openxmlformats.org/officeDocument/2006/relationships" r:embed="rId1" cstate="print"/>
        <a:srcRect l="8463" t="39633" r="21451" b="33333"/>
        <a:stretch>
          <a:fillRect/>
        </a:stretch>
      </xdr:blipFill>
      <xdr:spPr bwMode="auto">
        <a:xfrm>
          <a:off x="63500" y="311785"/>
          <a:ext cx="1904999" cy="7105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2799195</xdr:colOff>
      <xdr:row>2</xdr:row>
      <xdr:rowOff>113144</xdr:rowOff>
    </xdr:from>
    <xdr:ext cx="1556905" cy="771525"/>
    <xdr:pic>
      <xdr:nvPicPr>
        <xdr:cNvPr id="3" name="Imagen 2">
          <a:extLst>
            <a:ext uri="{FF2B5EF4-FFF2-40B4-BE49-F238E27FC236}">
              <a16:creationId xmlns:a16="http://schemas.microsoft.com/office/drawing/2014/main" xmlns="" id="{8B13695F-A78D-46C4-BE9D-CA0714BEE2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04645" y="513194"/>
          <a:ext cx="1556905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63500</xdr:colOff>
      <xdr:row>1</xdr:row>
      <xdr:rowOff>111760</xdr:rowOff>
    </xdr:from>
    <xdr:ext cx="1904999" cy="710565"/>
    <xdr:pic>
      <xdr:nvPicPr>
        <xdr:cNvPr id="4" name="1 Imagen">
          <a:extLst>
            <a:ext uri="{FF2B5EF4-FFF2-40B4-BE49-F238E27FC236}">
              <a16:creationId xmlns:a16="http://schemas.microsoft.com/office/drawing/2014/main" xmlns="" id="{ACF05823-81A8-4FE7-AC69-586B9B5BAB2D}"/>
            </a:ext>
          </a:extLst>
        </xdr:cNvPr>
        <xdr:cNvPicPr/>
      </xdr:nvPicPr>
      <xdr:blipFill>
        <a:blip xmlns:r="http://schemas.openxmlformats.org/officeDocument/2006/relationships" r:embed="rId1" cstate="print"/>
        <a:srcRect l="8463" t="39633" r="21451" b="33333"/>
        <a:stretch>
          <a:fillRect/>
        </a:stretch>
      </xdr:blipFill>
      <xdr:spPr bwMode="auto">
        <a:xfrm>
          <a:off x="63500" y="311785"/>
          <a:ext cx="1904999" cy="7105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2799195</xdr:colOff>
      <xdr:row>2</xdr:row>
      <xdr:rowOff>113144</xdr:rowOff>
    </xdr:from>
    <xdr:ext cx="1556905" cy="771525"/>
    <xdr:pic>
      <xdr:nvPicPr>
        <xdr:cNvPr id="5" name="Imagen 4">
          <a:extLst>
            <a:ext uri="{FF2B5EF4-FFF2-40B4-BE49-F238E27FC236}">
              <a16:creationId xmlns:a16="http://schemas.microsoft.com/office/drawing/2014/main" xmlns="" id="{F1DFDECE-DC26-4C2C-ACE0-62EFCD66B4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04645" y="513194"/>
          <a:ext cx="1556905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63500</xdr:colOff>
      <xdr:row>1</xdr:row>
      <xdr:rowOff>111760</xdr:rowOff>
    </xdr:from>
    <xdr:ext cx="1904999" cy="710565"/>
    <xdr:pic>
      <xdr:nvPicPr>
        <xdr:cNvPr id="6" name="1 Imagen">
          <a:extLst>
            <a:ext uri="{FF2B5EF4-FFF2-40B4-BE49-F238E27FC236}">
              <a16:creationId xmlns:a16="http://schemas.microsoft.com/office/drawing/2014/main" xmlns="" id="{1EF0328A-0140-4AA9-8CFE-12DA19468E48}"/>
            </a:ext>
          </a:extLst>
        </xdr:cNvPr>
        <xdr:cNvPicPr/>
      </xdr:nvPicPr>
      <xdr:blipFill>
        <a:blip xmlns:r="http://schemas.openxmlformats.org/officeDocument/2006/relationships" r:embed="rId1" cstate="print"/>
        <a:srcRect l="8463" t="39633" r="21451" b="33333"/>
        <a:stretch>
          <a:fillRect/>
        </a:stretch>
      </xdr:blipFill>
      <xdr:spPr bwMode="auto">
        <a:xfrm>
          <a:off x="63500" y="311785"/>
          <a:ext cx="1904999" cy="7105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2799195</xdr:colOff>
      <xdr:row>2</xdr:row>
      <xdr:rowOff>113144</xdr:rowOff>
    </xdr:from>
    <xdr:ext cx="1556905" cy="771525"/>
    <xdr:pic>
      <xdr:nvPicPr>
        <xdr:cNvPr id="7" name="Imagen 6">
          <a:extLst>
            <a:ext uri="{FF2B5EF4-FFF2-40B4-BE49-F238E27FC236}">
              <a16:creationId xmlns:a16="http://schemas.microsoft.com/office/drawing/2014/main" xmlns="" id="{1C543805-EC0B-4685-A7DC-F6571024D8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04645" y="513194"/>
          <a:ext cx="1556905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63500</xdr:colOff>
      <xdr:row>1</xdr:row>
      <xdr:rowOff>111760</xdr:rowOff>
    </xdr:from>
    <xdr:ext cx="1904999" cy="710565"/>
    <xdr:pic>
      <xdr:nvPicPr>
        <xdr:cNvPr id="8" name="1 Imagen">
          <a:extLst>
            <a:ext uri="{FF2B5EF4-FFF2-40B4-BE49-F238E27FC236}">
              <a16:creationId xmlns:a16="http://schemas.microsoft.com/office/drawing/2014/main" xmlns="" id="{4A89A7BF-2AD5-4DFE-846A-1CEEF78AD438}"/>
            </a:ext>
          </a:extLst>
        </xdr:cNvPr>
        <xdr:cNvPicPr/>
      </xdr:nvPicPr>
      <xdr:blipFill>
        <a:blip xmlns:r="http://schemas.openxmlformats.org/officeDocument/2006/relationships" r:embed="rId1" cstate="print"/>
        <a:srcRect l="8463" t="39633" r="21451" b="33333"/>
        <a:stretch>
          <a:fillRect/>
        </a:stretch>
      </xdr:blipFill>
      <xdr:spPr bwMode="auto">
        <a:xfrm>
          <a:off x="63500" y="311785"/>
          <a:ext cx="1904999" cy="7105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2799195</xdr:colOff>
      <xdr:row>2</xdr:row>
      <xdr:rowOff>113144</xdr:rowOff>
    </xdr:from>
    <xdr:ext cx="1556905" cy="771525"/>
    <xdr:pic>
      <xdr:nvPicPr>
        <xdr:cNvPr id="9" name="Imagen 8">
          <a:extLst>
            <a:ext uri="{FF2B5EF4-FFF2-40B4-BE49-F238E27FC236}">
              <a16:creationId xmlns:a16="http://schemas.microsoft.com/office/drawing/2014/main" xmlns="" id="{D7706A3D-FFB4-467E-88BF-8381929A6F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04645" y="513194"/>
          <a:ext cx="1556905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63500</xdr:colOff>
      <xdr:row>1</xdr:row>
      <xdr:rowOff>111760</xdr:rowOff>
    </xdr:from>
    <xdr:ext cx="1904999" cy="710565"/>
    <xdr:pic>
      <xdr:nvPicPr>
        <xdr:cNvPr id="10" name="1 Imagen">
          <a:extLst>
            <a:ext uri="{FF2B5EF4-FFF2-40B4-BE49-F238E27FC236}">
              <a16:creationId xmlns:a16="http://schemas.microsoft.com/office/drawing/2014/main" xmlns="" id="{528B4B8E-DC25-4BB8-8A3E-A545C143A4AA}"/>
            </a:ext>
          </a:extLst>
        </xdr:cNvPr>
        <xdr:cNvPicPr/>
      </xdr:nvPicPr>
      <xdr:blipFill>
        <a:blip xmlns:r="http://schemas.openxmlformats.org/officeDocument/2006/relationships" r:embed="rId1" cstate="print"/>
        <a:srcRect l="8463" t="39633" r="21451" b="33333"/>
        <a:stretch>
          <a:fillRect/>
        </a:stretch>
      </xdr:blipFill>
      <xdr:spPr bwMode="auto">
        <a:xfrm>
          <a:off x="63500" y="311785"/>
          <a:ext cx="1904999" cy="7105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2799195</xdr:colOff>
      <xdr:row>2</xdr:row>
      <xdr:rowOff>113144</xdr:rowOff>
    </xdr:from>
    <xdr:ext cx="1556905" cy="771525"/>
    <xdr:pic>
      <xdr:nvPicPr>
        <xdr:cNvPr id="11" name="Imagen 10">
          <a:extLst>
            <a:ext uri="{FF2B5EF4-FFF2-40B4-BE49-F238E27FC236}">
              <a16:creationId xmlns:a16="http://schemas.microsoft.com/office/drawing/2014/main" xmlns="" id="{D1DA0512-B77E-4E49-A069-A1A81A3909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04645" y="513194"/>
          <a:ext cx="1556905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63500</xdr:colOff>
      <xdr:row>1</xdr:row>
      <xdr:rowOff>111760</xdr:rowOff>
    </xdr:from>
    <xdr:ext cx="1904999" cy="710565"/>
    <xdr:pic>
      <xdr:nvPicPr>
        <xdr:cNvPr id="12" name="1 Imagen">
          <a:extLst>
            <a:ext uri="{FF2B5EF4-FFF2-40B4-BE49-F238E27FC236}">
              <a16:creationId xmlns:a16="http://schemas.microsoft.com/office/drawing/2014/main" xmlns="" id="{CC16A978-4D0A-403F-A649-11817C113E58}"/>
            </a:ext>
          </a:extLst>
        </xdr:cNvPr>
        <xdr:cNvPicPr/>
      </xdr:nvPicPr>
      <xdr:blipFill>
        <a:blip xmlns:r="http://schemas.openxmlformats.org/officeDocument/2006/relationships" r:embed="rId1" cstate="print"/>
        <a:srcRect l="8463" t="39633" r="21451" b="33333"/>
        <a:stretch>
          <a:fillRect/>
        </a:stretch>
      </xdr:blipFill>
      <xdr:spPr bwMode="auto">
        <a:xfrm>
          <a:off x="63500" y="311785"/>
          <a:ext cx="1904999" cy="7105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2799195</xdr:colOff>
      <xdr:row>2</xdr:row>
      <xdr:rowOff>113144</xdr:rowOff>
    </xdr:from>
    <xdr:ext cx="1556905" cy="771525"/>
    <xdr:pic>
      <xdr:nvPicPr>
        <xdr:cNvPr id="13" name="Imagen 12">
          <a:extLst>
            <a:ext uri="{FF2B5EF4-FFF2-40B4-BE49-F238E27FC236}">
              <a16:creationId xmlns:a16="http://schemas.microsoft.com/office/drawing/2014/main" xmlns="" id="{237B3EFB-F261-4466-8F75-AA55A0F111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04645" y="513194"/>
          <a:ext cx="1556905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ntabilidad/Desktop/DOCUMENTACION%20PORTAL%20DE%20TRANSPARENCIA/LIBROS%20DE%20BANCOS/A&#209;O%202023/DICIEMBRE%202023/ESTADO%20FINANCIERO%20DICIEMBRE%20202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ntabilidad/Desktop/DOCUMENTACION%20PORTAL%20DE%20TRANSPARENCIA/LIBROS%20DE%20BANCOS/A&#209;O%202025/MARZO%202025/TRIMESTRE%20ENERO-MARZO%2020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ntabilidad/Desktop/DOCUMENTACION%20PORTAL%20DE%20TRANSPARENCIA/LIBROS%20DE%20BANCOS/A&#209;O%202025/ENERO%202025/MATRIZ%20PARA%20USO%20DE%20CONTABILIDAD%20%2001-202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ntabilidad/Desktop/DOCUMENTACION%20PORTAL%20DE%20TRANSPARENCIA/LIBROS%20DE%20BANCOS/A&#209;O%202025/FEBRERO%202025/MATRIZ%20ACTUALIZADA%2002-2025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ntabilidad/Desktop/DOCUMENTACION%20PORTAL%20DE%20TRANSPARENCIA/LIBROS%20DE%20BANCOS/A&#209;O%202023/SEPTIEMBRE%202023/Conciliacion%20Subvencion%20%20Mes%20de%20%20Septiembre%202023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ntabilidad/Desktop/DOCUMENTACION%20PORTAL%20DE%20TRANSPARENCIA/LIBROS%20DE%20BANCOS/A&#209;O%202023/SEPTIEMBRE%202023/Conciliacion%20Mes%20de%20%20septiembre%20202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ntabilidad/Desktop/DOCUMENTACION%20PORTAL%20DE%20TRANSPARENCIA/LIBROS%20DE%20BANCOS/A&#209;O%202023/MARZO%202023/Conciliacion%20Subvencion%20%20Mes%20de%20%20Marzo%202023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ntabilidad/Desktop/Nueva%20carpeta%20(5)/Conciliacion%20Mes%20de%20diciembre%202022%20Subvencion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ntabilidad/Desktop/DOCUMENTACION%20PORTAL%20DE%20TRANSPARENCIA/LIBROS%20DE%20BANCOS/A&#209;O%202023/ENERO%202023/Conciliacion%20Mes%20de%20enero%202023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cabrera/Desktop/CUENTAS%20POR%20PAGAR%20AL%2030-06-2022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CONCILIACION%20MES%20DE%20ABRIL%202025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MATRIZ%20ACTUALIZADA%2004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ado de Situación"/>
      <sheetName val="Est. de Rendimiento Fin"/>
      <sheetName val="Cambio del Patrimonio"/>
      <sheetName val="Estado Comparativo"/>
      <sheetName val="Flujo de Efectivo"/>
      <sheetName val="NOTAS 7 AL 20"/>
      <sheetName val="CUENTAS POR PAGAR"/>
      <sheetName val="CONCILIACION 1"/>
      <sheetName val="CONCILIACION 2"/>
      <sheetName val="Hoja2"/>
      <sheetName val="CONCILIACION 1 31-12-2022"/>
      <sheetName val="CONCILIACION 31-01-2023"/>
      <sheetName val="Hoja1"/>
      <sheetName val="DETALLES DE ESTADO DE RF"/>
    </sheetNames>
    <sheetDataSet>
      <sheetData sheetId="0">
        <row r="32">
          <cell r="B32">
            <v>341960581.44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ZO 2025"/>
      <sheetName val="FEBRERO 2025"/>
      <sheetName val="ENERO 2025"/>
      <sheetName val="TRIMESTRAL"/>
      <sheetName val="BIMENSUAL"/>
    </sheetNames>
    <sheetDataSet>
      <sheetData sheetId="0">
        <row r="14">
          <cell r="I14">
            <v>223625</v>
          </cell>
        </row>
        <row r="15">
          <cell r="G15">
            <v>100316795.08</v>
          </cell>
          <cell r="I15">
            <v>0</v>
          </cell>
        </row>
        <row r="16">
          <cell r="G16">
            <v>7825280.6499999976</v>
          </cell>
        </row>
        <row r="29">
          <cell r="G29">
            <v>53611206.039999999</v>
          </cell>
          <cell r="H29">
            <v>0</v>
          </cell>
        </row>
        <row r="30">
          <cell r="G30">
            <v>0</v>
          </cell>
          <cell r="H30">
            <v>0</v>
          </cell>
        </row>
        <row r="31">
          <cell r="G31">
            <v>0</v>
          </cell>
          <cell r="H31">
            <v>0</v>
          </cell>
        </row>
        <row r="32">
          <cell r="G32">
            <v>0</v>
          </cell>
          <cell r="H32">
            <v>0</v>
          </cell>
        </row>
        <row r="33">
          <cell r="G33">
            <v>0</v>
          </cell>
          <cell r="H33">
            <v>0</v>
          </cell>
        </row>
        <row r="34">
          <cell r="G34">
            <v>0</v>
          </cell>
          <cell r="H34">
            <v>0</v>
          </cell>
        </row>
        <row r="35">
          <cell r="G35">
            <v>1107531.03</v>
          </cell>
          <cell r="H35">
            <v>0</v>
          </cell>
        </row>
        <row r="36">
          <cell r="G36">
            <v>0</v>
          </cell>
          <cell r="H36">
            <v>0</v>
          </cell>
        </row>
        <row r="37">
          <cell r="G37">
            <v>0</v>
          </cell>
          <cell r="H37">
            <v>0</v>
          </cell>
        </row>
        <row r="38">
          <cell r="G38">
            <v>0</v>
          </cell>
          <cell r="H38">
            <v>0</v>
          </cell>
        </row>
        <row r="39">
          <cell r="G39">
            <v>1107531.03</v>
          </cell>
          <cell r="H39">
            <v>0</v>
          </cell>
        </row>
        <row r="40">
          <cell r="G40">
            <v>0</v>
          </cell>
          <cell r="H40">
            <v>0</v>
          </cell>
        </row>
        <row r="41">
          <cell r="G41">
            <v>0</v>
          </cell>
          <cell r="H41">
            <v>0</v>
          </cell>
        </row>
        <row r="42">
          <cell r="G42">
            <v>0</v>
          </cell>
          <cell r="H42">
            <v>0</v>
          </cell>
        </row>
        <row r="43">
          <cell r="G43">
            <v>0</v>
          </cell>
          <cell r="H43">
            <v>0</v>
          </cell>
        </row>
        <row r="44">
          <cell r="G44">
            <v>0</v>
          </cell>
          <cell r="H44">
            <v>0</v>
          </cell>
        </row>
        <row r="45">
          <cell r="G45">
            <v>0</v>
          </cell>
          <cell r="H45">
            <v>0</v>
          </cell>
        </row>
        <row r="46">
          <cell r="G46">
            <v>0</v>
          </cell>
          <cell r="H46">
            <v>0</v>
          </cell>
        </row>
        <row r="47">
          <cell r="G47">
            <v>0</v>
          </cell>
          <cell r="H47">
            <v>0</v>
          </cell>
        </row>
        <row r="48">
          <cell r="G48">
            <v>0</v>
          </cell>
          <cell r="H48">
            <v>0</v>
          </cell>
        </row>
        <row r="49">
          <cell r="G49">
            <v>0</v>
          </cell>
          <cell r="H49">
            <v>0</v>
          </cell>
        </row>
        <row r="50">
          <cell r="G50">
            <v>0</v>
          </cell>
          <cell r="H50">
            <v>0</v>
          </cell>
        </row>
        <row r="51">
          <cell r="G51">
            <v>3199399.6</v>
          </cell>
          <cell r="H51">
            <v>5231553.59</v>
          </cell>
        </row>
        <row r="52">
          <cell r="G52">
            <v>2752136.5</v>
          </cell>
          <cell r="H52">
            <v>0</v>
          </cell>
        </row>
        <row r="53">
          <cell r="G53">
            <v>2752136.5</v>
          </cell>
          <cell r="H53">
            <v>0</v>
          </cell>
        </row>
        <row r="54">
          <cell r="G54">
            <v>447263.1</v>
          </cell>
          <cell r="H54">
            <v>5231553.59</v>
          </cell>
        </row>
        <row r="55">
          <cell r="G55">
            <v>0</v>
          </cell>
          <cell r="H55">
            <v>0</v>
          </cell>
        </row>
        <row r="56">
          <cell r="G56">
            <v>0</v>
          </cell>
          <cell r="H56">
            <v>0</v>
          </cell>
        </row>
        <row r="57">
          <cell r="G57">
            <v>0</v>
          </cell>
          <cell r="H57">
            <v>0</v>
          </cell>
        </row>
        <row r="58">
          <cell r="G58">
            <v>45000</v>
          </cell>
          <cell r="H58">
            <v>0</v>
          </cell>
        </row>
        <row r="59">
          <cell r="G59">
            <v>0</v>
          </cell>
          <cell r="H59">
            <v>5231553.59</v>
          </cell>
        </row>
        <row r="60">
          <cell r="G60">
            <v>0</v>
          </cell>
          <cell r="H60">
            <v>0</v>
          </cell>
        </row>
        <row r="61">
          <cell r="G61">
            <v>332600</v>
          </cell>
          <cell r="H61">
            <v>0</v>
          </cell>
        </row>
        <row r="62">
          <cell r="G62">
            <v>0</v>
          </cell>
          <cell r="H62">
            <v>0</v>
          </cell>
        </row>
        <row r="63">
          <cell r="G63">
            <v>69663.099999999991</v>
          </cell>
          <cell r="H63">
            <v>0</v>
          </cell>
        </row>
        <row r="64">
          <cell r="G64">
            <v>0</v>
          </cell>
          <cell r="H64">
            <v>0</v>
          </cell>
        </row>
        <row r="65">
          <cell r="G65">
            <v>0</v>
          </cell>
          <cell r="H65">
            <v>0</v>
          </cell>
        </row>
        <row r="66">
          <cell r="G66">
            <v>0</v>
          </cell>
          <cell r="H66">
            <v>0</v>
          </cell>
        </row>
        <row r="67">
          <cell r="G67">
            <v>0</v>
          </cell>
          <cell r="H67">
            <v>0</v>
          </cell>
        </row>
        <row r="68">
          <cell r="G68">
            <v>0</v>
          </cell>
          <cell r="H68">
            <v>0</v>
          </cell>
        </row>
        <row r="69">
          <cell r="G69">
            <v>0</v>
          </cell>
          <cell r="H69">
            <v>0</v>
          </cell>
        </row>
        <row r="70">
          <cell r="G70">
            <v>0</v>
          </cell>
          <cell r="H70">
            <v>0</v>
          </cell>
        </row>
        <row r="71">
          <cell r="G71">
            <v>0</v>
          </cell>
          <cell r="H71">
            <v>0</v>
          </cell>
        </row>
        <row r="72">
          <cell r="G72">
            <v>0</v>
          </cell>
          <cell r="H72">
            <v>0</v>
          </cell>
        </row>
        <row r="73">
          <cell r="G73">
            <v>0</v>
          </cell>
          <cell r="H73">
            <v>0</v>
          </cell>
        </row>
        <row r="74">
          <cell r="G74">
            <v>0</v>
          </cell>
          <cell r="H74">
            <v>0</v>
          </cell>
        </row>
        <row r="75">
          <cell r="G75">
            <v>0</v>
          </cell>
          <cell r="H75">
            <v>0</v>
          </cell>
        </row>
        <row r="76">
          <cell r="G76">
            <v>0</v>
          </cell>
          <cell r="H76">
            <v>0</v>
          </cell>
        </row>
        <row r="77">
          <cell r="G77">
            <v>0</v>
          </cell>
          <cell r="H77">
            <v>0</v>
          </cell>
        </row>
        <row r="78">
          <cell r="G78">
            <v>8419483.1500000004</v>
          </cell>
          <cell r="H78">
            <v>0</v>
          </cell>
        </row>
        <row r="79">
          <cell r="G79">
            <v>3879560.77</v>
          </cell>
          <cell r="H79">
            <v>0</v>
          </cell>
        </row>
        <row r="80">
          <cell r="G80">
            <v>3879560.77</v>
          </cell>
          <cell r="H80">
            <v>0</v>
          </cell>
        </row>
        <row r="81">
          <cell r="G81">
            <v>3885030.79</v>
          </cell>
          <cell r="H81">
            <v>0</v>
          </cell>
        </row>
        <row r="82">
          <cell r="G82">
            <v>3885030.79</v>
          </cell>
          <cell r="H82">
            <v>0</v>
          </cell>
        </row>
        <row r="83">
          <cell r="G83">
            <v>654891.59000000008</v>
          </cell>
          <cell r="H83">
            <v>0</v>
          </cell>
        </row>
        <row r="84">
          <cell r="G84">
            <v>654891.59000000008</v>
          </cell>
          <cell r="H84">
            <v>0</v>
          </cell>
        </row>
        <row r="85">
          <cell r="G85">
            <v>0</v>
          </cell>
          <cell r="H85">
            <v>0</v>
          </cell>
        </row>
        <row r="86">
          <cell r="G86">
            <v>0</v>
          </cell>
          <cell r="H86">
            <v>0</v>
          </cell>
        </row>
        <row r="87">
          <cell r="G87">
            <v>7971396.2400000012</v>
          </cell>
          <cell r="H87">
            <v>4359456.22</v>
          </cell>
        </row>
        <row r="88">
          <cell r="G88">
            <v>2020024.3</v>
          </cell>
          <cell r="H88">
            <v>1731191.19</v>
          </cell>
        </row>
        <row r="89">
          <cell r="G89">
            <v>0</v>
          </cell>
          <cell r="H89">
            <v>0</v>
          </cell>
        </row>
        <row r="90">
          <cell r="G90">
            <v>0</v>
          </cell>
          <cell r="H90">
            <v>0</v>
          </cell>
        </row>
        <row r="91">
          <cell r="G91">
            <v>0</v>
          </cell>
          <cell r="H91">
            <v>0</v>
          </cell>
        </row>
        <row r="92">
          <cell r="G92">
            <v>0</v>
          </cell>
          <cell r="H92">
            <v>0</v>
          </cell>
        </row>
        <row r="93">
          <cell r="G93">
            <v>0</v>
          </cell>
          <cell r="H93">
            <v>211191.19</v>
          </cell>
        </row>
        <row r="94">
          <cell r="G94">
            <v>0</v>
          </cell>
          <cell r="H94">
            <v>211191.19</v>
          </cell>
        </row>
        <row r="95">
          <cell r="G95">
            <v>0</v>
          </cell>
          <cell r="H95">
            <v>0</v>
          </cell>
        </row>
        <row r="96">
          <cell r="G96">
            <v>0</v>
          </cell>
          <cell r="H96">
            <v>0</v>
          </cell>
        </row>
        <row r="97">
          <cell r="G97">
            <v>0</v>
          </cell>
          <cell r="H97">
            <v>0</v>
          </cell>
        </row>
        <row r="98">
          <cell r="G98">
            <v>0</v>
          </cell>
          <cell r="H98">
            <v>0</v>
          </cell>
        </row>
        <row r="99">
          <cell r="G99">
            <v>0</v>
          </cell>
          <cell r="H99">
            <v>0</v>
          </cell>
        </row>
        <row r="100">
          <cell r="G100">
            <v>0</v>
          </cell>
          <cell r="H100">
            <v>0</v>
          </cell>
        </row>
        <row r="101">
          <cell r="G101">
            <v>0</v>
          </cell>
          <cell r="H101">
            <v>0</v>
          </cell>
        </row>
        <row r="102">
          <cell r="G102">
            <v>2020024.3</v>
          </cell>
          <cell r="H102">
            <v>0</v>
          </cell>
        </row>
        <row r="103">
          <cell r="G103">
            <v>2020024.3</v>
          </cell>
          <cell r="H103">
            <v>0</v>
          </cell>
        </row>
        <row r="104">
          <cell r="G104">
            <v>0</v>
          </cell>
          <cell r="H104">
            <v>1520000</v>
          </cell>
        </row>
        <row r="105">
          <cell r="G105">
            <v>0</v>
          </cell>
          <cell r="H105">
            <v>1520000</v>
          </cell>
        </row>
        <row r="106">
          <cell r="G106">
            <v>0</v>
          </cell>
          <cell r="H106">
            <v>0</v>
          </cell>
        </row>
        <row r="107">
          <cell r="G107">
            <v>0</v>
          </cell>
          <cell r="H107">
            <v>0</v>
          </cell>
        </row>
        <row r="108">
          <cell r="G108">
            <v>0</v>
          </cell>
          <cell r="H108">
            <v>0</v>
          </cell>
        </row>
        <row r="109">
          <cell r="G109">
            <v>0</v>
          </cell>
          <cell r="H109">
            <v>0</v>
          </cell>
        </row>
        <row r="110">
          <cell r="G110">
            <v>0</v>
          </cell>
          <cell r="H110">
            <v>0</v>
          </cell>
        </row>
        <row r="111">
          <cell r="G111">
            <v>0</v>
          </cell>
          <cell r="H111">
            <v>0</v>
          </cell>
        </row>
        <row r="112">
          <cell r="G112">
            <v>0</v>
          </cell>
          <cell r="H112">
            <v>0</v>
          </cell>
        </row>
        <row r="113">
          <cell r="G113">
            <v>0</v>
          </cell>
          <cell r="H113">
            <v>0</v>
          </cell>
        </row>
        <row r="114">
          <cell r="G114">
            <v>0</v>
          </cell>
          <cell r="H114">
            <v>0</v>
          </cell>
        </row>
        <row r="115">
          <cell r="G115">
            <v>0</v>
          </cell>
          <cell r="H115">
            <v>0</v>
          </cell>
        </row>
        <row r="116">
          <cell r="G116">
            <v>0</v>
          </cell>
          <cell r="H116">
            <v>32000</v>
          </cell>
        </row>
        <row r="117">
          <cell r="G117">
            <v>0</v>
          </cell>
          <cell r="H117">
            <v>0</v>
          </cell>
        </row>
        <row r="118">
          <cell r="G118">
            <v>0</v>
          </cell>
          <cell r="H118">
            <v>0</v>
          </cell>
        </row>
        <row r="119">
          <cell r="G119">
            <v>0</v>
          </cell>
          <cell r="H119">
            <v>32000</v>
          </cell>
        </row>
        <row r="120">
          <cell r="G120">
            <v>0</v>
          </cell>
          <cell r="H120">
            <v>32000</v>
          </cell>
        </row>
        <row r="121">
          <cell r="G121">
            <v>0</v>
          </cell>
          <cell r="H121">
            <v>0</v>
          </cell>
        </row>
        <row r="122">
          <cell r="G122">
            <v>0</v>
          </cell>
          <cell r="H122">
            <v>0</v>
          </cell>
        </row>
        <row r="123">
          <cell r="G123">
            <v>0</v>
          </cell>
          <cell r="H123">
            <v>0</v>
          </cell>
        </row>
        <row r="124">
          <cell r="G124">
            <v>0</v>
          </cell>
          <cell r="H124">
            <v>0</v>
          </cell>
        </row>
        <row r="125">
          <cell r="G125">
            <v>0</v>
          </cell>
          <cell r="H125">
            <v>0</v>
          </cell>
        </row>
        <row r="126">
          <cell r="G126">
            <v>0</v>
          </cell>
          <cell r="H126">
            <v>0</v>
          </cell>
        </row>
        <row r="127">
          <cell r="G127">
            <v>0</v>
          </cell>
          <cell r="H127">
            <v>0</v>
          </cell>
        </row>
        <row r="128">
          <cell r="G128">
            <v>0</v>
          </cell>
          <cell r="H128">
            <v>0</v>
          </cell>
        </row>
        <row r="129">
          <cell r="G129">
            <v>0</v>
          </cell>
          <cell r="H129">
            <v>0</v>
          </cell>
        </row>
        <row r="130">
          <cell r="G130">
            <v>0</v>
          </cell>
          <cell r="H130">
            <v>0</v>
          </cell>
        </row>
        <row r="131">
          <cell r="G131">
            <v>0</v>
          </cell>
          <cell r="H131">
            <v>0</v>
          </cell>
        </row>
        <row r="132">
          <cell r="G132">
            <v>0</v>
          </cell>
          <cell r="H132">
            <v>0</v>
          </cell>
        </row>
        <row r="133">
          <cell r="G133">
            <v>0</v>
          </cell>
          <cell r="H133">
            <v>0</v>
          </cell>
        </row>
        <row r="134">
          <cell r="G134">
            <v>0</v>
          </cell>
          <cell r="H134">
            <v>0</v>
          </cell>
        </row>
        <row r="135">
          <cell r="G135">
            <v>0</v>
          </cell>
          <cell r="H135">
            <v>0</v>
          </cell>
        </row>
        <row r="136">
          <cell r="G136">
            <v>0</v>
          </cell>
          <cell r="H136">
            <v>0</v>
          </cell>
        </row>
        <row r="137">
          <cell r="G137">
            <v>0</v>
          </cell>
          <cell r="H137">
            <v>0</v>
          </cell>
        </row>
        <row r="138">
          <cell r="G138">
            <v>0</v>
          </cell>
          <cell r="H138">
            <v>0</v>
          </cell>
        </row>
        <row r="139">
          <cell r="G139">
            <v>0</v>
          </cell>
          <cell r="H139">
            <v>0</v>
          </cell>
        </row>
        <row r="140">
          <cell r="G140">
            <v>0</v>
          </cell>
          <cell r="H140">
            <v>0</v>
          </cell>
        </row>
        <row r="141">
          <cell r="G141">
            <v>0</v>
          </cell>
          <cell r="H141">
            <v>0</v>
          </cell>
        </row>
        <row r="142">
          <cell r="G142">
            <v>0</v>
          </cell>
          <cell r="H142">
            <v>0</v>
          </cell>
        </row>
        <row r="143">
          <cell r="G143">
            <v>0</v>
          </cell>
          <cell r="H143">
            <v>0</v>
          </cell>
        </row>
        <row r="144">
          <cell r="G144">
            <v>0</v>
          </cell>
          <cell r="H144">
            <v>0</v>
          </cell>
        </row>
        <row r="145">
          <cell r="G145">
            <v>0</v>
          </cell>
          <cell r="H145">
            <v>0</v>
          </cell>
        </row>
        <row r="146">
          <cell r="G146">
            <v>0</v>
          </cell>
          <cell r="H146">
            <v>0</v>
          </cell>
        </row>
        <row r="147">
          <cell r="G147">
            <v>0</v>
          </cell>
          <cell r="H147">
            <v>0</v>
          </cell>
        </row>
        <row r="148">
          <cell r="G148">
            <v>0</v>
          </cell>
          <cell r="H148">
            <v>0</v>
          </cell>
        </row>
        <row r="149">
          <cell r="G149">
            <v>0</v>
          </cell>
          <cell r="H149">
            <v>0</v>
          </cell>
        </row>
        <row r="150">
          <cell r="G150">
            <v>0</v>
          </cell>
          <cell r="H150">
            <v>0</v>
          </cell>
        </row>
        <row r="151">
          <cell r="G151">
            <v>0</v>
          </cell>
          <cell r="H151">
            <v>0</v>
          </cell>
        </row>
        <row r="152">
          <cell r="G152">
            <v>0</v>
          </cell>
          <cell r="H152">
            <v>0</v>
          </cell>
        </row>
        <row r="153">
          <cell r="G153">
            <v>0</v>
          </cell>
          <cell r="H153">
            <v>0</v>
          </cell>
        </row>
        <row r="154">
          <cell r="G154">
            <v>0</v>
          </cell>
          <cell r="H154">
            <v>0</v>
          </cell>
        </row>
        <row r="155">
          <cell r="G155">
            <v>0</v>
          </cell>
          <cell r="H155">
            <v>0</v>
          </cell>
        </row>
        <row r="156">
          <cell r="G156">
            <v>0</v>
          </cell>
          <cell r="H156">
            <v>0</v>
          </cell>
        </row>
        <row r="157">
          <cell r="G157">
            <v>5951371.9400000013</v>
          </cell>
          <cell r="H157">
            <v>2019575.16</v>
          </cell>
        </row>
        <row r="158">
          <cell r="G158">
            <v>5951371.9400000013</v>
          </cell>
          <cell r="H158">
            <v>904710.71</v>
          </cell>
        </row>
        <row r="159">
          <cell r="G159">
            <v>5951371.9400000013</v>
          </cell>
          <cell r="H159">
            <v>904710.71</v>
          </cell>
        </row>
        <row r="160">
          <cell r="G160">
            <v>0</v>
          </cell>
          <cell r="H160">
            <v>0</v>
          </cell>
        </row>
        <row r="161">
          <cell r="G161">
            <v>0</v>
          </cell>
          <cell r="H161">
            <v>0</v>
          </cell>
        </row>
        <row r="162">
          <cell r="G162">
            <v>0</v>
          </cell>
          <cell r="H162">
            <v>0</v>
          </cell>
        </row>
        <row r="163">
          <cell r="G163">
            <v>0</v>
          </cell>
          <cell r="H163">
            <v>0</v>
          </cell>
        </row>
        <row r="164">
          <cell r="G164">
            <v>0</v>
          </cell>
          <cell r="H164">
            <v>0</v>
          </cell>
        </row>
        <row r="165">
          <cell r="G165">
            <v>0</v>
          </cell>
          <cell r="H165">
            <v>0</v>
          </cell>
        </row>
        <row r="166">
          <cell r="G166">
            <v>0</v>
          </cell>
          <cell r="H166">
            <v>0</v>
          </cell>
        </row>
        <row r="167">
          <cell r="G167">
            <v>0</v>
          </cell>
          <cell r="H167">
            <v>1114864.45</v>
          </cell>
        </row>
        <row r="168">
          <cell r="G168">
            <v>0</v>
          </cell>
          <cell r="H168">
            <v>0</v>
          </cell>
        </row>
        <row r="169">
          <cell r="G169">
            <v>0</v>
          </cell>
          <cell r="H169">
            <v>0</v>
          </cell>
        </row>
        <row r="170">
          <cell r="G170">
            <v>0</v>
          </cell>
          <cell r="H170">
            <v>0</v>
          </cell>
        </row>
        <row r="171">
          <cell r="G171">
            <v>0</v>
          </cell>
          <cell r="H171">
            <v>0</v>
          </cell>
        </row>
        <row r="172">
          <cell r="G172">
            <v>0</v>
          </cell>
          <cell r="H172">
            <v>0</v>
          </cell>
        </row>
        <row r="173">
          <cell r="G173">
            <v>0</v>
          </cell>
          <cell r="H173">
            <v>636067.19999999995</v>
          </cell>
        </row>
        <row r="174">
          <cell r="G174">
            <v>0</v>
          </cell>
          <cell r="H174">
            <v>0</v>
          </cell>
        </row>
        <row r="175">
          <cell r="G175">
            <v>0</v>
          </cell>
          <cell r="H175">
            <v>478797.25</v>
          </cell>
        </row>
        <row r="176">
          <cell r="G176">
            <v>0</v>
          </cell>
          <cell r="H176">
            <v>0</v>
          </cell>
        </row>
        <row r="177">
          <cell r="G177">
            <v>0</v>
          </cell>
          <cell r="H177">
            <v>0</v>
          </cell>
        </row>
        <row r="178">
          <cell r="G178">
            <v>0</v>
          </cell>
          <cell r="H178">
            <v>0</v>
          </cell>
        </row>
        <row r="179">
          <cell r="G179">
            <v>0</v>
          </cell>
          <cell r="H179">
            <v>576689.87</v>
          </cell>
        </row>
        <row r="180">
          <cell r="G180">
            <v>0</v>
          </cell>
          <cell r="H180">
            <v>0</v>
          </cell>
        </row>
        <row r="181">
          <cell r="G181">
            <v>0</v>
          </cell>
          <cell r="H181">
            <v>0</v>
          </cell>
        </row>
        <row r="182">
          <cell r="G182">
            <v>0</v>
          </cell>
          <cell r="H182">
            <v>8323.8700000000008</v>
          </cell>
        </row>
        <row r="183">
          <cell r="G183">
            <v>0</v>
          </cell>
          <cell r="H183">
            <v>8323.8700000000008</v>
          </cell>
        </row>
        <row r="184">
          <cell r="G184">
            <v>0</v>
          </cell>
          <cell r="H184">
            <v>0</v>
          </cell>
        </row>
        <row r="185">
          <cell r="G185">
            <v>0</v>
          </cell>
          <cell r="H185">
            <v>0</v>
          </cell>
        </row>
        <row r="186">
          <cell r="G186">
            <v>0</v>
          </cell>
          <cell r="H186">
            <v>0</v>
          </cell>
        </row>
        <row r="187">
          <cell r="G187">
            <v>0</v>
          </cell>
          <cell r="H187">
            <v>0</v>
          </cell>
        </row>
        <row r="188">
          <cell r="G188">
            <v>0</v>
          </cell>
          <cell r="H188">
            <v>188564</v>
          </cell>
        </row>
        <row r="189">
          <cell r="G189">
            <v>0</v>
          </cell>
          <cell r="H189">
            <v>0</v>
          </cell>
        </row>
        <row r="190">
          <cell r="G190">
            <v>0</v>
          </cell>
          <cell r="H190">
            <v>0</v>
          </cell>
        </row>
        <row r="191">
          <cell r="G191">
            <v>0</v>
          </cell>
          <cell r="H191">
            <v>188564</v>
          </cell>
        </row>
        <row r="192">
          <cell r="G192">
            <v>0</v>
          </cell>
          <cell r="H192">
            <v>0</v>
          </cell>
        </row>
        <row r="193">
          <cell r="G193">
            <v>0</v>
          </cell>
          <cell r="H193">
            <v>0</v>
          </cell>
        </row>
        <row r="194">
          <cell r="G194">
            <v>0</v>
          </cell>
          <cell r="H194">
            <v>0</v>
          </cell>
        </row>
        <row r="195">
          <cell r="G195">
            <v>0</v>
          </cell>
          <cell r="H195">
            <v>0</v>
          </cell>
        </row>
        <row r="196">
          <cell r="G196">
            <v>0</v>
          </cell>
          <cell r="H196">
            <v>0</v>
          </cell>
        </row>
        <row r="197">
          <cell r="G197">
            <v>0</v>
          </cell>
          <cell r="H197">
            <v>379802</v>
          </cell>
        </row>
        <row r="198">
          <cell r="G198">
            <v>0</v>
          </cell>
          <cell r="H198">
            <v>0</v>
          </cell>
        </row>
        <row r="199">
          <cell r="G199">
            <v>0</v>
          </cell>
          <cell r="H199">
            <v>0</v>
          </cell>
        </row>
        <row r="200">
          <cell r="G200">
            <v>0</v>
          </cell>
          <cell r="H200">
            <v>0</v>
          </cell>
        </row>
        <row r="201">
          <cell r="G201">
            <v>0</v>
          </cell>
          <cell r="H201">
            <v>0</v>
          </cell>
        </row>
        <row r="202">
          <cell r="G202">
            <v>0</v>
          </cell>
          <cell r="H202">
            <v>48852</v>
          </cell>
        </row>
        <row r="203">
          <cell r="G203">
            <v>0</v>
          </cell>
          <cell r="H203">
            <v>330950</v>
          </cell>
        </row>
        <row r="204">
          <cell r="G204">
            <v>0</v>
          </cell>
          <cell r="H204">
            <v>0</v>
          </cell>
        </row>
        <row r="205">
          <cell r="G205">
            <v>0</v>
          </cell>
          <cell r="H205">
            <v>0</v>
          </cell>
        </row>
        <row r="206">
          <cell r="G206">
            <v>0</v>
          </cell>
          <cell r="H206">
            <v>0</v>
          </cell>
        </row>
        <row r="207">
          <cell r="G207">
            <v>0</v>
          </cell>
          <cell r="H207">
            <v>0</v>
          </cell>
        </row>
        <row r="208">
          <cell r="G208">
            <v>0</v>
          </cell>
          <cell r="H208">
            <v>0</v>
          </cell>
        </row>
        <row r="209">
          <cell r="G209">
            <v>0</v>
          </cell>
          <cell r="H209">
            <v>0</v>
          </cell>
        </row>
        <row r="210">
          <cell r="G210">
            <v>0</v>
          </cell>
          <cell r="H210">
            <v>0</v>
          </cell>
        </row>
        <row r="211">
          <cell r="G211">
            <v>0</v>
          </cell>
          <cell r="H211">
            <v>0</v>
          </cell>
        </row>
        <row r="212">
          <cell r="G212">
            <v>26749551.52</v>
          </cell>
          <cell r="H212">
            <v>1797538.3199999998</v>
          </cell>
        </row>
        <row r="213">
          <cell r="G213">
            <v>3122436.84</v>
          </cell>
          <cell r="H213">
            <v>658799</v>
          </cell>
        </row>
        <row r="214">
          <cell r="G214">
            <v>3122436.84</v>
          </cell>
          <cell r="H214">
            <v>658799</v>
          </cell>
        </row>
        <row r="215">
          <cell r="G215">
            <v>3122436.84</v>
          </cell>
          <cell r="H215">
            <v>658799</v>
          </cell>
        </row>
        <row r="216">
          <cell r="G216">
            <v>0</v>
          </cell>
          <cell r="H216">
            <v>0</v>
          </cell>
        </row>
        <row r="217">
          <cell r="G217">
            <v>0</v>
          </cell>
          <cell r="H217">
            <v>0</v>
          </cell>
        </row>
        <row r="218">
          <cell r="G218">
            <v>0</v>
          </cell>
          <cell r="H218">
            <v>0</v>
          </cell>
        </row>
        <row r="219">
          <cell r="G219">
            <v>0</v>
          </cell>
          <cell r="H219">
            <v>0</v>
          </cell>
        </row>
        <row r="220">
          <cell r="G220">
            <v>0</v>
          </cell>
          <cell r="H220">
            <v>0</v>
          </cell>
        </row>
        <row r="221">
          <cell r="G221">
            <v>0</v>
          </cell>
          <cell r="H221">
            <v>0</v>
          </cell>
        </row>
        <row r="222">
          <cell r="G222">
            <v>0</v>
          </cell>
          <cell r="H222">
            <v>0</v>
          </cell>
        </row>
        <row r="223">
          <cell r="G223">
            <v>0</v>
          </cell>
          <cell r="H223">
            <v>0</v>
          </cell>
        </row>
        <row r="224">
          <cell r="G224">
            <v>0</v>
          </cell>
          <cell r="H224">
            <v>0</v>
          </cell>
        </row>
        <row r="225">
          <cell r="G225">
            <v>0</v>
          </cell>
          <cell r="H225">
            <v>0</v>
          </cell>
        </row>
        <row r="226">
          <cell r="G226">
            <v>0</v>
          </cell>
          <cell r="H226">
            <v>0</v>
          </cell>
        </row>
        <row r="227">
          <cell r="G227">
            <v>0</v>
          </cell>
          <cell r="H227">
            <v>0</v>
          </cell>
        </row>
        <row r="228">
          <cell r="G228">
            <v>0</v>
          </cell>
          <cell r="H228">
            <v>0</v>
          </cell>
        </row>
        <row r="229">
          <cell r="G229">
            <v>0</v>
          </cell>
          <cell r="H229">
            <v>0</v>
          </cell>
        </row>
        <row r="230">
          <cell r="G230">
            <v>0</v>
          </cell>
          <cell r="H230">
            <v>0</v>
          </cell>
        </row>
        <row r="231">
          <cell r="G231">
            <v>0</v>
          </cell>
          <cell r="H231">
            <v>0</v>
          </cell>
        </row>
        <row r="232">
          <cell r="G232">
            <v>1474545.17</v>
          </cell>
          <cell r="H232">
            <v>57997</v>
          </cell>
        </row>
        <row r="233">
          <cell r="G233">
            <v>0</v>
          </cell>
          <cell r="H233">
            <v>0</v>
          </cell>
        </row>
        <row r="234">
          <cell r="G234">
            <v>0</v>
          </cell>
          <cell r="H234">
            <v>0</v>
          </cell>
        </row>
        <row r="235">
          <cell r="G235">
            <v>170173.16999999998</v>
          </cell>
          <cell r="H235">
            <v>0</v>
          </cell>
        </row>
        <row r="236">
          <cell r="G236">
            <v>170173.16999999998</v>
          </cell>
          <cell r="H236">
            <v>0</v>
          </cell>
        </row>
        <row r="237">
          <cell r="G237">
            <v>1304372</v>
          </cell>
          <cell r="H237">
            <v>57997</v>
          </cell>
        </row>
        <row r="238">
          <cell r="G238">
            <v>1304372</v>
          </cell>
          <cell r="H238">
            <v>57997</v>
          </cell>
        </row>
        <row r="239">
          <cell r="G239">
            <v>0</v>
          </cell>
          <cell r="H239">
            <v>0</v>
          </cell>
        </row>
        <row r="240">
          <cell r="G240">
            <v>0</v>
          </cell>
          <cell r="H240">
            <v>0</v>
          </cell>
        </row>
        <row r="241">
          <cell r="G241">
            <v>0</v>
          </cell>
          <cell r="H241">
            <v>0</v>
          </cell>
        </row>
        <row r="242">
          <cell r="G242">
            <v>0</v>
          </cell>
          <cell r="H242">
            <v>0</v>
          </cell>
        </row>
        <row r="243">
          <cell r="G243">
            <v>0</v>
          </cell>
          <cell r="H243">
            <v>0</v>
          </cell>
        </row>
        <row r="244">
          <cell r="G244">
            <v>0</v>
          </cell>
          <cell r="H244">
            <v>0</v>
          </cell>
        </row>
        <row r="245">
          <cell r="G245">
            <v>6919929</v>
          </cell>
          <cell r="H245">
            <v>250000</v>
          </cell>
        </row>
        <row r="246">
          <cell r="G246">
            <v>6919929</v>
          </cell>
          <cell r="H246">
            <v>250000</v>
          </cell>
        </row>
        <row r="247">
          <cell r="G247">
            <v>6919929</v>
          </cell>
          <cell r="H247">
            <v>250000</v>
          </cell>
        </row>
        <row r="248">
          <cell r="G248">
            <v>0</v>
          </cell>
          <cell r="H248">
            <v>0</v>
          </cell>
        </row>
        <row r="249">
          <cell r="G249">
            <v>0</v>
          </cell>
          <cell r="H249">
            <v>0</v>
          </cell>
        </row>
        <row r="250">
          <cell r="G250">
            <v>334708.95</v>
          </cell>
          <cell r="H250">
            <v>317663.67000000004</v>
          </cell>
        </row>
        <row r="251">
          <cell r="G251">
            <v>0</v>
          </cell>
          <cell r="H251">
            <v>0</v>
          </cell>
        </row>
        <row r="252">
          <cell r="G252">
            <v>0</v>
          </cell>
          <cell r="H252">
            <v>0</v>
          </cell>
        </row>
        <row r="253">
          <cell r="G253">
            <v>0</v>
          </cell>
          <cell r="H253">
            <v>0</v>
          </cell>
        </row>
        <row r="254">
          <cell r="G254">
            <v>0</v>
          </cell>
          <cell r="H254">
            <v>0</v>
          </cell>
        </row>
        <row r="255">
          <cell r="G255">
            <v>0</v>
          </cell>
          <cell r="H255">
            <v>282823.65000000002</v>
          </cell>
        </row>
        <row r="256">
          <cell r="G256">
            <v>0</v>
          </cell>
          <cell r="H256">
            <v>282823.65000000002</v>
          </cell>
        </row>
        <row r="257">
          <cell r="G257">
            <v>0</v>
          </cell>
          <cell r="H257">
            <v>0</v>
          </cell>
        </row>
        <row r="258">
          <cell r="G258">
            <v>0</v>
          </cell>
          <cell r="H258">
            <v>0</v>
          </cell>
        </row>
        <row r="259">
          <cell r="G259">
            <v>334708.95</v>
          </cell>
          <cell r="H259">
            <v>34840.020000000004</v>
          </cell>
        </row>
        <row r="260">
          <cell r="G260">
            <v>334708.95</v>
          </cell>
          <cell r="H260">
            <v>34840.020000000004</v>
          </cell>
        </row>
        <row r="261">
          <cell r="G261">
            <v>0</v>
          </cell>
          <cell r="H261">
            <v>110224.97</v>
          </cell>
        </row>
        <row r="262">
          <cell r="G262">
            <v>0</v>
          </cell>
          <cell r="H262">
            <v>0</v>
          </cell>
        </row>
        <row r="263">
          <cell r="G263">
            <v>0</v>
          </cell>
          <cell r="H263">
            <v>0</v>
          </cell>
        </row>
        <row r="264">
          <cell r="G264">
            <v>0</v>
          </cell>
          <cell r="H264">
            <v>0</v>
          </cell>
        </row>
        <row r="265">
          <cell r="G265">
            <v>0</v>
          </cell>
          <cell r="H265">
            <v>0</v>
          </cell>
        </row>
        <row r="266">
          <cell r="G266">
            <v>0</v>
          </cell>
          <cell r="H266">
            <v>0</v>
          </cell>
        </row>
        <row r="267">
          <cell r="G267">
            <v>0</v>
          </cell>
          <cell r="H267">
            <v>0</v>
          </cell>
        </row>
        <row r="268">
          <cell r="G268">
            <v>0</v>
          </cell>
          <cell r="H268">
            <v>15149.94</v>
          </cell>
        </row>
        <row r="269">
          <cell r="G269">
            <v>0</v>
          </cell>
          <cell r="H269">
            <v>15149.94</v>
          </cell>
        </row>
        <row r="270">
          <cell r="G270">
            <v>0</v>
          </cell>
          <cell r="H270">
            <v>0</v>
          </cell>
        </row>
        <row r="271">
          <cell r="G271">
            <v>0</v>
          </cell>
          <cell r="H271">
            <v>0</v>
          </cell>
        </row>
        <row r="272">
          <cell r="G272">
            <v>0</v>
          </cell>
          <cell r="H272">
            <v>95075.03</v>
          </cell>
        </row>
        <row r="273">
          <cell r="G273">
            <v>0</v>
          </cell>
          <cell r="H273">
            <v>87250.03</v>
          </cell>
        </row>
        <row r="274">
          <cell r="G274">
            <v>0</v>
          </cell>
          <cell r="H274">
            <v>0</v>
          </cell>
        </row>
        <row r="275">
          <cell r="G275">
            <v>0</v>
          </cell>
          <cell r="H275">
            <v>7825</v>
          </cell>
        </row>
        <row r="276">
          <cell r="G276">
            <v>0</v>
          </cell>
          <cell r="H276">
            <v>0</v>
          </cell>
        </row>
        <row r="277">
          <cell r="G277">
            <v>0</v>
          </cell>
          <cell r="H277">
            <v>0</v>
          </cell>
        </row>
        <row r="278">
          <cell r="G278">
            <v>0</v>
          </cell>
          <cell r="H278">
            <v>0</v>
          </cell>
        </row>
        <row r="279">
          <cell r="G279">
            <v>0</v>
          </cell>
          <cell r="H279">
            <v>0</v>
          </cell>
        </row>
        <row r="280">
          <cell r="G280">
            <v>0</v>
          </cell>
          <cell r="H280">
            <v>0</v>
          </cell>
        </row>
        <row r="281">
          <cell r="G281">
            <v>0</v>
          </cell>
          <cell r="H281">
            <v>0</v>
          </cell>
        </row>
        <row r="282">
          <cell r="G282">
            <v>0</v>
          </cell>
          <cell r="H282">
            <v>0</v>
          </cell>
        </row>
        <row r="283">
          <cell r="G283">
            <v>0</v>
          </cell>
          <cell r="H283">
            <v>0</v>
          </cell>
        </row>
        <row r="284">
          <cell r="G284">
            <v>0</v>
          </cell>
          <cell r="H284">
            <v>0</v>
          </cell>
        </row>
        <row r="285">
          <cell r="G285">
            <v>0</v>
          </cell>
          <cell r="H285">
            <v>0</v>
          </cell>
        </row>
        <row r="286">
          <cell r="G286">
            <v>3162523.02</v>
          </cell>
          <cell r="H286">
            <v>317328.99</v>
          </cell>
        </row>
        <row r="287">
          <cell r="G287">
            <v>555829</v>
          </cell>
          <cell r="H287">
            <v>273439</v>
          </cell>
        </row>
        <row r="288">
          <cell r="G288">
            <v>555829</v>
          </cell>
          <cell r="H288">
            <v>172000</v>
          </cell>
        </row>
        <row r="289">
          <cell r="G289">
            <v>0</v>
          </cell>
          <cell r="H289">
            <v>0</v>
          </cell>
        </row>
        <row r="290">
          <cell r="G290">
            <v>0</v>
          </cell>
          <cell r="H290">
            <v>0</v>
          </cell>
        </row>
        <row r="291">
          <cell r="G291">
            <v>0</v>
          </cell>
          <cell r="H291">
            <v>101439</v>
          </cell>
        </row>
        <row r="292">
          <cell r="G292">
            <v>0</v>
          </cell>
          <cell r="H292">
            <v>0</v>
          </cell>
        </row>
        <row r="293">
          <cell r="G293">
            <v>0</v>
          </cell>
          <cell r="H293">
            <v>0</v>
          </cell>
        </row>
        <row r="294">
          <cell r="G294">
            <v>0</v>
          </cell>
          <cell r="H294">
            <v>0</v>
          </cell>
        </row>
        <row r="295">
          <cell r="G295">
            <v>2606694.02</v>
          </cell>
          <cell r="H295">
            <v>43889.99</v>
          </cell>
        </row>
        <row r="296">
          <cell r="G296">
            <v>0</v>
          </cell>
          <cell r="H296">
            <v>0</v>
          </cell>
        </row>
        <row r="297">
          <cell r="G297">
            <v>0</v>
          </cell>
          <cell r="H297">
            <v>0</v>
          </cell>
        </row>
        <row r="298">
          <cell r="G298">
            <v>2243769.91</v>
          </cell>
          <cell r="H298">
            <v>0</v>
          </cell>
        </row>
        <row r="299">
          <cell r="G299">
            <v>0</v>
          </cell>
          <cell r="H299">
            <v>0</v>
          </cell>
        </row>
        <row r="300">
          <cell r="G300">
            <v>0</v>
          </cell>
          <cell r="H300">
            <v>0</v>
          </cell>
        </row>
        <row r="301">
          <cell r="G301">
            <v>203654.83</v>
          </cell>
          <cell r="H301">
            <v>0</v>
          </cell>
        </row>
        <row r="302">
          <cell r="G302">
            <v>159269.28</v>
          </cell>
          <cell r="H302">
            <v>43889.99</v>
          </cell>
        </row>
        <row r="303">
          <cell r="G303">
            <v>0</v>
          </cell>
          <cell r="H303">
            <v>0</v>
          </cell>
        </row>
        <row r="304">
          <cell r="G304">
            <v>0</v>
          </cell>
          <cell r="H304">
            <v>0</v>
          </cell>
        </row>
        <row r="305">
          <cell r="G305">
            <v>0</v>
          </cell>
          <cell r="H305">
            <v>0</v>
          </cell>
        </row>
        <row r="306">
          <cell r="G306">
            <v>0</v>
          </cell>
          <cell r="H306">
            <v>0</v>
          </cell>
        </row>
        <row r="307">
          <cell r="G307">
            <v>0</v>
          </cell>
          <cell r="H307">
            <v>0</v>
          </cell>
        </row>
        <row r="308">
          <cell r="G308">
            <v>11735408.540000001</v>
          </cell>
          <cell r="H308">
            <v>85524.69</v>
          </cell>
        </row>
        <row r="309">
          <cell r="G309">
            <v>369511.66000000003</v>
          </cell>
          <cell r="H309">
            <v>0</v>
          </cell>
        </row>
        <row r="310">
          <cell r="G310">
            <v>369511.66000000003</v>
          </cell>
          <cell r="H310">
            <v>0</v>
          </cell>
        </row>
        <row r="311">
          <cell r="G311">
            <v>0</v>
          </cell>
          <cell r="H311">
            <v>0</v>
          </cell>
        </row>
        <row r="312">
          <cell r="G312">
            <v>132475.4</v>
          </cell>
          <cell r="H312">
            <v>0</v>
          </cell>
        </row>
        <row r="313">
          <cell r="G313">
            <v>132475.4</v>
          </cell>
          <cell r="H313">
            <v>0</v>
          </cell>
        </row>
        <row r="314">
          <cell r="G314">
            <v>10795595.390000001</v>
          </cell>
          <cell r="H314">
            <v>34220</v>
          </cell>
        </row>
        <row r="315">
          <cell r="G315">
            <v>10795595.390000001</v>
          </cell>
          <cell r="H315">
            <v>34220</v>
          </cell>
        </row>
        <row r="316">
          <cell r="G316">
            <v>0</v>
          </cell>
          <cell r="H316">
            <v>0</v>
          </cell>
        </row>
        <row r="317">
          <cell r="G317">
            <v>0</v>
          </cell>
          <cell r="H317">
            <v>0</v>
          </cell>
        </row>
        <row r="318">
          <cell r="G318">
            <v>0</v>
          </cell>
          <cell r="H318">
            <v>0</v>
          </cell>
        </row>
        <row r="319">
          <cell r="G319">
            <v>0</v>
          </cell>
          <cell r="H319">
            <v>0</v>
          </cell>
        </row>
        <row r="320">
          <cell r="G320">
            <v>388540.1</v>
          </cell>
          <cell r="H320">
            <v>0</v>
          </cell>
        </row>
        <row r="321">
          <cell r="G321">
            <v>388540.1</v>
          </cell>
          <cell r="H321">
            <v>0</v>
          </cell>
        </row>
        <row r="322">
          <cell r="G322">
            <v>0</v>
          </cell>
          <cell r="H322">
            <v>0</v>
          </cell>
        </row>
        <row r="323">
          <cell r="G323">
            <v>0</v>
          </cell>
          <cell r="H323">
            <v>0</v>
          </cell>
        </row>
        <row r="324">
          <cell r="G324">
            <v>23600</v>
          </cell>
          <cell r="H324">
            <v>0</v>
          </cell>
        </row>
        <row r="325">
          <cell r="G325">
            <v>19599.990000000002</v>
          </cell>
          <cell r="H325">
            <v>0</v>
          </cell>
        </row>
        <row r="326">
          <cell r="G326">
            <v>4000.01</v>
          </cell>
          <cell r="H326">
            <v>0</v>
          </cell>
        </row>
        <row r="327">
          <cell r="G327">
            <v>25685.99</v>
          </cell>
          <cell r="H327">
            <v>51304.69</v>
          </cell>
        </row>
        <row r="328">
          <cell r="G328">
            <v>0</v>
          </cell>
          <cell r="H328">
            <v>51304.69</v>
          </cell>
        </row>
        <row r="329">
          <cell r="G329">
            <v>25685.99</v>
          </cell>
          <cell r="H329">
            <v>0</v>
          </cell>
        </row>
        <row r="330">
          <cell r="G330">
            <v>0</v>
          </cell>
          <cell r="H330">
            <v>127420</v>
          </cell>
        </row>
        <row r="331">
          <cell r="G331">
            <v>0</v>
          </cell>
          <cell r="H331">
            <v>0</v>
          </cell>
        </row>
        <row r="332">
          <cell r="G332">
            <v>0</v>
          </cell>
          <cell r="H332">
            <v>127420</v>
          </cell>
        </row>
        <row r="333">
          <cell r="G333">
            <v>0</v>
          </cell>
          <cell r="H333">
            <v>0</v>
          </cell>
        </row>
        <row r="334">
          <cell r="G334">
            <v>0</v>
          </cell>
          <cell r="H334">
            <v>0</v>
          </cell>
        </row>
        <row r="335">
          <cell r="G335">
            <v>0</v>
          </cell>
          <cell r="H335">
            <v>0</v>
          </cell>
        </row>
        <row r="336">
          <cell r="G336">
            <v>11396849.359999999</v>
          </cell>
          <cell r="H336">
            <v>300539.37</v>
          </cell>
        </row>
        <row r="337">
          <cell r="G337">
            <v>678205</v>
          </cell>
          <cell r="H337">
            <v>0</v>
          </cell>
        </row>
        <row r="338">
          <cell r="G338">
            <v>494125</v>
          </cell>
          <cell r="H338">
            <v>0</v>
          </cell>
        </row>
        <row r="339">
          <cell r="G339">
            <v>494125</v>
          </cell>
          <cell r="H339">
            <v>0</v>
          </cell>
        </row>
        <row r="340">
          <cell r="G340">
            <v>0</v>
          </cell>
          <cell r="H340">
            <v>0</v>
          </cell>
        </row>
        <row r="341">
          <cell r="G341">
            <v>0</v>
          </cell>
          <cell r="H341">
            <v>0</v>
          </cell>
        </row>
        <row r="342">
          <cell r="G342">
            <v>184080</v>
          </cell>
          <cell r="H342">
            <v>0</v>
          </cell>
        </row>
        <row r="343">
          <cell r="G343">
            <v>184080</v>
          </cell>
          <cell r="H343">
            <v>0</v>
          </cell>
        </row>
        <row r="344">
          <cell r="G344">
            <v>0</v>
          </cell>
          <cell r="H344">
            <v>0</v>
          </cell>
        </row>
        <row r="345">
          <cell r="G345">
            <v>0</v>
          </cell>
          <cell r="H345">
            <v>0</v>
          </cell>
        </row>
        <row r="346">
          <cell r="G346">
            <v>0</v>
          </cell>
          <cell r="H346">
            <v>0</v>
          </cell>
        </row>
        <row r="347">
          <cell r="G347">
            <v>0</v>
          </cell>
          <cell r="H347">
            <v>0</v>
          </cell>
        </row>
        <row r="348">
          <cell r="G348">
            <v>0</v>
          </cell>
          <cell r="H348">
            <v>0</v>
          </cell>
        </row>
        <row r="349">
          <cell r="G349">
            <v>0</v>
          </cell>
          <cell r="H349">
            <v>0</v>
          </cell>
        </row>
        <row r="350">
          <cell r="G350">
            <v>0</v>
          </cell>
          <cell r="H350">
            <v>0</v>
          </cell>
        </row>
        <row r="351">
          <cell r="G351">
            <v>0</v>
          </cell>
          <cell r="H351">
            <v>0</v>
          </cell>
        </row>
        <row r="352">
          <cell r="G352">
            <v>0</v>
          </cell>
          <cell r="H352">
            <v>0</v>
          </cell>
        </row>
        <row r="353">
          <cell r="G353">
            <v>0</v>
          </cell>
          <cell r="H353">
            <v>0</v>
          </cell>
        </row>
        <row r="354">
          <cell r="G354">
            <v>0</v>
          </cell>
          <cell r="H354">
            <v>0</v>
          </cell>
        </row>
        <row r="355">
          <cell r="G355">
            <v>0</v>
          </cell>
          <cell r="H355">
            <v>0</v>
          </cell>
        </row>
        <row r="356">
          <cell r="G356">
            <v>0</v>
          </cell>
          <cell r="H356">
            <v>0</v>
          </cell>
        </row>
        <row r="357">
          <cell r="G357">
            <v>10715444.389999999</v>
          </cell>
          <cell r="H357">
            <v>0</v>
          </cell>
        </row>
        <row r="358">
          <cell r="G358">
            <v>10667064.389999999</v>
          </cell>
          <cell r="H358">
            <v>0</v>
          </cell>
        </row>
        <row r="359">
          <cell r="G359">
            <v>10667064.389999999</v>
          </cell>
          <cell r="H359">
            <v>0</v>
          </cell>
        </row>
        <row r="360">
          <cell r="G360">
            <v>48380</v>
          </cell>
          <cell r="H360">
            <v>0</v>
          </cell>
        </row>
        <row r="361">
          <cell r="G361">
            <v>48380</v>
          </cell>
          <cell r="H361">
            <v>0</v>
          </cell>
        </row>
        <row r="362">
          <cell r="G362">
            <v>0</v>
          </cell>
          <cell r="H362">
            <v>0</v>
          </cell>
        </row>
        <row r="363">
          <cell r="G363">
            <v>0</v>
          </cell>
          <cell r="H363">
            <v>0</v>
          </cell>
        </row>
        <row r="364">
          <cell r="G364">
            <v>0</v>
          </cell>
          <cell r="H364">
            <v>0</v>
          </cell>
        </row>
        <row r="365">
          <cell r="G365">
            <v>0</v>
          </cell>
          <cell r="H365">
            <v>0</v>
          </cell>
        </row>
        <row r="366">
          <cell r="G366">
            <v>0</v>
          </cell>
          <cell r="H366">
            <v>107609.37</v>
          </cell>
        </row>
        <row r="367">
          <cell r="G367">
            <v>0</v>
          </cell>
          <cell r="H367">
            <v>0</v>
          </cell>
        </row>
        <row r="368">
          <cell r="G368">
            <v>0</v>
          </cell>
          <cell r="H368">
            <v>0</v>
          </cell>
        </row>
        <row r="369">
          <cell r="G369">
            <v>0</v>
          </cell>
          <cell r="H369">
            <v>0</v>
          </cell>
        </row>
        <row r="370">
          <cell r="G370">
            <v>0</v>
          </cell>
          <cell r="H370">
            <v>0</v>
          </cell>
        </row>
        <row r="371">
          <cell r="G371">
            <v>0</v>
          </cell>
          <cell r="H371">
            <v>0</v>
          </cell>
        </row>
        <row r="372">
          <cell r="G372">
            <v>0</v>
          </cell>
          <cell r="H372">
            <v>0</v>
          </cell>
        </row>
        <row r="373">
          <cell r="G373">
            <v>0</v>
          </cell>
          <cell r="H373">
            <v>0</v>
          </cell>
        </row>
        <row r="374">
          <cell r="G374">
            <v>0</v>
          </cell>
          <cell r="H374">
            <v>0</v>
          </cell>
        </row>
        <row r="375">
          <cell r="G375">
            <v>0</v>
          </cell>
          <cell r="H375">
            <v>0</v>
          </cell>
        </row>
        <row r="376">
          <cell r="G376">
            <v>0</v>
          </cell>
          <cell r="H376">
            <v>0</v>
          </cell>
        </row>
        <row r="377">
          <cell r="G377">
            <v>0</v>
          </cell>
          <cell r="H377">
            <v>107609.37</v>
          </cell>
        </row>
        <row r="378">
          <cell r="G378">
            <v>0</v>
          </cell>
          <cell r="H378">
            <v>107609.37</v>
          </cell>
        </row>
        <row r="379">
          <cell r="G379">
            <v>0</v>
          </cell>
          <cell r="H379">
            <v>0</v>
          </cell>
        </row>
        <row r="380">
          <cell r="G380">
            <v>0</v>
          </cell>
          <cell r="H380">
            <v>0</v>
          </cell>
        </row>
        <row r="381">
          <cell r="G381">
            <v>0</v>
          </cell>
          <cell r="H381">
            <v>0</v>
          </cell>
        </row>
        <row r="382">
          <cell r="G382">
            <v>0</v>
          </cell>
          <cell r="H382">
            <v>0</v>
          </cell>
        </row>
        <row r="383">
          <cell r="G383">
            <v>3199.97</v>
          </cell>
          <cell r="H383">
            <v>192930</v>
          </cell>
        </row>
        <row r="384">
          <cell r="G384">
            <v>0</v>
          </cell>
          <cell r="H384">
            <v>0</v>
          </cell>
        </row>
        <row r="385">
          <cell r="G385">
            <v>0</v>
          </cell>
          <cell r="H385">
            <v>0</v>
          </cell>
        </row>
        <row r="386">
          <cell r="G386">
            <v>0</v>
          </cell>
          <cell r="H386">
            <v>0</v>
          </cell>
        </row>
        <row r="387">
          <cell r="G387">
            <v>0</v>
          </cell>
          <cell r="H387">
            <v>0</v>
          </cell>
        </row>
        <row r="388">
          <cell r="G388">
            <v>0</v>
          </cell>
          <cell r="H388">
            <v>0</v>
          </cell>
        </row>
        <row r="389">
          <cell r="G389">
            <v>0</v>
          </cell>
          <cell r="H389">
            <v>0</v>
          </cell>
        </row>
        <row r="390">
          <cell r="G390">
            <v>0</v>
          </cell>
          <cell r="H390">
            <v>192930</v>
          </cell>
        </row>
        <row r="391">
          <cell r="G391">
            <v>0</v>
          </cell>
          <cell r="H391">
            <v>192930</v>
          </cell>
        </row>
        <row r="392">
          <cell r="G392">
            <v>0</v>
          </cell>
          <cell r="H392">
            <v>0</v>
          </cell>
        </row>
        <row r="393">
          <cell r="G393">
            <v>0</v>
          </cell>
          <cell r="H393">
            <v>0</v>
          </cell>
        </row>
        <row r="394">
          <cell r="G394">
            <v>3199.97</v>
          </cell>
          <cell r="H394">
            <v>0</v>
          </cell>
        </row>
        <row r="395">
          <cell r="G395">
            <v>3199.97</v>
          </cell>
          <cell r="H395">
            <v>0</v>
          </cell>
        </row>
        <row r="396">
          <cell r="G396">
            <v>0</v>
          </cell>
          <cell r="H396">
            <v>0</v>
          </cell>
        </row>
        <row r="397">
          <cell r="G397">
            <v>0</v>
          </cell>
          <cell r="H397">
            <v>0</v>
          </cell>
        </row>
        <row r="398">
          <cell r="G398">
            <v>0</v>
          </cell>
          <cell r="H398">
            <v>0</v>
          </cell>
        </row>
        <row r="399">
          <cell r="G399">
            <v>0</v>
          </cell>
          <cell r="H399">
            <v>0</v>
          </cell>
        </row>
        <row r="400">
          <cell r="G400">
            <v>0</v>
          </cell>
          <cell r="H400">
            <v>0</v>
          </cell>
        </row>
        <row r="401">
          <cell r="G401">
            <v>0</v>
          </cell>
          <cell r="H401">
            <v>0</v>
          </cell>
        </row>
        <row r="402">
          <cell r="G402">
            <v>0</v>
          </cell>
          <cell r="H402">
            <v>0</v>
          </cell>
        </row>
        <row r="403">
          <cell r="G403">
            <v>0</v>
          </cell>
          <cell r="H403">
            <v>0</v>
          </cell>
        </row>
        <row r="404">
          <cell r="G404">
            <v>0</v>
          </cell>
          <cell r="H404">
            <v>0</v>
          </cell>
        </row>
        <row r="405">
          <cell r="G405">
            <v>0</v>
          </cell>
          <cell r="H405">
            <v>0</v>
          </cell>
        </row>
        <row r="406">
          <cell r="G406">
            <v>0</v>
          </cell>
          <cell r="H406">
            <v>0</v>
          </cell>
        </row>
        <row r="407">
          <cell r="G407">
            <v>0</v>
          </cell>
          <cell r="H407">
            <v>0</v>
          </cell>
        </row>
        <row r="408">
          <cell r="G408">
            <v>0</v>
          </cell>
          <cell r="H408">
            <v>0</v>
          </cell>
        </row>
        <row r="409">
          <cell r="G409">
            <v>0</v>
          </cell>
          <cell r="H409">
            <v>0</v>
          </cell>
        </row>
        <row r="410">
          <cell r="G410">
            <v>0</v>
          </cell>
          <cell r="H410">
            <v>0</v>
          </cell>
        </row>
        <row r="411">
          <cell r="G411">
            <v>0</v>
          </cell>
          <cell r="H411">
            <v>0</v>
          </cell>
        </row>
        <row r="412">
          <cell r="G412">
            <v>0</v>
          </cell>
          <cell r="H412">
            <v>0</v>
          </cell>
        </row>
        <row r="413">
          <cell r="G413">
            <v>0</v>
          </cell>
          <cell r="H413">
            <v>0</v>
          </cell>
        </row>
        <row r="414">
          <cell r="G414">
            <v>0</v>
          </cell>
          <cell r="H414">
            <v>0</v>
          </cell>
        </row>
        <row r="415">
          <cell r="G415">
            <v>0</v>
          </cell>
          <cell r="H415">
            <v>0</v>
          </cell>
        </row>
        <row r="416">
          <cell r="G416">
            <v>0</v>
          </cell>
          <cell r="H416">
            <v>0</v>
          </cell>
        </row>
        <row r="417">
          <cell r="G417">
            <v>0</v>
          </cell>
          <cell r="H417">
            <v>0</v>
          </cell>
        </row>
        <row r="418">
          <cell r="G418">
            <v>0</v>
          </cell>
          <cell r="H418">
            <v>0</v>
          </cell>
        </row>
        <row r="419">
          <cell r="G419">
            <v>0</v>
          </cell>
          <cell r="H419">
            <v>0</v>
          </cell>
        </row>
        <row r="420">
          <cell r="G420">
            <v>0</v>
          </cell>
          <cell r="H420">
            <v>0</v>
          </cell>
        </row>
        <row r="421">
          <cell r="G421">
            <v>0</v>
          </cell>
          <cell r="H421">
            <v>0</v>
          </cell>
        </row>
        <row r="422">
          <cell r="G422">
            <v>0</v>
          </cell>
          <cell r="H422">
            <v>0</v>
          </cell>
        </row>
        <row r="423">
          <cell r="G423">
            <v>0</v>
          </cell>
          <cell r="H423">
            <v>0</v>
          </cell>
        </row>
        <row r="424">
          <cell r="G424">
            <v>0</v>
          </cell>
          <cell r="H424">
            <v>0</v>
          </cell>
        </row>
        <row r="425">
          <cell r="G425">
            <v>0</v>
          </cell>
          <cell r="H425">
            <v>0</v>
          </cell>
        </row>
        <row r="426">
          <cell r="G426">
            <v>0</v>
          </cell>
          <cell r="H426">
            <v>0</v>
          </cell>
        </row>
        <row r="427">
          <cell r="G427">
            <v>0</v>
          </cell>
          <cell r="H427">
            <v>0</v>
          </cell>
        </row>
        <row r="428">
          <cell r="G428">
            <v>0</v>
          </cell>
          <cell r="H428">
            <v>0</v>
          </cell>
        </row>
        <row r="429">
          <cell r="G429">
            <v>0</v>
          </cell>
          <cell r="H429">
            <v>0</v>
          </cell>
        </row>
        <row r="430">
          <cell r="G430">
            <v>0</v>
          </cell>
          <cell r="H430">
            <v>0</v>
          </cell>
        </row>
        <row r="431">
          <cell r="G431">
            <v>0</v>
          </cell>
          <cell r="H431">
            <v>0</v>
          </cell>
        </row>
        <row r="432">
          <cell r="G432">
            <v>0</v>
          </cell>
          <cell r="H432">
            <v>0</v>
          </cell>
        </row>
        <row r="433">
          <cell r="G433">
            <v>0</v>
          </cell>
          <cell r="H433">
            <v>0</v>
          </cell>
        </row>
        <row r="434">
          <cell r="G434">
            <v>0</v>
          </cell>
          <cell r="H434">
            <v>0</v>
          </cell>
        </row>
        <row r="435">
          <cell r="G435">
            <v>0</v>
          </cell>
          <cell r="H435">
            <v>0</v>
          </cell>
        </row>
        <row r="436">
          <cell r="G436">
            <v>0</v>
          </cell>
          <cell r="H436">
            <v>0</v>
          </cell>
        </row>
        <row r="437">
          <cell r="G437">
            <v>0</v>
          </cell>
          <cell r="H437">
            <v>0</v>
          </cell>
        </row>
        <row r="438">
          <cell r="G438">
            <v>0</v>
          </cell>
          <cell r="H438">
            <v>0</v>
          </cell>
        </row>
        <row r="439">
          <cell r="G439">
            <v>0</v>
          </cell>
          <cell r="H439">
            <v>0</v>
          </cell>
        </row>
        <row r="440">
          <cell r="G440">
            <v>0</v>
          </cell>
          <cell r="H440">
            <v>0</v>
          </cell>
        </row>
        <row r="441">
          <cell r="G441">
            <v>0</v>
          </cell>
          <cell r="H441">
            <v>0</v>
          </cell>
        </row>
        <row r="442">
          <cell r="G442">
            <v>0</v>
          </cell>
          <cell r="H442">
            <v>0</v>
          </cell>
        </row>
        <row r="443">
          <cell r="G443">
            <v>0</v>
          </cell>
          <cell r="H443">
            <v>0</v>
          </cell>
        </row>
        <row r="444">
          <cell r="G444">
            <v>0</v>
          </cell>
          <cell r="H444">
            <v>0</v>
          </cell>
        </row>
        <row r="445">
          <cell r="G445">
            <v>0</v>
          </cell>
          <cell r="H445">
            <v>0</v>
          </cell>
        </row>
        <row r="446">
          <cell r="G446">
            <v>0</v>
          </cell>
          <cell r="H446">
            <v>0</v>
          </cell>
        </row>
        <row r="447">
          <cell r="G447">
            <v>0</v>
          </cell>
          <cell r="H447">
            <v>0</v>
          </cell>
        </row>
        <row r="448">
          <cell r="G448">
            <v>0</v>
          </cell>
          <cell r="H448">
            <v>0</v>
          </cell>
        </row>
        <row r="449">
          <cell r="G449">
            <v>0</v>
          </cell>
          <cell r="H449">
            <v>0</v>
          </cell>
        </row>
        <row r="450">
          <cell r="G450">
            <v>0</v>
          </cell>
          <cell r="H450">
            <v>0</v>
          </cell>
        </row>
        <row r="451">
          <cell r="G451">
            <v>0</v>
          </cell>
          <cell r="H451">
            <v>0</v>
          </cell>
        </row>
        <row r="452">
          <cell r="G452">
            <v>0</v>
          </cell>
          <cell r="H452">
            <v>0</v>
          </cell>
        </row>
        <row r="453">
          <cell r="G453">
            <v>0</v>
          </cell>
          <cell r="H453">
            <v>0</v>
          </cell>
        </row>
        <row r="454">
          <cell r="G454">
            <v>0</v>
          </cell>
          <cell r="H454">
            <v>0</v>
          </cell>
        </row>
        <row r="455">
          <cell r="G455">
            <v>0</v>
          </cell>
          <cell r="H455">
            <v>0</v>
          </cell>
        </row>
        <row r="456">
          <cell r="G456">
            <v>0</v>
          </cell>
          <cell r="H456">
            <v>0</v>
          </cell>
        </row>
        <row r="457">
          <cell r="G457">
            <v>0</v>
          </cell>
          <cell r="H457">
            <v>0</v>
          </cell>
        </row>
        <row r="458">
          <cell r="G458">
            <v>0</v>
          </cell>
          <cell r="H458">
            <v>0</v>
          </cell>
        </row>
        <row r="459">
          <cell r="G459">
            <v>0</v>
          </cell>
          <cell r="H459">
            <v>0</v>
          </cell>
        </row>
        <row r="460">
          <cell r="G460">
            <v>0</v>
          </cell>
          <cell r="H460">
            <v>0</v>
          </cell>
        </row>
        <row r="461">
          <cell r="G461">
            <v>0</v>
          </cell>
          <cell r="H461">
            <v>0</v>
          </cell>
        </row>
        <row r="462">
          <cell r="G462">
            <v>0</v>
          </cell>
          <cell r="H462">
            <v>0</v>
          </cell>
        </row>
        <row r="463">
          <cell r="G463">
            <v>0</v>
          </cell>
          <cell r="H463">
            <v>0</v>
          </cell>
        </row>
        <row r="464">
          <cell r="G464">
            <v>0</v>
          </cell>
          <cell r="H464">
            <v>0</v>
          </cell>
        </row>
        <row r="465">
          <cell r="G465">
            <v>0</v>
          </cell>
          <cell r="H465">
            <v>0</v>
          </cell>
        </row>
        <row r="466">
          <cell r="G466">
            <v>0</v>
          </cell>
          <cell r="H466">
            <v>0</v>
          </cell>
        </row>
        <row r="467">
          <cell r="G467">
            <v>0</v>
          </cell>
          <cell r="H467">
            <v>0</v>
          </cell>
        </row>
        <row r="468">
          <cell r="G468">
            <v>0</v>
          </cell>
          <cell r="H468">
            <v>0</v>
          </cell>
        </row>
        <row r="469">
          <cell r="G469">
            <v>0</v>
          </cell>
          <cell r="H469">
            <v>0</v>
          </cell>
        </row>
        <row r="470">
          <cell r="G470">
            <v>0</v>
          </cell>
          <cell r="H470">
            <v>0</v>
          </cell>
        </row>
        <row r="471">
          <cell r="G471">
            <v>0</v>
          </cell>
          <cell r="H471">
            <v>0</v>
          </cell>
        </row>
        <row r="472">
          <cell r="G472">
            <v>0</v>
          </cell>
          <cell r="H472">
            <v>0</v>
          </cell>
        </row>
        <row r="473">
          <cell r="G473">
            <v>0</v>
          </cell>
          <cell r="H473">
            <v>0</v>
          </cell>
        </row>
        <row r="474">
          <cell r="G474">
            <v>0</v>
          </cell>
          <cell r="H474">
            <v>0</v>
          </cell>
        </row>
        <row r="475">
          <cell r="G475">
            <v>0</v>
          </cell>
          <cell r="H475">
            <v>0</v>
          </cell>
        </row>
        <row r="476">
          <cell r="G476">
            <v>0</v>
          </cell>
          <cell r="H476">
            <v>0</v>
          </cell>
        </row>
        <row r="477">
          <cell r="G477">
            <v>0</v>
          </cell>
          <cell r="H477">
            <v>0</v>
          </cell>
        </row>
        <row r="478">
          <cell r="G478">
            <v>0</v>
          </cell>
          <cell r="H478">
            <v>0</v>
          </cell>
        </row>
        <row r="479">
          <cell r="G479">
            <v>0</v>
          </cell>
          <cell r="H479">
            <v>0</v>
          </cell>
        </row>
        <row r="480">
          <cell r="G480">
            <v>0</v>
          </cell>
          <cell r="H480">
            <v>0</v>
          </cell>
        </row>
        <row r="481">
          <cell r="G481">
            <v>0</v>
          </cell>
          <cell r="H481">
            <v>0</v>
          </cell>
        </row>
        <row r="482">
          <cell r="G482">
            <v>0</v>
          </cell>
          <cell r="H482">
            <v>0</v>
          </cell>
        </row>
        <row r="483">
          <cell r="G483">
            <v>0</v>
          </cell>
          <cell r="H483">
            <v>0</v>
          </cell>
        </row>
        <row r="484">
          <cell r="G484">
            <v>0</v>
          </cell>
          <cell r="H484">
            <v>0</v>
          </cell>
        </row>
        <row r="485">
          <cell r="G485">
            <v>0</v>
          </cell>
          <cell r="H485">
            <v>0</v>
          </cell>
        </row>
        <row r="486">
          <cell r="G486">
            <v>0</v>
          </cell>
          <cell r="H486">
            <v>0</v>
          </cell>
        </row>
        <row r="487">
          <cell r="G487">
            <v>0</v>
          </cell>
          <cell r="H487">
            <v>0</v>
          </cell>
        </row>
        <row r="488">
          <cell r="G488">
            <v>0</v>
          </cell>
          <cell r="H488">
            <v>0</v>
          </cell>
        </row>
        <row r="489">
          <cell r="G489">
            <v>0</v>
          </cell>
          <cell r="H489">
            <v>0</v>
          </cell>
        </row>
        <row r="490">
          <cell r="G490">
            <v>0</v>
          </cell>
          <cell r="H490">
            <v>0</v>
          </cell>
        </row>
        <row r="491">
          <cell r="G491">
            <v>0</v>
          </cell>
          <cell r="H491">
            <v>0</v>
          </cell>
        </row>
        <row r="492">
          <cell r="G492">
            <v>0</v>
          </cell>
          <cell r="H492">
            <v>0</v>
          </cell>
        </row>
        <row r="493">
          <cell r="G493">
            <v>0</v>
          </cell>
          <cell r="H493">
            <v>0</v>
          </cell>
        </row>
        <row r="494">
          <cell r="G494">
            <v>0</v>
          </cell>
          <cell r="H494">
            <v>0</v>
          </cell>
        </row>
        <row r="495">
          <cell r="G495">
            <v>0</v>
          </cell>
          <cell r="H495">
            <v>0</v>
          </cell>
        </row>
        <row r="496">
          <cell r="G496">
            <v>0</v>
          </cell>
          <cell r="H496">
            <v>0</v>
          </cell>
        </row>
        <row r="497">
          <cell r="G497">
            <v>0</v>
          </cell>
          <cell r="H497">
            <v>0</v>
          </cell>
        </row>
        <row r="498">
          <cell r="G498">
            <v>0</v>
          </cell>
          <cell r="H498">
            <v>0</v>
          </cell>
        </row>
        <row r="499">
          <cell r="G499">
            <v>0</v>
          </cell>
          <cell r="H499">
            <v>0</v>
          </cell>
        </row>
        <row r="500">
          <cell r="G500">
            <v>0</v>
          </cell>
          <cell r="H500">
            <v>0</v>
          </cell>
        </row>
        <row r="501">
          <cell r="G501">
            <v>0</v>
          </cell>
          <cell r="H501">
            <v>0</v>
          </cell>
        </row>
      </sheetData>
      <sheetData sheetId="1">
        <row r="14">
          <cell r="I14"/>
        </row>
        <row r="15">
          <cell r="G15">
            <v>100316795.08</v>
          </cell>
          <cell r="I15">
            <v>0</v>
          </cell>
        </row>
        <row r="16">
          <cell r="G16">
            <v>9549024.620000001</v>
          </cell>
        </row>
        <row r="29">
          <cell r="G29">
            <v>53156477.630000003</v>
          </cell>
          <cell r="H29">
            <v>0</v>
          </cell>
        </row>
        <row r="30">
          <cell r="G30">
            <v>0</v>
          </cell>
          <cell r="H30">
            <v>0</v>
          </cell>
        </row>
        <row r="31">
          <cell r="G31">
            <v>0</v>
          </cell>
          <cell r="H31">
            <v>0</v>
          </cell>
        </row>
        <row r="32">
          <cell r="G32">
            <v>0</v>
          </cell>
          <cell r="H32">
            <v>0</v>
          </cell>
        </row>
        <row r="33">
          <cell r="G33">
            <v>0</v>
          </cell>
          <cell r="H33">
            <v>0</v>
          </cell>
        </row>
        <row r="34">
          <cell r="G34">
            <v>0</v>
          </cell>
          <cell r="H34">
            <v>0</v>
          </cell>
        </row>
        <row r="35">
          <cell r="G35">
            <v>1096531.03</v>
          </cell>
          <cell r="H35">
            <v>0</v>
          </cell>
        </row>
        <row r="36">
          <cell r="G36">
            <v>0</v>
          </cell>
          <cell r="H36">
            <v>0</v>
          </cell>
        </row>
        <row r="37">
          <cell r="G37">
            <v>0</v>
          </cell>
          <cell r="H37">
            <v>0</v>
          </cell>
        </row>
        <row r="38">
          <cell r="G38">
            <v>0</v>
          </cell>
          <cell r="H38">
            <v>0</v>
          </cell>
        </row>
        <row r="39">
          <cell r="G39">
            <v>1096531.03</v>
          </cell>
          <cell r="H39">
            <v>0</v>
          </cell>
        </row>
        <row r="40">
          <cell r="G40">
            <v>0</v>
          </cell>
          <cell r="H40">
            <v>0</v>
          </cell>
        </row>
        <row r="41">
          <cell r="G41">
            <v>0</v>
          </cell>
          <cell r="H41">
            <v>0</v>
          </cell>
        </row>
        <row r="42">
          <cell r="G42">
            <v>0</v>
          </cell>
          <cell r="H42">
            <v>0</v>
          </cell>
        </row>
        <row r="43">
          <cell r="G43">
            <v>0</v>
          </cell>
          <cell r="H43">
            <v>0</v>
          </cell>
        </row>
        <row r="44">
          <cell r="G44">
            <v>0</v>
          </cell>
          <cell r="H44">
            <v>0</v>
          </cell>
        </row>
        <row r="45">
          <cell r="G45">
            <v>0</v>
          </cell>
          <cell r="H45">
            <v>0</v>
          </cell>
        </row>
        <row r="46">
          <cell r="G46">
            <v>1333120.1499999999</v>
          </cell>
          <cell r="H46">
            <v>0</v>
          </cell>
        </row>
        <row r="47">
          <cell r="G47">
            <v>815000</v>
          </cell>
          <cell r="H47">
            <v>0</v>
          </cell>
        </row>
        <row r="48">
          <cell r="G48">
            <v>0</v>
          </cell>
          <cell r="H48">
            <v>0</v>
          </cell>
        </row>
        <row r="49">
          <cell r="G49">
            <v>0</v>
          </cell>
          <cell r="H49">
            <v>0</v>
          </cell>
        </row>
        <row r="50">
          <cell r="G50">
            <v>518120.15</v>
          </cell>
          <cell r="H50">
            <v>0</v>
          </cell>
        </row>
        <row r="51">
          <cell r="G51">
            <v>3197999.6</v>
          </cell>
          <cell r="H51">
            <v>0</v>
          </cell>
        </row>
        <row r="52">
          <cell r="G52">
            <v>2752136.5</v>
          </cell>
          <cell r="H52">
            <v>0</v>
          </cell>
        </row>
        <row r="53">
          <cell r="G53">
            <v>2752136.5</v>
          </cell>
          <cell r="H53">
            <v>0</v>
          </cell>
        </row>
        <row r="54">
          <cell r="G54">
            <v>445863.1</v>
          </cell>
          <cell r="H54">
            <v>0</v>
          </cell>
        </row>
        <row r="55">
          <cell r="G55">
            <v>0</v>
          </cell>
          <cell r="H55">
            <v>0</v>
          </cell>
        </row>
        <row r="56">
          <cell r="G56">
            <v>0</v>
          </cell>
          <cell r="H56">
            <v>0</v>
          </cell>
        </row>
        <row r="57">
          <cell r="G57">
            <v>0</v>
          </cell>
          <cell r="H57">
            <v>0</v>
          </cell>
        </row>
        <row r="58">
          <cell r="G58">
            <v>45000</v>
          </cell>
          <cell r="H58">
            <v>0</v>
          </cell>
        </row>
        <row r="59">
          <cell r="G59">
            <v>0</v>
          </cell>
          <cell r="H59">
            <v>0</v>
          </cell>
        </row>
        <row r="60">
          <cell r="G60">
            <v>0</v>
          </cell>
          <cell r="H60">
            <v>0</v>
          </cell>
        </row>
        <row r="61">
          <cell r="G61">
            <v>331200</v>
          </cell>
          <cell r="H61">
            <v>0</v>
          </cell>
        </row>
        <row r="62">
          <cell r="G62">
            <v>0</v>
          </cell>
          <cell r="H62">
            <v>0</v>
          </cell>
        </row>
        <row r="63">
          <cell r="G63">
            <v>69663.099999999991</v>
          </cell>
          <cell r="H63">
            <v>0</v>
          </cell>
        </row>
        <row r="64">
          <cell r="G64">
            <v>0</v>
          </cell>
          <cell r="H64">
            <v>0</v>
          </cell>
        </row>
        <row r="65">
          <cell r="G65">
            <v>0</v>
          </cell>
          <cell r="H65">
            <v>0</v>
          </cell>
        </row>
        <row r="66">
          <cell r="G66">
            <v>0</v>
          </cell>
          <cell r="H66">
            <v>0</v>
          </cell>
        </row>
        <row r="67">
          <cell r="G67">
            <v>0</v>
          </cell>
          <cell r="H67">
            <v>0</v>
          </cell>
        </row>
        <row r="68">
          <cell r="G68">
            <v>0</v>
          </cell>
          <cell r="H68">
            <v>0</v>
          </cell>
        </row>
        <row r="69">
          <cell r="G69">
            <v>0</v>
          </cell>
          <cell r="H69">
            <v>0</v>
          </cell>
        </row>
        <row r="70">
          <cell r="G70">
            <v>0</v>
          </cell>
          <cell r="H70">
            <v>0</v>
          </cell>
        </row>
        <row r="71">
          <cell r="G71">
            <v>0</v>
          </cell>
          <cell r="H71">
            <v>0</v>
          </cell>
        </row>
        <row r="72">
          <cell r="G72">
            <v>0</v>
          </cell>
          <cell r="H72">
            <v>0</v>
          </cell>
        </row>
        <row r="73">
          <cell r="G73">
            <v>0</v>
          </cell>
          <cell r="H73">
            <v>0</v>
          </cell>
        </row>
        <row r="74">
          <cell r="G74">
            <v>0</v>
          </cell>
          <cell r="H74">
            <v>0</v>
          </cell>
        </row>
        <row r="75">
          <cell r="G75">
            <v>0</v>
          </cell>
          <cell r="H75">
            <v>0</v>
          </cell>
        </row>
        <row r="76">
          <cell r="G76">
            <v>0</v>
          </cell>
          <cell r="H76">
            <v>0</v>
          </cell>
        </row>
        <row r="77">
          <cell r="G77">
            <v>0</v>
          </cell>
          <cell r="H77">
            <v>0</v>
          </cell>
        </row>
        <row r="78">
          <cell r="G78">
            <v>8347807.5299999993</v>
          </cell>
          <cell r="H78">
            <v>0</v>
          </cell>
        </row>
        <row r="79">
          <cell r="G79">
            <v>3846540.61</v>
          </cell>
          <cell r="H79">
            <v>0</v>
          </cell>
        </row>
        <row r="80">
          <cell r="G80">
            <v>3846540.61</v>
          </cell>
          <cell r="H80">
            <v>0</v>
          </cell>
        </row>
        <row r="81">
          <cell r="G81">
            <v>3851964.0700000003</v>
          </cell>
          <cell r="H81">
            <v>0</v>
          </cell>
        </row>
        <row r="82">
          <cell r="G82">
            <v>3851964.0700000003</v>
          </cell>
          <cell r="H82">
            <v>0</v>
          </cell>
        </row>
        <row r="83">
          <cell r="G83">
            <v>649302.85000000009</v>
          </cell>
          <cell r="H83">
            <v>0</v>
          </cell>
        </row>
        <row r="84">
          <cell r="G84">
            <v>649302.85000000009</v>
          </cell>
          <cell r="H84">
            <v>0</v>
          </cell>
        </row>
        <row r="85">
          <cell r="G85">
            <v>0</v>
          </cell>
          <cell r="H85">
            <v>0</v>
          </cell>
        </row>
        <row r="86">
          <cell r="G86">
            <v>0</v>
          </cell>
          <cell r="H86">
            <v>0</v>
          </cell>
        </row>
        <row r="87">
          <cell r="G87">
            <v>1336968.6400000001</v>
          </cell>
          <cell r="H87">
            <v>1213383.3500000001</v>
          </cell>
        </row>
        <row r="88">
          <cell r="G88">
            <v>0</v>
          </cell>
          <cell r="H88">
            <v>259054.40000000002</v>
          </cell>
        </row>
        <row r="89">
          <cell r="G89">
            <v>0</v>
          </cell>
          <cell r="H89">
            <v>0</v>
          </cell>
        </row>
        <row r="90">
          <cell r="G90">
            <v>0</v>
          </cell>
          <cell r="H90">
            <v>0</v>
          </cell>
        </row>
        <row r="91">
          <cell r="G91">
            <v>0</v>
          </cell>
          <cell r="H91">
            <v>0</v>
          </cell>
        </row>
        <row r="92">
          <cell r="G92">
            <v>0</v>
          </cell>
          <cell r="H92">
            <v>0</v>
          </cell>
        </row>
        <row r="93">
          <cell r="G93">
            <v>0</v>
          </cell>
          <cell r="H93">
            <v>259054.40000000002</v>
          </cell>
        </row>
        <row r="94">
          <cell r="G94">
            <v>0</v>
          </cell>
          <cell r="H94">
            <v>259054.40000000002</v>
          </cell>
        </row>
        <row r="95">
          <cell r="G95">
            <v>0</v>
          </cell>
          <cell r="H95">
            <v>0</v>
          </cell>
        </row>
        <row r="96">
          <cell r="G96">
            <v>0</v>
          </cell>
          <cell r="H96">
            <v>0</v>
          </cell>
        </row>
        <row r="97">
          <cell r="G97">
            <v>0</v>
          </cell>
          <cell r="H97">
            <v>0</v>
          </cell>
        </row>
        <row r="98">
          <cell r="G98">
            <v>0</v>
          </cell>
          <cell r="H98">
            <v>0</v>
          </cell>
        </row>
        <row r="99">
          <cell r="G99">
            <v>0</v>
          </cell>
          <cell r="H99">
            <v>0</v>
          </cell>
        </row>
        <row r="100">
          <cell r="G100">
            <v>0</v>
          </cell>
          <cell r="H100">
            <v>0</v>
          </cell>
        </row>
        <row r="101">
          <cell r="G101">
            <v>0</v>
          </cell>
          <cell r="H101">
            <v>0</v>
          </cell>
        </row>
        <row r="102">
          <cell r="G102">
            <v>0</v>
          </cell>
          <cell r="H102">
            <v>0</v>
          </cell>
        </row>
        <row r="103">
          <cell r="G103">
            <v>0</v>
          </cell>
          <cell r="H103">
            <v>0</v>
          </cell>
        </row>
        <row r="104">
          <cell r="G104">
            <v>0</v>
          </cell>
          <cell r="H104">
            <v>0</v>
          </cell>
        </row>
        <row r="105">
          <cell r="G105">
            <v>0</v>
          </cell>
          <cell r="H105">
            <v>0</v>
          </cell>
        </row>
        <row r="106">
          <cell r="G106">
            <v>324206.83</v>
          </cell>
          <cell r="H106">
            <v>0</v>
          </cell>
        </row>
        <row r="107">
          <cell r="G107">
            <v>0</v>
          </cell>
          <cell r="H107">
            <v>0</v>
          </cell>
        </row>
        <row r="108">
          <cell r="G108">
            <v>0</v>
          </cell>
          <cell r="H108">
            <v>0</v>
          </cell>
        </row>
        <row r="109">
          <cell r="G109">
            <v>324206.83</v>
          </cell>
          <cell r="H109">
            <v>0</v>
          </cell>
        </row>
        <row r="110">
          <cell r="G110">
            <v>324206.83</v>
          </cell>
          <cell r="H110">
            <v>0</v>
          </cell>
        </row>
        <row r="111">
          <cell r="G111">
            <v>0</v>
          </cell>
          <cell r="H111">
            <v>0</v>
          </cell>
        </row>
        <row r="112">
          <cell r="G112">
            <v>0</v>
          </cell>
          <cell r="H112">
            <v>0</v>
          </cell>
        </row>
        <row r="113">
          <cell r="G113">
            <v>0</v>
          </cell>
          <cell r="H113">
            <v>0</v>
          </cell>
        </row>
        <row r="114">
          <cell r="G114">
            <v>0</v>
          </cell>
          <cell r="H114">
            <v>0</v>
          </cell>
        </row>
        <row r="115">
          <cell r="G115">
            <v>0</v>
          </cell>
          <cell r="H115">
            <v>0</v>
          </cell>
        </row>
        <row r="116">
          <cell r="G116">
            <v>0</v>
          </cell>
          <cell r="H116">
            <v>24000</v>
          </cell>
        </row>
        <row r="117">
          <cell r="G117">
            <v>0</v>
          </cell>
          <cell r="H117">
            <v>0</v>
          </cell>
        </row>
        <row r="118">
          <cell r="G118">
            <v>0</v>
          </cell>
          <cell r="H118">
            <v>0</v>
          </cell>
        </row>
        <row r="119">
          <cell r="G119">
            <v>0</v>
          </cell>
          <cell r="H119">
            <v>24000</v>
          </cell>
        </row>
        <row r="120">
          <cell r="G120">
            <v>0</v>
          </cell>
          <cell r="H120">
            <v>24000</v>
          </cell>
        </row>
        <row r="121">
          <cell r="G121">
            <v>0</v>
          </cell>
          <cell r="H121">
            <v>0</v>
          </cell>
        </row>
        <row r="122">
          <cell r="G122">
            <v>0</v>
          </cell>
          <cell r="H122">
            <v>0</v>
          </cell>
        </row>
        <row r="123">
          <cell r="G123">
            <v>0</v>
          </cell>
          <cell r="H123">
            <v>0</v>
          </cell>
        </row>
        <row r="124">
          <cell r="G124">
            <v>0</v>
          </cell>
          <cell r="H124">
            <v>0</v>
          </cell>
        </row>
        <row r="125">
          <cell r="G125">
            <v>0</v>
          </cell>
          <cell r="H125">
            <v>252960.9</v>
          </cell>
        </row>
        <row r="126">
          <cell r="G126">
            <v>0</v>
          </cell>
          <cell r="H126">
            <v>0</v>
          </cell>
        </row>
        <row r="127">
          <cell r="G127">
            <v>0</v>
          </cell>
          <cell r="H127">
            <v>0</v>
          </cell>
        </row>
        <row r="128">
          <cell r="G128">
            <v>0</v>
          </cell>
          <cell r="H128">
            <v>0</v>
          </cell>
        </row>
        <row r="129">
          <cell r="G129">
            <v>0</v>
          </cell>
          <cell r="H129">
            <v>0</v>
          </cell>
        </row>
        <row r="130">
          <cell r="G130">
            <v>0</v>
          </cell>
          <cell r="H130">
            <v>252960.9</v>
          </cell>
        </row>
        <row r="131">
          <cell r="G131">
            <v>0</v>
          </cell>
          <cell r="H131">
            <v>0</v>
          </cell>
        </row>
        <row r="132">
          <cell r="G132">
            <v>0</v>
          </cell>
          <cell r="H132">
            <v>252960.9</v>
          </cell>
        </row>
        <row r="133">
          <cell r="G133">
            <v>0</v>
          </cell>
          <cell r="H133">
            <v>0</v>
          </cell>
        </row>
        <row r="134">
          <cell r="G134">
            <v>0</v>
          </cell>
          <cell r="H134">
            <v>0</v>
          </cell>
        </row>
        <row r="135">
          <cell r="G135">
            <v>0</v>
          </cell>
          <cell r="H135">
            <v>0</v>
          </cell>
        </row>
        <row r="136">
          <cell r="G136">
            <v>0</v>
          </cell>
          <cell r="H136">
            <v>0</v>
          </cell>
        </row>
        <row r="137">
          <cell r="G137">
            <v>0</v>
          </cell>
          <cell r="H137">
            <v>0</v>
          </cell>
        </row>
        <row r="138">
          <cell r="G138">
            <v>0</v>
          </cell>
          <cell r="H138">
            <v>0</v>
          </cell>
        </row>
        <row r="139">
          <cell r="G139">
            <v>0</v>
          </cell>
          <cell r="H139">
            <v>0</v>
          </cell>
        </row>
        <row r="140">
          <cell r="G140">
            <v>0</v>
          </cell>
          <cell r="H140">
            <v>0</v>
          </cell>
        </row>
        <row r="141">
          <cell r="G141">
            <v>0</v>
          </cell>
          <cell r="H141">
            <v>0</v>
          </cell>
        </row>
        <row r="142">
          <cell r="G142">
            <v>0</v>
          </cell>
          <cell r="H142">
            <v>0</v>
          </cell>
        </row>
        <row r="143">
          <cell r="G143">
            <v>0</v>
          </cell>
          <cell r="H143">
            <v>0</v>
          </cell>
        </row>
        <row r="144">
          <cell r="G144">
            <v>0</v>
          </cell>
          <cell r="H144">
            <v>0</v>
          </cell>
        </row>
        <row r="145">
          <cell r="G145">
            <v>0</v>
          </cell>
          <cell r="H145">
            <v>0</v>
          </cell>
        </row>
        <row r="146">
          <cell r="G146">
            <v>0</v>
          </cell>
          <cell r="H146">
            <v>0</v>
          </cell>
        </row>
        <row r="147">
          <cell r="G147">
            <v>0</v>
          </cell>
          <cell r="H147">
            <v>0</v>
          </cell>
        </row>
        <row r="148">
          <cell r="G148">
            <v>0</v>
          </cell>
          <cell r="H148">
            <v>0</v>
          </cell>
        </row>
        <row r="149">
          <cell r="G149">
            <v>0</v>
          </cell>
          <cell r="H149">
            <v>0</v>
          </cell>
        </row>
        <row r="150">
          <cell r="G150">
            <v>0</v>
          </cell>
          <cell r="H150">
            <v>0</v>
          </cell>
        </row>
        <row r="151">
          <cell r="G151">
            <v>0</v>
          </cell>
          <cell r="H151">
            <v>0</v>
          </cell>
        </row>
        <row r="152">
          <cell r="G152">
            <v>0</v>
          </cell>
          <cell r="H152">
            <v>0</v>
          </cell>
        </row>
        <row r="153">
          <cell r="G153">
            <v>0</v>
          </cell>
          <cell r="H153">
            <v>0</v>
          </cell>
        </row>
        <row r="154">
          <cell r="G154">
            <v>0</v>
          </cell>
          <cell r="H154">
            <v>0</v>
          </cell>
        </row>
        <row r="155">
          <cell r="G155">
            <v>0</v>
          </cell>
          <cell r="H155">
            <v>0</v>
          </cell>
        </row>
        <row r="156">
          <cell r="G156">
            <v>0</v>
          </cell>
          <cell r="H156">
            <v>0</v>
          </cell>
        </row>
        <row r="157">
          <cell r="G157">
            <v>523061.81</v>
          </cell>
          <cell r="H157">
            <v>472756.61</v>
          </cell>
        </row>
        <row r="158">
          <cell r="G158">
            <v>0</v>
          </cell>
          <cell r="H158">
            <v>472756.61</v>
          </cell>
        </row>
        <row r="159">
          <cell r="G159">
            <v>0</v>
          </cell>
          <cell r="H159">
            <v>257071.41999999998</v>
          </cell>
        </row>
        <row r="160">
          <cell r="G160">
            <v>0</v>
          </cell>
          <cell r="H160">
            <v>215685.19</v>
          </cell>
        </row>
        <row r="161">
          <cell r="G161">
            <v>0</v>
          </cell>
          <cell r="H161">
            <v>0</v>
          </cell>
        </row>
        <row r="162">
          <cell r="G162">
            <v>0</v>
          </cell>
          <cell r="H162">
            <v>0</v>
          </cell>
        </row>
        <row r="163">
          <cell r="G163">
            <v>0</v>
          </cell>
          <cell r="H163">
            <v>0</v>
          </cell>
        </row>
        <row r="164">
          <cell r="G164">
            <v>0</v>
          </cell>
          <cell r="H164">
            <v>0</v>
          </cell>
        </row>
        <row r="165">
          <cell r="G165">
            <v>0</v>
          </cell>
          <cell r="H165">
            <v>0</v>
          </cell>
        </row>
        <row r="166">
          <cell r="G166">
            <v>0</v>
          </cell>
          <cell r="H166">
            <v>0</v>
          </cell>
        </row>
        <row r="167">
          <cell r="G167">
            <v>523061.81</v>
          </cell>
          <cell r="H167">
            <v>0</v>
          </cell>
        </row>
        <row r="168">
          <cell r="G168">
            <v>0</v>
          </cell>
          <cell r="H168">
            <v>0</v>
          </cell>
        </row>
        <row r="169">
          <cell r="G169">
            <v>0</v>
          </cell>
          <cell r="H169">
            <v>0</v>
          </cell>
        </row>
        <row r="170">
          <cell r="G170">
            <v>0</v>
          </cell>
          <cell r="H170">
            <v>0</v>
          </cell>
        </row>
        <row r="171">
          <cell r="G171">
            <v>523061.81</v>
          </cell>
          <cell r="H171">
            <v>0</v>
          </cell>
        </row>
        <row r="172">
          <cell r="G172">
            <v>0</v>
          </cell>
          <cell r="H172">
            <v>0</v>
          </cell>
        </row>
        <row r="173">
          <cell r="G173">
            <v>0</v>
          </cell>
          <cell r="H173">
            <v>0</v>
          </cell>
        </row>
        <row r="174">
          <cell r="G174">
            <v>0</v>
          </cell>
          <cell r="H174">
            <v>0</v>
          </cell>
        </row>
        <row r="175">
          <cell r="G175">
            <v>0</v>
          </cell>
          <cell r="H175">
            <v>0</v>
          </cell>
        </row>
        <row r="176">
          <cell r="G176">
            <v>0</v>
          </cell>
          <cell r="H176">
            <v>0</v>
          </cell>
        </row>
        <row r="177">
          <cell r="G177">
            <v>0</v>
          </cell>
          <cell r="H177">
            <v>0</v>
          </cell>
        </row>
        <row r="178">
          <cell r="G178">
            <v>0</v>
          </cell>
          <cell r="H178">
            <v>0</v>
          </cell>
        </row>
        <row r="179">
          <cell r="G179">
            <v>489700</v>
          </cell>
          <cell r="H179">
            <v>204611.44</v>
          </cell>
        </row>
        <row r="180">
          <cell r="G180">
            <v>0</v>
          </cell>
          <cell r="H180">
            <v>0</v>
          </cell>
        </row>
        <row r="181">
          <cell r="G181">
            <v>0</v>
          </cell>
          <cell r="H181">
            <v>0</v>
          </cell>
        </row>
        <row r="182">
          <cell r="G182">
            <v>0</v>
          </cell>
          <cell r="H182">
            <v>11179.44</v>
          </cell>
        </row>
        <row r="183">
          <cell r="G183">
            <v>0</v>
          </cell>
          <cell r="H183">
            <v>11179.44</v>
          </cell>
        </row>
        <row r="184">
          <cell r="G184">
            <v>0</v>
          </cell>
          <cell r="H184">
            <v>0</v>
          </cell>
        </row>
        <row r="185">
          <cell r="G185">
            <v>0</v>
          </cell>
          <cell r="H185">
            <v>0</v>
          </cell>
        </row>
        <row r="186">
          <cell r="G186">
            <v>0</v>
          </cell>
          <cell r="H186">
            <v>0</v>
          </cell>
        </row>
        <row r="187">
          <cell r="G187">
            <v>0</v>
          </cell>
          <cell r="H187">
            <v>0</v>
          </cell>
        </row>
        <row r="188">
          <cell r="G188">
            <v>0</v>
          </cell>
          <cell r="H188">
            <v>0</v>
          </cell>
        </row>
        <row r="189">
          <cell r="G189">
            <v>0</v>
          </cell>
          <cell r="H189">
            <v>0</v>
          </cell>
        </row>
        <row r="190">
          <cell r="G190">
            <v>0</v>
          </cell>
          <cell r="H190">
            <v>0</v>
          </cell>
        </row>
        <row r="191">
          <cell r="G191">
            <v>0</v>
          </cell>
          <cell r="H191">
            <v>0</v>
          </cell>
        </row>
        <row r="192">
          <cell r="G192">
            <v>0</v>
          </cell>
          <cell r="H192">
            <v>0</v>
          </cell>
        </row>
        <row r="193">
          <cell r="G193">
            <v>0</v>
          </cell>
          <cell r="H193">
            <v>0</v>
          </cell>
        </row>
        <row r="194">
          <cell r="G194">
            <v>0</v>
          </cell>
          <cell r="H194">
            <v>0</v>
          </cell>
        </row>
        <row r="195">
          <cell r="G195">
            <v>0</v>
          </cell>
          <cell r="H195">
            <v>0</v>
          </cell>
        </row>
        <row r="196">
          <cell r="G196">
            <v>0</v>
          </cell>
          <cell r="H196">
            <v>0</v>
          </cell>
        </row>
        <row r="197">
          <cell r="G197">
            <v>489700</v>
          </cell>
          <cell r="H197">
            <v>193432</v>
          </cell>
        </row>
        <row r="198">
          <cell r="G198">
            <v>489700</v>
          </cell>
          <cell r="H198">
            <v>0</v>
          </cell>
        </row>
        <row r="199">
          <cell r="G199">
            <v>0</v>
          </cell>
          <cell r="H199">
            <v>0</v>
          </cell>
        </row>
        <row r="200">
          <cell r="G200">
            <v>0</v>
          </cell>
          <cell r="H200">
            <v>0</v>
          </cell>
        </row>
        <row r="201">
          <cell r="G201">
            <v>0</v>
          </cell>
          <cell r="H201">
            <v>0</v>
          </cell>
        </row>
        <row r="202">
          <cell r="G202">
            <v>0</v>
          </cell>
          <cell r="H202">
            <v>48852</v>
          </cell>
        </row>
        <row r="203">
          <cell r="G203">
            <v>0</v>
          </cell>
          <cell r="H203">
            <v>144580</v>
          </cell>
        </row>
        <row r="204">
          <cell r="G204">
            <v>0</v>
          </cell>
          <cell r="H204">
            <v>0</v>
          </cell>
        </row>
        <row r="205">
          <cell r="G205">
            <v>0</v>
          </cell>
          <cell r="H205">
            <v>0</v>
          </cell>
        </row>
        <row r="206">
          <cell r="G206">
            <v>0</v>
          </cell>
          <cell r="H206">
            <v>0</v>
          </cell>
        </row>
        <row r="207">
          <cell r="G207">
            <v>0</v>
          </cell>
          <cell r="H207">
            <v>0</v>
          </cell>
        </row>
        <row r="208">
          <cell r="G208">
            <v>0</v>
          </cell>
          <cell r="H208">
            <v>0</v>
          </cell>
        </row>
        <row r="209">
          <cell r="G209">
            <v>0</v>
          </cell>
          <cell r="H209">
            <v>0</v>
          </cell>
        </row>
        <row r="210">
          <cell r="G210">
            <v>0</v>
          </cell>
          <cell r="H210">
            <v>0</v>
          </cell>
        </row>
        <row r="211">
          <cell r="G211">
            <v>0</v>
          </cell>
          <cell r="H211">
            <v>0</v>
          </cell>
        </row>
        <row r="212">
          <cell r="G212">
            <v>14433131.48</v>
          </cell>
          <cell r="H212">
            <v>2432378.29</v>
          </cell>
        </row>
        <row r="213">
          <cell r="G213">
            <v>591460.4</v>
          </cell>
          <cell r="H213">
            <v>300691.8</v>
          </cell>
        </row>
        <row r="214">
          <cell r="G214">
            <v>591460.4</v>
          </cell>
          <cell r="H214">
            <v>300691.8</v>
          </cell>
        </row>
        <row r="215">
          <cell r="G215">
            <v>591460.4</v>
          </cell>
          <cell r="H215">
            <v>300691.8</v>
          </cell>
        </row>
        <row r="216">
          <cell r="G216">
            <v>0</v>
          </cell>
          <cell r="H216">
            <v>0</v>
          </cell>
        </row>
        <row r="217">
          <cell r="G217">
            <v>0</v>
          </cell>
          <cell r="H217">
            <v>0</v>
          </cell>
        </row>
        <row r="218">
          <cell r="G218">
            <v>0</v>
          </cell>
          <cell r="H218">
            <v>0</v>
          </cell>
        </row>
        <row r="219">
          <cell r="G219">
            <v>0</v>
          </cell>
          <cell r="H219">
            <v>0</v>
          </cell>
        </row>
        <row r="220">
          <cell r="G220">
            <v>0</v>
          </cell>
          <cell r="H220">
            <v>0</v>
          </cell>
        </row>
        <row r="221">
          <cell r="G221">
            <v>0</v>
          </cell>
          <cell r="H221">
            <v>0</v>
          </cell>
        </row>
        <row r="222">
          <cell r="G222">
            <v>0</v>
          </cell>
          <cell r="H222">
            <v>0</v>
          </cell>
        </row>
        <row r="223">
          <cell r="G223">
            <v>0</v>
          </cell>
          <cell r="H223">
            <v>0</v>
          </cell>
        </row>
        <row r="224">
          <cell r="G224">
            <v>0</v>
          </cell>
          <cell r="H224">
            <v>0</v>
          </cell>
        </row>
        <row r="225">
          <cell r="G225">
            <v>61630.73</v>
          </cell>
          <cell r="H225">
            <v>0</v>
          </cell>
        </row>
        <row r="226">
          <cell r="G226">
            <v>0</v>
          </cell>
          <cell r="H226">
            <v>0</v>
          </cell>
        </row>
        <row r="227">
          <cell r="G227">
            <v>0</v>
          </cell>
          <cell r="H227">
            <v>0</v>
          </cell>
        </row>
        <row r="228">
          <cell r="G228">
            <v>61630.73</v>
          </cell>
          <cell r="H228">
            <v>0</v>
          </cell>
        </row>
        <row r="229">
          <cell r="G229">
            <v>61630.73</v>
          </cell>
          <cell r="H229">
            <v>0</v>
          </cell>
        </row>
        <row r="230">
          <cell r="G230">
            <v>0</v>
          </cell>
          <cell r="H230">
            <v>0</v>
          </cell>
        </row>
        <row r="231">
          <cell r="G231">
            <v>0</v>
          </cell>
          <cell r="H231">
            <v>0</v>
          </cell>
        </row>
        <row r="232">
          <cell r="G232">
            <v>352366.67</v>
          </cell>
          <cell r="H232">
            <v>107616</v>
          </cell>
        </row>
        <row r="233">
          <cell r="G233">
            <v>0</v>
          </cell>
          <cell r="H233">
            <v>0</v>
          </cell>
        </row>
        <row r="234">
          <cell r="G234">
            <v>0</v>
          </cell>
          <cell r="H234">
            <v>0</v>
          </cell>
        </row>
        <row r="235">
          <cell r="G235">
            <v>352366.67</v>
          </cell>
          <cell r="H235">
            <v>0</v>
          </cell>
        </row>
        <row r="236">
          <cell r="G236">
            <v>352366.67</v>
          </cell>
          <cell r="H236">
            <v>0</v>
          </cell>
        </row>
        <row r="237">
          <cell r="G237">
            <v>0</v>
          </cell>
          <cell r="H237">
            <v>107616</v>
          </cell>
        </row>
        <row r="238">
          <cell r="G238">
            <v>0</v>
          </cell>
          <cell r="H238">
            <v>107616</v>
          </cell>
        </row>
        <row r="239">
          <cell r="G239">
            <v>0</v>
          </cell>
          <cell r="H239">
            <v>0</v>
          </cell>
        </row>
        <row r="240">
          <cell r="G240">
            <v>0</v>
          </cell>
          <cell r="H240">
            <v>0</v>
          </cell>
        </row>
        <row r="241">
          <cell r="G241">
            <v>0</v>
          </cell>
          <cell r="H241">
            <v>0</v>
          </cell>
        </row>
        <row r="242">
          <cell r="G242">
            <v>0</v>
          </cell>
          <cell r="H242">
            <v>0</v>
          </cell>
        </row>
        <row r="243">
          <cell r="G243">
            <v>0</v>
          </cell>
          <cell r="H243">
            <v>0</v>
          </cell>
        </row>
        <row r="244">
          <cell r="G244">
            <v>0</v>
          </cell>
          <cell r="H244">
            <v>0</v>
          </cell>
        </row>
        <row r="245">
          <cell r="G245">
            <v>2014526.8</v>
          </cell>
          <cell r="H245">
            <v>0</v>
          </cell>
        </row>
        <row r="246">
          <cell r="G246">
            <v>2014526.8</v>
          </cell>
          <cell r="H246">
            <v>0</v>
          </cell>
        </row>
        <row r="247">
          <cell r="G247">
            <v>2014526.8</v>
          </cell>
          <cell r="H247">
            <v>0</v>
          </cell>
        </row>
        <row r="248">
          <cell r="G248">
            <v>0</v>
          </cell>
          <cell r="H248">
            <v>0</v>
          </cell>
        </row>
        <row r="249">
          <cell r="G249">
            <v>0</v>
          </cell>
          <cell r="H249">
            <v>0</v>
          </cell>
        </row>
        <row r="250">
          <cell r="G250">
            <v>0</v>
          </cell>
          <cell r="H250">
            <v>249831.2</v>
          </cell>
        </row>
        <row r="251">
          <cell r="G251">
            <v>0</v>
          </cell>
          <cell r="H251">
            <v>0</v>
          </cell>
        </row>
        <row r="252">
          <cell r="G252">
            <v>0</v>
          </cell>
          <cell r="H252">
            <v>0</v>
          </cell>
        </row>
        <row r="253">
          <cell r="G253">
            <v>0</v>
          </cell>
          <cell r="H253">
            <v>0</v>
          </cell>
        </row>
        <row r="254">
          <cell r="G254">
            <v>0</v>
          </cell>
          <cell r="H254">
            <v>0</v>
          </cell>
        </row>
        <row r="255">
          <cell r="G255">
            <v>0</v>
          </cell>
          <cell r="H255">
            <v>0</v>
          </cell>
        </row>
        <row r="256">
          <cell r="G256">
            <v>0</v>
          </cell>
          <cell r="H256">
            <v>0</v>
          </cell>
        </row>
        <row r="257">
          <cell r="G257">
            <v>0</v>
          </cell>
          <cell r="H257">
            <v>0</v>
          </cell>
        </row>
        <row r="258">
          <cell r="G258">
            <v>0</v>
          </cell>
          <cell r="H258">
            <v>0</v>
          </cell>
        </row>
        <row r="259">
          <cell r="G259">
            <v>0</v>
          </cell>
          <cell r="H259">
            <v>249831.2</v>
          </cell>
        </row>
        <row r="260">
          <cell r="G260">
            <v>0</v>
          </cell>
          <cell r="H260">
            <v>249831.2</v>
          </cell>
        </row>
        <row r="261">
          <cell r="G261">
            <v>11630.98</v>
          </cell>
          <cell r="H261">
            <v>183732.33000000002</v>
          </cell>
        </row>
        <row r="262">
          <cell r="G262">
            <v>0</v>
          </cell>
          <cell r="H262">
            <v>989.98</v>
          </cell>
        </row>
        <row r="263">
          <cell r="G263">
            <v>0</v>
          </cell>
          <cell r="H263">
            <v>989.98</v>
          </cell>
        </row>
        <row r="264">
          <cell r="G264">
            <v>0</v>
          </cell>
          <cell r="H264">
            <v>0</v>
          </cell>
        </row>
        <row r="265">
          <cell r="G265">
            <v>0</v>
          </cell>
          <cell r="H265">
            <v>0</v>
          </cell>
        </row>
        <row r="266">
          <cell r="G266">
            <v>0</v>
          </cell>
          <cell r="H266">
            <v>0</v>
          </cell>
        </row>
        <row r="267">
          <cell r="G267">
            <v>0</v>
          </cell>
          <cell r="H267">
            <v>0</v>
          </cell>
        </row>
        <row r="268">
          <cell r="G268">
            <v>0</v>
          </cell>
          <cell r="H268">
            <v>123045.27</v>
          </cell>
        </row>
        <row r="269">
          <cell r="G269">
            <v>0</v>
          </cell>
          <cell r="H269">
            <v>0</v>
          </cell>
        </row>
        <row r="270">
          <cell r="G270">
            <v>0</v>
          </cell>
          <cell r="H270">
            <v>0</v>
          </cell>
        </row>
        <row r="271">
          <cell r="G271">
            <v>0</v>
          </cell>
          <cell r="H271">
            <v>123045.27</v>
          </cell>
        </row>
        <row r="272">
          <cell r="G272">
            <v>11630.98</v>
          </cell>
          <cell r="H272">
            <v>59697.08</v>
          </cell>
        </row>
        <row r="273">
          <cell r="G273">
            <v>1261.1300000000001</v>
          </cell>
          <cell r="H273">
            <v>0</v>
          </cell>
        </row>
        <row r="274">
          <cell r="G274">
            <v>0</v>
          </cell>
          <cell r="H274">
            <v>0</v>
          </cell>
        </row>
        <row r="275">
          <cell r="G275">
            <v>10369.85</v>
          </cell>
          <cell r="H275">
            <v>59697.08</v>
          </cell>
        </row>
        <row r="276">
          <cell r="G276">
            <v>0</v>
          </cell>
          <cell r="H276">
            <v>0</v>
          </cell>
        </row>
        <row r="277">
          <cell r="G277">
            <v>0</v>
          </cell>
          <cell r="H277">
            <v>0</v>
          </cell>
        </row>
        <row r="278">
          <cell r="G278">
            <v>0</v>
          </cell>
          <cell r="H278">
            <v>0</v>
          </cell>
        </row>
        <row r="279">
          <cell r="G279">
            <v>0</v>
          </cell>
          <cell r="H279">
            <v>0</v>
          </cell>
        </row>
        <row r="280">
          <cell r="G280">
            <v>0</v>
          </cell>
          <cell r="H280">
            <v>0</v>
          </cell>
        </row>
        <row r="281">
          <cell r="G281">
            <v>0</v>
          </cell>
          <cell r="H281">
            <v>0</v>
          </cell>
        </row>
        <row r="282">
          <cell r="G282">
            <v>0</v>
          </cell>
          <cell r="H282">
            <v>0</v>
          </cell>
        </row>
        <row r="283">
          <cell r="G283">
            <v>0</v>
          </cell>
          <cell r="H283">
            <v>0</v>
          </cell>
        </row>
        <row r="284">
          <cell r="G284">
            <v>0</v>
          </cell>
          <cell r="H284">
            <v>0</v>
          </cell>
        </row>
        <row r="285">
          <cell r="G285">
            <v>0</v>
          </cell>
          <cell r="H285">
            <v>0</v>
          </cell>
        </row>
        <row r="286">
          <cell r="G286">
            <v>3902915.53</v>
          </cell>
          <cell r="H286">
            <v>1114592.73</v>
          </cell>
        </row>
        <row r="287">
          <cell r="G287">
            <v>0</v>
          </cell>
          <cell r="H287">
            <v>195844.13</v>
          </cell>
        </row>
        <row r="288">
          <cell r="G288">
            <v>0</v>
          </cell>
          <cell r="H288">
            <v>172000</v>
          </cell>
        </row>
        <row r="289">
          <cell r="G289">
            <v>0</v>
          </cell>
          <cell r="H289">
            <v>0</v>
          </cell>
        </row>
        <row r="290">
          <cell r="G290">
            <v>0</v>
          </cell>
          <cell r="H290">
            <v>0</v>
          </cell>
        </row>
        <row r="291">
          <cell r="G291">
            <v>0</v>
          </cell>
          <cell r="H291">
            <v>23844.13</v>
          </cell>
        </row>
        <row r="292">
          <cell r="G292">
            <v>0</v>
          </cell>
          <cell r="H292">
            <v>0</v>
          </cell>
        </row>
        <row r="293">
          <cell r="G293">
            <v>0</v>
          </cell>
          <cell r="H293">
            <v>0</v>
          </cell>
        </row>
        <row r="294">
          <cell r="G294">
            <v>0</v>
          </cell>
          <cell r="H294">
            <v>0</v>
          </cell>
        </row>
        <row r="295">
          <cell r="G295">
            <v>3902915.53</v>
          </cell>
          <cell r="H295">
            <v>918748.6</v>
          </cell>
        </row>
        <row r="296">
          <cell r="G296">
            <v>0</v>
          </cell>
          <cell r="H296">
            <v>0</v>
          </cell>
        </row>
        <row r="297">
          <cell r="G297">
            <v>0</v>
          </cell>
          <cell r="H297">
            <v>0</v>
          </cell>
        </row>
        <row r="298">
          <cell r="G298">
            <v>3252187.63</v>
          </cell>
          <cell r="H298">
            <v>18975</v>
          </cell>
        </row>
        <row r="299">
          <cell r="G299">
            <v>0</v>
          </cell>
          <cell r="H299">
            <v>0</v>
          </cell>
        </row>
        <row r="300">
          <cell r="G300">
            <v>0</v>
          </cell>
          <cell r="H300">
            <v>0</v>
          </cell>
        </row>
        <row r="301">
          <cell r="G301">
            <v>0</v>
          </cell>
          <cell r="H301">
            <v>0</v>
          </cell>
        </row>
        <row r="302">
          <cell r="G302">
            <v>650727.9</v>
          </cell>
          <cell r="H302">
            <v>899773.6</v>
          </cell>
        </row>
        <row r="303">
          <cell r="G303">
            <v>0</v>
          </cell>
          <cell r="H303">
            <v>0</v>
          </cell>
        </row>
        <row r="304">
          <cell r="G304">
            <v>0</v>
          </cell>
          <cell r="H304">
            <v>0</v>
          </cell>
        </row>
        <row r="305">
          <cell r="G305">
            <v>0</v>
          </cell>
          <cell r="H305">
            <v>0</v>
          </cell>
        </row>
        <row r="306">
          <cell r="G306">
            <v>0</v>
          </cell>
          <cell r="H306">
            <v>0</v>
          </cell>
        </row>
        <row r="307">
          <cell r="G307">
            <v>0</v>
          </cell>
          <cell r="H307">
            <v>0</v>
          </cell>
        </row>
        <row r="308">
          <cell r="G308">
            <v>7498600.3700000001</v>
          </cell>
          <cell r="H308">
            <v>475914.23</v>
          </cell>
        </row>
        <row r="309">
          <cell r="G309">
            <v>1107347.4699999997</v>
          </cell>
          <cell r="H309">
            <v>0</v>
          </cell>
        </row>
        <row r="310">
          <cell r="G310">
            <v>1107347.4699999997</v>
          </cell>
          <cell r="H310">
            <v>0</v>
          </cell>
        </row>
        <row r="311">
          <cell r="G311">
            <v>0</v>
          </cell>
          <cell r="H311">
            <v>0</v>
          </cell>
        </row>
        <row r="312">
          <cell r="G312">
            <v>0</v>
          </cell>
          <cell r="H312">
            <v>0</v>
          </cell>
        </row>
        <row r="313">
          <cell r="G313">
            <v>0</v>
          </cell>
          <cell r="H313">
            <v>0</v>
          </cell>
        </row>
        <row r="314">
          <cell r="G314">
            <v>5362778.4900000012</v>
          </cell>
          <cell r="H314">
            <v>419800</v>
          </cell>
        </row>
        <row r="315">
          <cell r="G315">
            <v>5362778.4900000012</v>
          </cell>
          <cell r="H315">
            <v>419800</v>
          </cell>
        </row>
        <row r="316">
          <cell r="G316">
            <v>0</v>
          </cell>
          <cell r="H316">
            <v>0</v>
          </cell>
        </row>
        <row r="317">
          <cell r="G317">
            <v>0</v>
          </cell>
          <cell r="H317">
            <v>0</v>
          </cell>
        </row>
        <row r="318">
          <cell r="G318">
            <v>0</v>
          </cell>
          <cell r="H318">
            <v>0</v>
          </cell>
        </row>
        <row r="319">
          <cell r="G319">
            <v>0</v>
          </cell>
          <cell r="H319">
            <v>0</v>
          </cell>
        </row>
        <row r="320">
          <cell r="G320">
            <v>569305.18999999994</v>
          </cell>
          <cell r="H320">
            <v>4050.01</v>
          </cell>
        </row>
        <row r="321">
          <cell r="G321">
            <v>569305.18999999994</v>
          </cell>
          <cell r="H321">
            <v>4050.01</v>
          </cell>
        </row>
        <row r="322">
          <cell r="G322">
            <v>0</v>
          </cell>
          <cell r="H322">
            <v>0</v>
          </cell>
        </row>
        <row r="323">
          <cell r="G323">
            <v>0</v>
          </cell>
          <cell r="H323">
            <v>0</v>
          </cell>
        </row>
        <row r="324">
          <cell r="G324">
            <v>459169.22</v>
          </cell>
          <cell r="H324">
            <v>0</v>
          </cell>
        </row>
        <row r="325">
          <cell r="G325">
            <v>30401.279999999999</v>
          </cell>
          <cell r="H325">
            <v>0</v>
          </cell>
        </row>
        <row r="326">
          <cell r="G326">
            <v>428767.94</v>
          </cell>
          <cell r="H326">
            <v>0</v>
          </cell>
        </row>
        <row r="327">
          <cell r="G327">
            <v>0</v>
          </cell>
          <cell r="H327">
            <v>52064.22</v>
          </cell>
        </row>
        <row r="328">
          <cell r="G328">
            <v>0</v>
          </cell>
          <cell r="H328">
            <v>52064.22</v>
          </cell>
        </row>
        <row r="329">
          <cell r="G329">
            <v>0</v>
          </cell>
          <cell r="H329">
            <v>0</v>
          </cell>
        </row>
        <row r="330">
          <cell r="G330">
            <v>0</v>
          </cell>
          <cell r="H330">
            <v>23400</v>
          </cell>
        </row>
        <row r="331">
          <cell r="G331">
            <v>0</v>
          </cell>
          <cell r="H331">
            <v>0</v>
          </cell>
        </row>
        <row r="332">
          <cell r="G332">
            <v>0</v>
          </cell>
          <cell r="H332">
            <v>23400</v>
          </cell>
        </row>
        <row r="333">
          <cell r="G333">
            <v>0</v>
          </cell>
          <cell r="H333">
            <v>0</v>
          </cell>
        </row>
        <row r="334">
          <cell r="G334">
            <v>0</v>
          </cell>
          <cell r="H334">
            <v>0</v>
          </cell>
        </row>
        <row r="335">
          <cell r="G335">
            <v>0</v>
          </cell>
          <cell r="H335">
            <v>0</v>
          </cell>
        </row>
        <row r="336">
          <cell r="G336">
            <v>6461017.2600000007</v>
          </cell>
          <cell r="H336">
            <v>3887510</v>
          </cell>
        </row>
        <row r="337">
          <cell r="G337">
            <v>432420.86</v>
          </cell>
          <cell r="H337">
            <v>0</v>
          </cell>
        </row>
        <row r="338">
          <cell r="G338">
            <v>159283.04999999999</v>
          </cell>
          <cell r="H338">
            <v>0</v>
          </cell>
        </row>
        <row r="339">
          <cell r="G339">
            <v>159283.04999999999</v>
          </cell>
          <cell r="H339">
            <v>0</v>
          </cell>
        </row>
        <row r="340">
          <cell r="G340">
            <v>0</v>
          </cell>
          <cell r="H340">
            <v>0</v>
          </cell>
        </row>
        <row r="341">
          <cell r="G341">
            <v>0</v>
          </cell>
          <cell r="H341">
            <v>0</v>
          </cell>
        </row>
        <row r="342">
          <cell r="G342">
            <v>0</v>
          </cell>
          <cell r="H342">
            <v>0</v>
          </cell>
        </row>
        <row r="343">
          <cell r="G343">
            <v>0</v>
          </cell>
          <cell r="H343">
            <v>0</v>
          </cell>
        </row>
        <row r="344">
          <cell r="G344">
            <v>210276</v>
          </cell>
          <cell r="H344">
            <v>0</v>
          </cell>
        </row>
        <row r="345">
          <cell r="G345">
            <v>210276</v>
          </cell>
          <cell r="H345">
            <v>0</v>
          </cell>
        </row>
        <row r="346">
          <cell r="G346">
            <v>62861.81</v>
          </cell>
          <cell r="H346">
            <v>0</v>
          </cell>
        </row>
        <row r="347">
          <cell r="G347">
            <v>62861.81</v>
          </cell>
          <cell r="H347">
            <v>0</v>
          </cell>
        </row>
        <row r="348">
          <cell r="G348">
            <v>0</v>
          </cell>
          <cell r="H348">
            <v>0</v>
          </cell>
        </row>
        <row r="349">
          <cell r="G349">
            <v>0</v>
          </cell>
          <cell r="H349">
            <v>0</v>
          </cell>
        </row>
        <row r="350">
          <cell r="G350">
            <v>0</v>
          </cell>
          <cell r="H350">
            <v>0</v>
          </cell>
        </row>
        <row r="351">
          <cell r="G351">
            <v>0</v>
          </cell>
          <cell r="H351">
            <v>0</v>
          </cell>
        </row>
        <row r="352">
          <cell r="G352">
            <v>0</v>
          </cell>
          <cell r="H352">
            <v>0</v>
          </cell>
        </row>
        <row r="353">
          <cell r="G353">
            <v>0</v>
          </cell>
          <cell r="H353">
            <v>0</v>
          </cell>
        </row>
        <row r="354">
          <cell r="G354">
            <v>0</v>
          </cell>
          <cell r="H354">
            <v>0</v>
          </cell>
        </row>
        <row r="355">
          <cell r="G355">
            <v>0</v>
          </cell>
          <cell r="H355">
            <v>0</v>
          </cell>
        </row>
        <row r="356">
          <cell r="G356">
            <v>0</v>
          </cell>
          <cell r="H356">
            <v>0</v>
          </cell>
        </row>
        <row r="357">
          <cell r="G357">
            <v>6028596.4000000004</v>
          </cell>
          <cell r="H357">
            <v>2075030</v>
          </cell>
        </row>
        <row r="358">
          <cell r="G358">
            <v>2793910</v>
          </cell>
          <cell r="H358">
            <v>413000</v>
          </cell>
        </row>
        <row r="359">
          <cell r="G359">
            <v>2793910</v>
          </cell>
          <cell r="H359">
            <v>413000</v>
          </cell>
        </row>
        <row r="360">
          <cell r="G360">
            <v>2432782.4</v>
          </cell>
          <cell r="H360">
            <v>1662030</v>
          </cell>
        </row>
        <row r="361">
          <cell r="G361">
            <v>2432782.4</v>
          </cell>
          <cell r="H361">
            <v>1662030</v>
          </cell>
        </row>
        <row r="362">
          <cell r="G362">
            <v>0</v>
          </cell>
          <cell r="H362">
            <v>0</v>
          </cell>
        </row>
        <row r="363">
          <cell r="G363">
            <v>0</v>
          </cell>
          <cell r="H363">
            <v>0</v>
          </cell>
        </row>
        <row r="364">
          <cell r="G364">
            <v>801904</v>
          </cell>
          <cell r="H364">
            <v>0</v>
          </cell>
        </row>
        <row r="365">
          <cell r="G365">
            <v>801904</v>
          </cell>
          <cell r="H365">
            <v>0</v>
          </cell>
        </row>
        <row r="366">
          <cell r="G366">
            <v>0</v>
          </cell>
          <cell r="H366">
            <v>0</v>
          </cell>
        </row>
        <row r="367">
          <cell r="G367">
            <v>0</v>
          </cell>
          <cell r="H367">
            <v>0</v>
          </cell>
        </row>
        <row r="368">
          <cell r="G368">
            <v>0</v>
          </cell>
          <cell r="H368">
            <v>0</v>
          </cell>
        </row>
        <row r="369">
          <cell r="G369">
            <v>0</v>
          </cell>
          <cell r="H369">
            <v>0</v>
          </cell>
        </row>
        <row r="370">
          <cell r="G370">
            <v>0</v>
          </cell>
          <cell r="H370">
            <v>0</v>
          </cell>
        </row>
        <row r="371">
          <cell r="G371">
            <v>0</v>
          </cell>
          <cell r="H371">
            <v>0</v>
          </cell>
        </row>
        <row r="372">
          <cell r="G372">
            <v>0</v>
          </cell>
          <cell r="H372">
            <v>0</v>
          </cell>
        </row>
        <row r="373">
          <cell r="G373">
            <v>0</v>
          </cell>
          <cell r="H373">
            <v>0</v>
          </cell>
        </row>
        <row r="374">
          <cell r="G374">
            <v>0</v>
          </cell>
          <cell r="H374">
            <v>0</v>
          </cell>
        </row>
        <row r="375">
          <cell r="G375">
            <v>0</v>
          </cell>
          <cell r="H375">
            <v>0</v>
          </cell>
        </row>
        <row r="376">
          <cell r="G376">
            <v>0</v>
          </cell>
          <cell r="H376">
            <v>0</v>
          </cell>
        </row>
        <row r="377">
          <cell r="G377">
            <v>0</v>
          </cell>
          <cell r="H377">
            <v>0</v>
          </cell>
        </row>
        <row r="378">
          <cell r="G378">
            <v>0</v>
          </cell>
          <cell r="H378">
            <v>0</v>
          </cell>
        </row>
        <row r="379">
          <cell r="G379">
            <v>0</v>
          </cell>
          <cell r="H379">
            <v>0</v>
          </cell>
        </row>
        <row r="380">
          <cell r="G380">
            <v>0</v>
          </cell>
          <cell r="H380">
            <v>0</v>
          </cell>
        </row>
        <row r="381">
          <cell r="G381">
            <v>0</v>
          </cell>
          <cell r="H381">
            <v>0</v>
          </cell>
        </row>
        <row r="382">
          <cell r="G382">
            <v>0</v>
          </cell>
          <cell r="H382">
            <v>0</v>
          </cell>
        </row>
        <row r="383">
          <cell r="G383">
            <v>0</v>
          </cell>
          <cell r="H383">
            <v>1812480</v>
          </cell>
        </row>
        <row r="384">
          <cell r="G384">
            <v>0</v>
          </cell>
          <cell r="H384">
            <v>0</v>
          </cell>
        </row>
        <row r="385">
          <cell r="G385">
            <v>0</v>
          </cell>
          <cell r="H385">
            <v>0</v>
          </cell>
        </row>
        <row r="386">
          <cell r="G386">
            <v>0</v>
          </cell>
          <cell r="H386">
            <v>1770000</v>
          </cell>
        </row>
        <row r="387">
          <cell r="G387">
            <v>0</v>
          </cell>
          <cell r="H387">
            <v>1770000</v>
          </cell>
        </row>
        <row r="388">
          <cell r="G388">
            <v>0</v>
          </cell>
          <cell r="H388">
            <v>0</v>
          </cell>
        </row>
        <row r="389">
          <cell r="G389">
            <v>0</v>
          </cell>
          <cell r="H389">
            <v>0</v>
          </cell>
        </row>
        <row r="390">
          <cell r="G390">
            <v>0</v>
          </cell>
          <cell r="H390">
            <v>0</v>
          </cell>
        </row>
        <row r="391">
          <cell r="G391">
            <v>0</v>
          </cell>
          <cell r="H391">
            <v>0</v>
          </cell>
        </row>
        <row r="392">
          <cell r="G392">
            <v>0</v>
          </cell>
          <cell r="H392">
            <v>0</v>
          </cell>
        </row>
        <row r="393">
          <cell r="G393">
            <v>0</v>
          </cell>
          <cell r="H393">
            <v>0</v>
          </cell>
        </row>
        <row r="394">
          <cell r="G394">
            <v>0</v>
          </cell>
          <cell r="H394">
            <v>42480</v>
          </cell>
        </row>
        <row r="395">
          <cell r="G395">
            <v>0</v>
          </cell>
          <cell r="H395">
            <v>42480</v>
          </cell>
        </row>
        <row r="396">
          <cell r="G396">
            <v>0</v>
          </cell>
          <cell r="H396">
            <v>0</v>
          </cell>
        </row>
        <row r="397">
          <cell r="G397">
            <v>0</v>
          </cell>
          <cell r="H397">
            <v>0</v>
          </cell>
        </row>
        <row r="398">
          <cell r="G398">
            <v>0</v>
          </cell>
          <cell r="H398">
            <v>0</v>
          </cell>
        </row>
        <row r="399">
          <cell r="G399">
            <v>0</v>
          </cell>
          <cell r="H399">
            <v>0</v>
          </cell>
        </row>
        <row r="400">
          <cell r="G400">
            <v>0</v>
          </cell>
          <cell r="H400">
            <v>0</v>
          </cell>
        </row>
        <row r="401">
          <cell r="G401">
            <v>0</v>
          </cell>
          <cell r="H401">
            <v>0</v>
          </cell>
        </row>
        <row r="402">
          <cell r="G402">
            <v>0</v>
          </cell>
          <cell r="H402">
            <v>0</v>
          </cell>
        </row>
        <row r="403">
          <cell r="G403">
            <v>0</v>
          </cell>
          <cell r="H403">
            <v>0</v>
          </cell>
        </row>
        <row r="404">
          <cell r="G404">
            <v>0</v>
          </cell>
          <cell r="H404">
            <v>0</v>
          </cell>
        </row>
        <row r="405">
          <cell r="G405">
            <v>0</v>
          </cell>
          <cell r="H405">
            <v>0</v>
          </cell>
        </row>
        <row r="406">
          <cell r="G406">
            <v>0</v>
          </cell>
          <cell r="H406">
            <v>0</v>
          </cell>
        </row>
        <row r="407">
          <cell r="G407">
            <v>0</v>
          </cell>
          <cell r="H407">
            <v>0</v>
          </cell>
        </row>
        <row r="408">
          <cell r="G408">
            <v>0</v>
          </cell>
          <cell r="H408">
            <v>0</v>
          </cell>
        </row>
        <row r="409">
          <cell r="G409">
            <v>0</v>
          </cell>
          <cell r="H409">
            <v>0</v>
          </cell>
        </row>
        <row r="410">
          <cell r="G410">
            <v>0</v>
          </cell>
          <cell r="H410">
            <v>0</v>
          </cell>
        </row>
        <row r="411">
          <cell r="G411">
            <v>0</v>
          </cell>
          <cell r="H411">
            <v>0</v>
          </cell>
        </row>
        <row r="412">
          <cell r="G412">
            <v>0</v>
          </cell>
          <cell r="H412">
            <v>0</v>
          </cell>
        </row>
        <row r="413">
          <cell r="G413">
            <v>0</v>
          </cell>
          <cell r="H413">
            <v>0</v>
          </cell>
        </row>
        <row r="414">
          <cell r="G414">
            <v>0</v>
          </cell>
          <cell r="H414">
            <v>0</v>
          </cell>
        </row>
        <row r="415">
          <cell r="G415">
            <v>0</v>
          </cell>
          <cell r="H415">
            <v>0</v>
          </cell>
        </row>
        <row r="416">
          <cell r="G416">
            <v>0</v>
          </cell>
          <cell r="H416">
            <v>0</v>
          </cell>
        </row>
        <row r="417">
          <cell r="G417">
            <v>0</v>
          </cell>
          <cell r="H417">
            <v>0</v>
          </cell>
        </row>
        <row r="418">
          <cell r="G418">
            <v>0</v>
          </cell>
          <cell r="H418">
            <v>0</v>
          </cell>
        </row>
        <row r="419">
          <cell r="G419">
            <v>0</v>
          </cell>
          <cell r="H419">
            <v>0</v>
          </cell>
        </row>
        <row r="420">
          <cell r="G420">
            <v>0</v>
          </cell>
          <cell r="H420">
            <v>0</v>
          </cell>
        </row>
        <row r="421">
          <cell r="G421">
            <v>0</v>
          </cell>
          <cell r="H421">
            <v>0</v>
          </cell>
        </row>
        <row r="422">
          <cell r="G422">
            <v>0</v>
          </cell>
          <cell r="H422">
            <v>0</v>
          </cell>
        </row>
        <row r="423">
          <cell r="G423">
            <v>0</v>
          </cell>
          <cell r="H423">
            <v>0</v>
          </cell>
        </row>
        <row r="424">
          <cell r="G424">
            <v>0</v>
          </cell>
          <cell r="H424">
            <v>0</v>
          </cell>
        </row>
        <row r="425">
          <cell r="G425">
            <v>0</v>
          </cell>
          <cell r="H425">
            <v>0</v>
          </cell>
        </row>
        <row r="426">
          <cell r="G426">
            <v>0</v>
          </cell>
          <cell r="H426">
            <v>0</v>
          </cell>
        </row>
        <row r="427">
          <cell r="G427">
            <v>0</v>
          </cell>
          <cell r="H427">
            <v>0</v>
          </cell>
        </row>
        <row r="428">
          <cell r="G428">
            <v>0</v>
          </cell>
          <cell r="H428">
            <v>0</v>
          </cell>
        </row>
        <row r="429">
          <cell r="G429">
            <v>0</v>
          </cell>
          <cell r="H429">
            <v>0</v>
          </cell>
        </row>
        <row r="430">
          <cell r="G430">
            <v>0</v>
          </cell>
          <cell r="H430">
            <v>0</v>
          </cell>
        </row>
        <row r="431">
          <cell r="G431">
            <v>0</v>
          </cell>
          <cell r="H431">
            <v>0</v>
          </cell>
        </row>
        <row r="432">
          <cell r="G432">
            <v>0</v>
          </cell>
          <cell r="H432">
            <v>0</v>
          </cell>
        </row>
        <row r="433">
          <cell r="G433">
            <v>0</v>
          </cell>
          <cell r="H433">
            <v>0</v>
          </cell>
        </row>
        <row r="434">
          <cell r="G434">
            <v>0</v>
          </cell>
          <cell r="H434">
            <v>0</v>
          </cell>
        </row>
        <row r="435">
          <cell r="G435">
            <v>0</v>
          </cell>
          <cell r="H435">
            <v>0</v>
          </cell>
        </row>
        <row r="436">
          <cell r="G436">
            <v>0</v>
          </cell>
          <cell r="H436">
            <v>0</v>
          </cell>
        </row>
        <row r="437">
          <cell r="G437">
            <v>0</v>
          </cell>
          <cell r="H437">
            <v>0</v>
          </cell>
        </row>
        <row r="438">
          <cell r="G438">
            <v>0</v>
          </cell>
          <cell r="H438">
            <v>0</v>
          </cell>
        </row>
        <row r="439">
          <cell r="G439">
            <v>0</v>
          </cell>
          <cell r="H439">
            <v>0</v>
          </cell>
        </row>
        <row r="440">
          <cell r="G440">
            <v>0</v>
          </cell>
          <cell r="H440">
            <v>0</v>
          </cell>
        </row>
        <row r="441">
          <cell r="G441">
            <v>0</v>
          </cell>
          <cell r="H441">
            <v>0</v>
          </cell>
        </row>
        <row r="442">
          <cell r="G442">
            <v>0</v>
          </cell>
          <cell r="H442">
            <v>0</v>
          </cell>
        </row>
        <row r="443">
          <cell r="G443">
            <v>0</v>
          </cell>
          <cell r="H443">
            <v>0</v>
          </cell>
        </row>
        <row r="444">
          <cell r="G444">
            <v>0</v>
          </cell>
          <cell r="H444">
            <v>0</v>
          </cell>
        </row>
        <row r="445">
          <cell r="G445">
            <v>0</v>
          </cell>
          <cell r="H445">
            <v>0</v>
          </cell>
        </row>
        <row r="446">
          <cell r="G446">
            <v>0</v>
          </cell>
          <cell r="H446">
            <v>0</v>
          </cell>
        </row>
        <row r="447">
          <cell r="G447">
            <v>0</v>
          </cell>
          <cell r="H447">
            <v>0</v>
          </cell>
        </row>
        <row r="448">
          <cell r="G448">
            <v>0</v>
          </cell>
          <cell r="H448">
            <v>0</v>
          </cell>
        </row>
        <row r="449">
          <cell r="G449">
            <v>0</v>
          </cell>
          <cell r="H449">
            <v>0</v>
          </cell>
        </row>
        <row r="450">
          <cell r="G450">
            <v>0</v>
          </cell>
          <cell r="H450">
            <v>0</v>
          </cell>
        </row>
        <row r="451">
          <cell r="G451">
            <v>0</v>
          </cell>
          <cell r="H451">
            <v>0</v>
          </cell>
        </row>
        <row r="452">
          <cell r="G452">
            <v>0</v>
          </cell>
          <cell r="H452">
            <v>0</v>
          </cell>
        </row>
        <row r="453">
          <cell r="G453">
            <v>0</v>
          </cell>
          <cell r="H453">
            <v>0</v>
          </cell>
        </row>
        <row r="454">
          <cell r="G454">
            <v>0</v>
          </cell>
          <cell r="H454">
            <v>0</v>
          </cell>
        </row>
        <row r="455">
          <cell r="G455">
            <v>0</v>
          </cell>
          <cell r="H455">
            <v>0</v>
          </cell>
        </row>
        <row r="456">
          <cell r="G456">
            <v>0</v>
          </cell>
          <cell r="H456">
            <v>0</v>
          </cell>
        </row>
        <row r="457">
          <cell r="G457">
            <v>0</v>
          </cell>
          <cell r="H457">
            <v>0</v>
          </cell>
        </row>
        <row r="458">
          <cell r="G458">
            <v>0</v>
          </cell>
          <cell r="H458">
            <v>0</v>
          </cell>
        </row>
        <row r="459">
          <cell r="G459">
            <v>0</v>
          </cell>
          <cell r="H459">
            <v>0</v>
          </cell>
        </row>
        <row r="460">
          <cell r="G460">
            <v>0</v>
          </cell>
          <cell r="H460">
            <v>0</v>
          </cell>
        </row>
        <row r="461">
          <cell r="G461">
            <v>0</v>
          </cell>
          <cell r="H461">
            <v>0</v>
          </cell>
        </row>
        <row r="462">
          <cell r="G462">
            <v>0</v>
          </cell>
          <cell r="H462">
            <v>0</v>
          </cell>
        </row>
        <row r="463">
          <cell r="G463">
            <v>0</v>
          </cell>
          <cell r="H463">
            <v>0</v>
          </cell>
        </row>
        <row r="464">
          <cell r="G464">
            <v>0</v>
          </cell>
          <cell r="H464">
            <v>0</v>
          </cell>
        </row>
        <row r="465">
          <cell r="G465">
            <v>0</v>
          </cell>
          <cell r="H465">
            <v>0</v>
          </cell>
        </row>
        <row r="466">
          <cell r="G466">
            <v>0</v>
          </cell>
          <cell r="H466">
            <v>0</v>
          </cell>
        </row>
        <row r="467">
          <cell r="G467">
            <v>0</v>
          </cell>
          <cell r="H467">
            <v>0</v>
          </cell>
        </row>
        <row r="468">
          <cell r="G468">
            <v>0</v>
          </cell>
          <cell r="H468">
            <v>0</v>
          </cell>
        </row>
        <row r="469">
          <cell r="G469">
            <v>0</v>
          </cell>
          <cell r="H469">
            <v>0</v>
          </cell>
        </row>
        <row r="470">
          <cell r="G470">
            <v>0</v>
          </cell>
          <cell r="H470">
            <v>0</v>
          </cell>
        </row>
        <row r="471">
          <cell r="G471">
            <v>0</v>
          </cell>
          <cell r="H471">
            <v>0</v>
          </cell>
        </row>
        <row r="472">
          <cell r="G472">
            <v>0</v>
          </cell>
          <cell r="H472">
            <v>0</v>
          </cell>
        </row>
        <row r="473">
          <cell r="G473">
            <v>0</v>
          </cell>
          <cell r="H473">
            <v>0</v>
          </cell>
        </row>
        <row r="474">
          <cell r="G474">
            <v>0</v>
          </cell>
          <cell r="H474">
            <v>0</v>
          </cell>
        </row>
        <row r="475">
          <cell r="G475">
            <v>0</v>
          </cell>
          <cell r="H475">
            <v>0</v>
          </cell>
        </row>
        <row r="476">
          <cell r="G476">
            <v>0</v>
          </cell>
          <cell r="H476">
            <v>0</v>
          </cell>
        </row>
        <row r="477">
          <cell r="G477">
            <v>0</v>
          </cell>
          <cell r="H477">
            <v>0</v>
          </cell>
        </row>
        <row r="478">
          <cell r="G478">
            <v>0</v>
          </cell>
          <cell r="H478">
            <v>0</v>
          </cell>
        </row>
        <row r="479">
          <cell r="G479">
            <v>0</v>
          </cell>
          <cell r="H479">
            <v>0</v>
          </cell>
        </row>
        <row r="480">
          <cell r="G480">
            <v>0</v>
          </cell>
          <cell r="H480">
            <v>0</v>
          </cell>
        </row>
        <row r="481">
          <cell r="G481">
            <v>0</v>
          </cell>
          <cell r="H481">
            <v>0</v>
          </cell>
        </row>
        <row r="482">
          <cell r="G482">
            <v>0</v>
          </cell>
          <cell r="H482">
            <v>0</v>
          </cell>
        </row>
        <row r="483">
          <cell r="G483">
            <v>0</v>
          </cell>
          <cell r="H483">
            <v>0</v>
          </cell>
        </row>
        <row r="484">
          <cell r="G484">
            <v>0</v>
          </cell>
          <cell r="H484">
            <v>0</v>
          </cell>
        </row>
        <row r="485">
          <cell r="G485">
            <v>0</v>
          </cell>
          <cell r="H485">
            <v>0</v>
          </cell>
        </row>
        <row r="486">
          <cell r="G486">
            <v>0</v>
          </cell>
          <cell r="H486">
            <v>0</v>
          </cell>
        </row>
        <row r="487">
          <cell r="G487">
            <v>0</v>
          </cell>
          <cell r="H487">
            <v>0</v>
          </cell>
        </row>
        <row r="488">
          <cell r="G488">
            <v>0</v>
          </cell>
          <cell r="H488">
            <v>0</v>
          </cell>
        </row>
        <row r="489">
          <cell r="G489">
            <v>0</v>
          </cell>
          <cell r="H489">
            <v>0</v>
          </cell>
        </row>
        <row r="490">
          <cell r="G490">
            <v>0</v>
          </cell>
          <cell r="H490">
            <v>0</v>
          </cell>
        </row>
        <row r="491">
          <cell r="G491">
            <v>0</v>
          </cell>
          <cell r="H491">
            <v>0</v>
          </cell>
        </row>
        <row r="492">
          <cell r="G492">
            <v>0</v>
          </cell>
          <cell r="H492">
            <v>0</v>
          </cell>
        </row>
        <row r="493">
          <cell r="G493">
            <v>0</v>
          </cell>
          <cell r="H493">
            <v>0</v>
          </cell>
        </row>
        <row r="494">
          <cell r="G494">
            <v>0</v>
          </cell>
          <cell r="H494">
            <v>0</v>
          </cell>
        </row>
        <row r="495">
          <cell r="G495">
            <v>0</v>
          </cell>
          <cell r="H495">
            <v>0</v>
          </cell>
        </row>
        <row r="496">
          <cell r="G496">
            <v>0</v>
          </cell>
          <cell r="H496">
            <v>0</v>
          </cell>
        </row>
        <row r="497">
          <cell r="G497">
            <v>0</v>
          </cell>
          <cell r="H497">
            <v>0</v>
          </cell>
        </row>
        <row r="498">
          <cell r="G498">
            <v>0</v>
          </cell>
          <cell r="H498">
            <v>0</v>
          </cell>
        </row>
        <row r="499">
          <cell r="G499">
            <v>0</v>
          </cell>
          <cell r="H499">
            <v>0</v>
          </cell>
        </row>
        <row r="500">
          <cell r="G500">
            <v>0</v>
          </cell>
          <cell r="H500">
            <v>0</v>
          </cell>
        </row>
        <row r="501">
          <cell r="G501">
            <v>0</v>
          </cell>
          <cell r="H501">
            <v>0</v>
          </cell>
        </row>
      </sheetData>
      <sheetData sheetId="2">
        <row r="12">
          <cell r="G12">
            <v>2244994.14</v>
          </cell>
        </row>
        <row r="14">
          <cell r="J14">
            <v>15763473.25</v>
          </cell>
        </row>
        <row r="15">
          <cell r="J15">
            <v>84553321.829999998</v>
          </cell>
        </row>
        <row r="16">
          <cell r="G16">
            <v>6032481.209999999</v>
          </cell>
        </row>
        <row r="29">
          <cell r="G29">
            <v>52666807.68</v>
          </cell>
          <cell r="H29">
            <v>0</v>
          </cell>
        </row>
        <row r="30">
          <cell r="G30">
            <v>0</v>
          </cell>
          <cell r="H30">
            <v>0</v>
          </cell>
        </row>
        <row r="31">
          <cell r="G31">
            <v>0</v>
          </cell>
          <cell r="H31">
            <v>0</v>
          </cell>
        </row>
        <row r="32">
          <cell r="G32">
            <v>0</v>
          </cell>
          <cell r="H32">
            <v>0</v>
          </cell>
        </row>
        <row r="33">
          <cell r="G33">
            <v>0</v>
          </cell>
          <cell r="H33">
            <v>0</v>
          </cell>
        </row>
        <row r="34">
          <cell r="G34">
            <v>0</v>
          </cell>
          <cell r="H34">
            <v>0</v>
          </cell>
        </row>
        <row r="35">
          <cell r="G35">
            <v>973531.03</v>
          </cell>
          <cell r="H35">
            <v>0</v>
          </cell>
        </row>
        <row r="36">
          <cell r="G36">
            <v>0</v>
          </cell>
          <cell r="H36">
            <v>0</v>
          </cell>
        </row>
        <row r="37">
          <cell r="G37">
            <v>0</v>
          </cell>
          <cell r="H37">
            <v>0</v>
          </cell>
        </row>
        <row r="38">
          <cell r="G38">
            <v>0</v>
          </cell>
          <cell r="H38">
            <v>0</v>
          </cell>
        </row>
        <row r="39">
          <cell r="G39">
            <v>973531.03</v>
          </cell>
          <cell r="H39">
            <v>0</v>
          </cell>
        </row>
        <row r="40">
          <cell r="G40">
            <v>0</v>
          </cell>
          <cell r="H40">
            <v>0</v>
          </cell>
        </row>
        <row r="41">
          <cell r="G41">
            <v>0</v>
          </cell>
          <cell r="H41">
            <v>0</v>
          </cell>
        </row>
        <row r="42">
          <cell r="G42">
            <v>0</v>
          </cell>
          <cell r="H42">
            <v>0</v>
          </cell>
        </row>
        <row r="43">
          <cell r="G43">
            <v>0</v>
          </cell>
          <cell r="H43">
            <v>0</v>
          </cell>
        </row>
        <row r="44">
          <cell r="G44">
            <v>0</v>
          </cell>
          <cell r="H44">
            <v>0</v>
          </cell>
        </row>
        <row r="45">
          <cell r="G45">
            <v>0</v>
          </cell>
          <cell r="H45">
            <v>0</v>
          </cell>
        </row>
        <row r="46">
          <cell r="G46">
            <v>0</v>
          </cell>
          <cell r="H46">
            <v>0</v>
          </cell>
        </row>
        <row r="47">
          <cell r="G47">
            <v>0</v>
          </cell>
          <cell r="H47">
            <v>0</v>
          </cell>
        </row>
        <row r="48">
          <cell r="G48">
            <v>0</v>
          </cell>
          <cell r="H48">
            <v>0</v>
          </cell>
        </row>
        <row r="49">
          <cell r="G49">
            <v>0</v>
          </cell>
          <cell r="H49">
            <v>0</v>
          </cell>
        </row>
        <row r="50">
          <cell r="G50">
            <v>0</v>
          </cell>
          <cell r="H50">
            <v>0</v>
          </cell>
        </row>
        <row r="51">
          <cell r="G51">
            <v>3196999.6</v>
          </cell>
          <cell r="H51">
            <v>0</v>
          </cell>
        </row>
        <row r="52">
          <cell r="G52">
            <v>2752136.5</v>
          </cell>
          <cell r="H52">
            <v>0</v>
          </cell>
        </row>
        <row r="53">
          <cell r="G53">
            <v>2752136.5</v>
          </cell>
          <cell r="H53">
            <v>0</v>
          </cell>
        </row>
        <row r="54">
          <cell r="G54">
            <v>444863.1</v>
          </cell>
          <cell r="H54">
            <v>0</v>
          </cell>
        </row>
        <row r="55">
          <cell r="G55">
            <v>0</v>
          </cell>
          <cell r="H55">
            <v>0</v>
          </cell>
        </row>
        <row r="56">
          <cell r="G56">
            <v>0</v>
          </cell>
          <cell r="H56">
            <v>0</v>
          </cell>
        </row>
        <row r="57">
          <cell r="G57">
            <v>0</v>
          </cell>
          <cell r="H57">
            <v>0</v>
          </cell>
        </row>
        <row r="58">
          <cell r="G58">
            <v>45000</v>
          </cell>
          <cell r="H58">
            <v>0</v>
          </cell>
        </row>
        <row r="59">
          <cell r="G59">
            <v>0</v>
          </cell>
          <cell r="H59">
            <v>0</v>
          </cell>
        </row>
        <row r="60">
          <cell r="G60">
            <v>0</v>
          </cell>
          <cell r="H60">
            <v>0</v>
          </cell>
        </row>
        <row r="61">
          <cell r="G61">
            <v>330200</v>
          </cell>
          <cell r="H61">
            <v>0</v>
          </cell>
        </row>
        <row r="62">
          <cell r="G62">
            <v>0</v>
          </cell>
          <cell r="H62">
            <v>0</v>
          </cell>
        </row>
        <row r="63">
          <cell r="G63">
            <v>69663.099999999991</v>
          </cell>
          <cell r="H63">
            <v>0</v>
          </cell>
        </row>
        <row r="64">
          <cell r="G64">
            <v>0</v>
          </cell>
          <cell r="H64">
            <v>0</v>
          </cell>
        </row>
        <row r="65">
          <cell r="G65">
            <v>0</v>
          </cell>
          <cell r="H65">
            <v>0</v>
          </cell>
        </row>
        <row r="66">
          <cell r="G66">
            <v>0</v>
          </cell>
          <cell r="H66">
            <v>0</v>
          </cell>
        </row>
        <row r="67">
          <cell r="G67">
            <v>0</v>
          </cell>
          <cell r="H67">
            <v>0</v>
          </cell>
        </row>
        <row r="68">
          <cell r="G68">
            <v>0</v>
          </cell>
          <cell r="H68">
            <v>0</v>
          </cell>
        </row>
        <row r="69">
          <cell r="G69">
            <v>0</v>
          </cell>
          <cell r="H69">
            <v>0</v>
          </cell>
        </row>
        <row r="70">
          <cell r="G70">
            <v>0</v>
          </cell>
          <cell r="H70">
            <v>0</v>
          </cell>
        </row>
        <row r="71">
          <cell r="G71">
            <v>0</v>
          </cell>
          <cell r="H71">
            <v>0</v>
          </cell>
        </row>
        <row r="72">
          <cell r="G72">
            <v>0</v>
          </cell>
          <cell r="H72">
            <v>0</v>
          </cell>
        </row>
        <row r="73">
          <cell r="G73">
            <v>0</v>
          </cell>
          <cell r="H73">
            <v>0</v>
          </cell>
        </row>
        <row r="74">
          <cell r="G74">
            <v>0</v>
          </cell>
          <cell r="H74">
            <v>0</v>
          </cell>
        </row>
        <row r="75">
          <cell r="G75">
            <v>0</v>
          </cell>
          <cell r="H75">
            <v>0</v>
          </cell>
        </row>
        <row r="76">
          <cell r="G76">
            <v>0</v>
          </cell>
          <cell r="H76">
            <v>0</v>
          </cell>
        </row>
        <row r="77">
          <cell r="G77">
            <v>0</v>
          </cell>
          <cell r="H77">
            <v>0</v>
          </cell>
        </row>
        <row r="78">
          <cell r="G78">
            <v>8253841.6100000003</v>
          </cell>
          <cell r="H78">
            <v>0</v>
          </cell>
        </row>
        <row r="79">
          <cell r="G79">
            <v>3803102.29</v>
          </cell>
          <cell r="H79">
            <v>0</v>
          </cell>
        </row>
        <row r="80">
          <cell r="G80">
            <v>3803102.29</v>
          </cell>
          <cell r="H80">
            <v>0</v>
          </cell>
        </row>
        <row r="81">
          <cell r="G81">
            <v>3808464.5</v>
          </cell>
          <cell r="H81">
            <v>0</v>
          </cell>
        </row>
        <row r="82">
          <cell r="G82">
            <v>3808464.5</v>
          </cell>
          <cell r="H82">
            <v>0</v>
          </cell>
        </row>
        <row r="83">
          <cell r="G83">
            <v>642274.82000000007</v>
          </cell>
          <cell r="H83">
            <v>0</v>
          </cell>
        </row>
        <row r="84">
          <cell r="G84">
            <v>642274.82000000007</v>
          </cell>
          <cell r="H84">
            <v>0</v>
          </cell>
        </row>
        <row r="85">
          <cell r="G85">
            <v>0</v>
          </cell>
          <cell r="H85">
            <v>0</v>
          </cell>
        </row>
        <row r="86">
          <cell r="G86">
            <v>0</v>
          </cell>
          <cell r="H86">
            <v>0</v>
          </cell>
        </row>
        <row r="87">
          <cell r="G87">
            <v>0</v>
          </cell>
          <cell r="H87">
            <v>2733844.2900000005</v>
          </cell>
        </row>
        <row r="88">
          <cell r="G88">
            <v>0</v>
          </cell>
          <cell r="H88">
            <v>351316.33</v>
          </cell>
        </row>
        <row r="89">
          <cell r="G89">
            <v>0</v>
          </cell>
          <cell r="H89">
            <v>0</v>
          </cell>
        </row>
        <row r="90">
          <cell r="G90">
            <v>0</v>
          </cell>
          <cell r="H90">
            <v>0</v>
          </cell>
        </row>
        <row r="91">
          <cell r="G91">
            <v>0</v>
          </cell>
          <cell r="H91">
            <v>0</v>
          </cell>
        </row>
        <row r="92">
          <cell r="G92">
            <v>0</v>
          </cell>
          <cell r="H92">
            <v>0</v>
          </cell>
        </row>
        <row r="93">
          <cell r="G93">
            <v>0</v>
          </cell>
          <cell r="H93">
            <v>301316.33</v>
          </cell>
        </row>
        <row r="94">
          <cell r="G94">
            <v>0</v>
          </cell>
          <cell r="H94">
            <v>301316.33</v>
          </cell>
        </row>
        <row r="95">
          <cell r="G95">
            <v>0</v>
          </cell>
          <cell r="H95">
            <v>0</v>
          </cell>
        </row>
        <row r="96">
          <cell r="G96">
            <v>0</v>
          </cell>
          <cell r="H96">
            <v>0</v>
          </cell>
        </row>
        <row r="97">
          <cell r="G97">
            <v>0</v>
          </cell>
          <cell r="H97">
            <v>0</v>
          </cell>
        </row>
        <row r="98">
          <cell r="G98">
            <v>0</v>
          </cell>
          <cell r="H98">
            <v>0</v>
          </cell>
        </row>
        <row r="99">
          <cell r="G99">
            <v>0</v>
          </cell>
          <cell r="H99">
            <v>0</v>
          </cell>
        </row>
        <row r="100">
          <cell r="G100">
            <v>0</v>
          </cell>
          <cell r="H100">
            <v>0</v>
          </cell>
        </row>
        <row r="101">
          <cell r="G101">
            <v>0</v>
          </cell>
          <cell r="H101">
            <v>0</v>
          </cell>
        </row>
        <row r="102">
          <cell r="G102">
            <v>0</v>
          </cell>
          <cell r="H102">
            <v>0</v>
          </cell>
        </row>
        <row r="103">
          <cell r="G103">
            <v>0</v>
          </cell>
          <cell r="H103">
            <v>0</v>
          </cell>
        </row>
        <row r="104">
          <cell r="G104">
            <v>0</v>
          </cell>
          <cell r="H104">
            <v>50000</v>
          </cell>
        </row>
        <row r="105">
          <cell r="G105">
            <v>0</v>
          </cell>
          <cell r="H105">
            <v>50000</v>
          </cell>
        </row>
        <row r="106">
          <cell r="G106">
            <v>0</v>
          </cell>
          <cell r="H106">
            <v>0</v>
          </cell>
        </row>
        <row r="107">
          <cell r="G107">
            <v>0</v>
          </cell>
          <cell r="H107">
            <v>0</v>
          </cell>
        </row>
        <row r="108">
          <cell r="G108">
            <v>0</v>
          </cell>
          <cell r="H108">
            <v>0</v>
          </cell>
        </row>
        <row r="109">
          <cell r="G109">
            <v>0</v>
          </cell>
          <cell r="H109">
            <v>0</v>
          </cell>
        </row>
        <row r="110">
          <cell r="G110">
            <v>0</v>
          </cell>
          <cell r="H110">
            <v>0</v>
          </cell>
        </row>
        <row r="111">
          <cell r="G111">
            <v>0</v>
          </cell>
          <cell r="H111">
            <v>0</v>
          </cell>
        </row>
        <row r="112">
          <cell r="G112">
            <v>0</v>
          </cell>
          <cell r="H112">
            <v>0</v>
          </cell>
        </row>
        <row r="113">
          <cell r="G113">
            <v>0</v>
          </cell>
          <cell r="H113">
            <v>0</v>
          </cell>
        </row>
        <row r="114">
          <cell r="G114">
            <v>0</v>
          </cell>
          <cell r="H114">
            <v>0</v>
          </cell>
        </row>
        <row r="115">
          <cell r="G115">
            <v>0</v>
          </cell>
          <cell r="H115">
            <v>0</v>
          </cell>
        </row>
        <row r="116">
          <cell r="G116">
            <v>0</v>
          </cell>
          <cell r="H116">
            <v>0</v>
          </cell>
        </row>
        <row r="117">
          <cell r="G117">
            <v>0</v>
          </cell>
          <cell r="H117">
            <v>0</v>
          </cell>
        </row>
        <row r="118">
          <cell r="G118">
            <v>0</v>
          </cell>
          <cell r="H118">
            <v>0</v>
          </cell>
        </row>
        <row r="119">
          <cell r="G119">
            <v>0</v>
          </cell>
          <cell r="H119">
            <v>0</v>
          </cell>
        </row>
        <row r="120">
          <cell r="G120">
            <v>0</v>
          </cell>
          <cell r="H120">
            <v>0</v>
          </cell>
        </row>
        <row r="121">
          <cell r="G121">
            <v>0</v>
          </cell>
          <cell r="H121">
            <v>0</v>
          </cell>
        </row>
        <row r="122">
          <cell r="G122">
            <v>0</v>
          </cell>
          <cell r="H122">
            <v>0</v>
          </cell>
        </row>
        <row r="123">
          <cell r="G123">
            <v>0</v>
          </cell>
          <cell r="H123">
            <v>0</v>
          </cell>
        </row>
        <row r="124">
          <cell r="G124">
            <v>0</v>
          </cell>
          <cell r="H124">
            <v>0</v>
          </cell>
        </row>
        <row r="125">
          <cell r="G125">
            <v>0</v>
          </cell>
          <cell r="H125">
            <v>266664.26</v>
          </cell>
        </row>
        <row r="126">
          <cell r="G126">
            <v>0</v>
          </cell>
          <cell r="H126">
            <v>0</v>
          </cell>
        </row>
        <row r="127">
          <cell r="G127">
            <v>0</v>
          </cell>
          <cell r="H127">
            <v>0</v>
          </cell>
        </row>
        <row r="128">
          <cell r="G128">
            <v>0</v>
          </cell>
          <cell r="H128">
            <v>0</v>
          </cell>
        </row>
        <row r="129">
          <cell r="G129">
            <v>0</v>
          </cell>
          <cell r="H129">
            <v>0</v>
          </cell>
        </row>
        <row r="130">
          <cell r="G130">
            <v>0</v>
          </cell>
          <cell r="H130">
            <v>266664.26</v>
          </cell>
        </row>
        <row r="131">
          <cell r="G131">
            <v>0</v>
          </cell>
          <cell r="H131">
            <v>0</v>
          </cell>
        </row>
        <row r="132">
          <cell r="G132">
            <v>0</v>
          </cell>
          <cell r="H132">
            <v>266664.26</v>
          </cell>
        </row>
        <row r="133">
          <cell r="G133">
            <v>0</v>
          </cell>
          <cell r="H133">
            <v>0</v>
          </cell>
        </row>
        <row r="134">
          <cell r="G134">
            <v>0</v>
          </cell>
          <cell r="H134">
            <v>0</v>
          </cell>
        </row>
        <row r="135">
          <cell r="G135">
            <v>0</v>
          </cell>
          <cell r="H135">
            <v>0</v>
          </cell>
        </row>
        <row r="136">
          <cell r="G136">
            <v>0</v>
          </cell>
          <cell r="H136">
            <v>0</v>
          </cell>
        </row>
        <row r="137">
          <cell r="G137">
            <v>0</v>
          </cell>
          <cell r="H137">
            <v>0</v>
          </cell>
        </row>
        <row r="138">
          <cell r="G138">
            <v>0</v>
          </cell>
          <cell r="H138">
            <v>0</v>
          </cell>
        </row>
        <row r="139">
          <cell r="G139">
            <v>0</v>
          </cell>
          <cell r="H139">
            <v>0</v>
          </cell>
        </row>
        <row r="140">
          <cell r="G140">
            <v>0</v>
          </cell>
          <cell r="H140">
            <v>0</v>
          </cell>
        </row>
        <row r="141">
          <cell r="G141">
            <v>0</v>
          </cell>
          <cell r="H141">
            <v>0</v>
          </cell>
        </row>
        <row r="142">
          <cell r="G142">
            <v>0</v>
          </cell>
          <cell r="H142">
            <v>0</v>
          </cell>
        </row>
        <row r="143">
          <cell r="G143">
            <v>0</v>
          </cell>
          <cell r="H143">
            <v>0</v>
          </cell>
        </row>
        <row r="144">
          <cell r="G144">
            <v>0</v>
          </cell>
          <cell r="H144">
            <v>0</v>
          </cell>
        </row>
        <row r="145">
          <cell r="G145">
            <v>0</v>
          </cell>
          <cell r="H145">
            <v>0</v>
          </cell>
        </row>
        <row r="146">
          <cell r="G146">
            <v>0</v>
          </cell>
          <cell r="H146">
            <v>0</v>
          </cell>
        </row>
        <row r="147">
          <cell r="G147">
            <v>0</v>
          </cell>
          <cell r="H147">
            <v>0</v>
          </cell>
        </row>
        <row r="148">
          <cell r="G148">
            <v>0</v>
          </cell>
          <cell r="H148">
            <v>0</v>
          </cell>
        </row>
        <row r="149">
          <cell r="G149">
            <v>0</v>
          </cell>
          <cell r="H149">
            <v>0</v>
          </cell>
        </row>
        <row r="150">
          <cell r="G150">
            <v>0</v>
          </cell>
          <cell r="H150">
            <v>0</v>
          </cell>
        </row>
        <row r="151">
          <cell r="G151">
            <v>0</v>
          </cell>
          <cell r="H151">
            <v>0</v>
          </cell>
        </row>
        <row r="152">
          <cell r="G152">
            <v>0</v>
          </cell>
          <cell r="H152">
            <v>0</v>
          </cell>
        </row>
        <row r="153">
          <cell r="G153">
            <v>0</v>
          </cell>
          <cell r="H153">
            <v>0</v>
          </cell>
        </row>
        <row r="154">
          <cell r="G154">
            <v>0</v>
          </cell>
          <cell r="H154">
            <v>0</v>
          </cell>
        </row>
        <row r="155">
          <cell r="G155">
            <v>0</v>
          </cell>
          <cell r="H155">
            <v>0</v>
          </cell>
        </row>
        <row r="156">
          <cell r="G156">
            <v>0</v>
          </cell>
          <cell r="H156">
            <v>0</v>
          </cell>
        </row>
        <row r="157">
          <cell r="G157">
            <v>0</v>
          </cell>
          <cell r="H157">
            <v>2064518.35</v>
          </cell>
        </row>
        <row r="158">
          <cell r="G158">
            <v>0</v>
          </cell>
          <cell r="H158">
            <v>152918.35</v>
          </cell>
        </row>
        <row r="159">
          <cell r="G159">
            <v>0</v>
          </cell>
          <cell r="H159">
            <v>21673.46</v>
          </cell>
        </row>
        <row r="160">
          <cell r="G160">
            <v>0</v>
          </cell>
          <cell r="H160">
            <v>131244.89000000001</v>
          </cell>
        </row>
        <row r="161">
          <cell r="G161">
            <v>0</v>
          </cell>
          <cell r="H161">
            <v>0</v>
          </cell>
        </row>
        <row r="162">
          <cell r="G162">
            <v>0</v>
          </cell>
          <cell r="H162">
            <v>0</v>
          </cell>
        </row>
        <row r="163">
          <cell r="G163">
            <v>0</v>
          </cell>
          <cell r="H163">
            <v>0</v>
          </cell>
        </row>
        <row r="164">
          <cell r="G164">
            <v>0</v>
          </cell>
          <cell r="H164">
            <v>0</v>
          </cell>
        </row>
        <row r="165">
          <cell r="G165">
            <v>0</v>
          </cell>
          <cell r="H165">
            <v>0</v>
          </cell>
        </row>
        <row r="166">
          <cell r="G166">
            <v>0</v>
          </cell>
          <cell r="H166">
            <v>0</v>
          </cell>
        </row>
        <row r="167">
          <cell r="G167">
            <v>0</v>
          </cell>
          <cell r="H167">
            <v>1911600</v>
          </cell>
        </row>
        <row r="168">
          <cell r="G168">
            <v>0</v>
          </cell>
          <cell r="H168">
            <v>0</v>
          </cell>
        </row>
        <row r="169">
          <cell r="G169">
            <v>0</v>
          </cell>
          <cell r="H169">
            <v>0</v>
          </cell>
        </row>
        <row r="170">
          <cell r="G170">
            <v>0</v>
          </cell>
          <cell r="H170">
            <v>0</v>
          </cell>
        </row>
        <row r="171">
          <cell r="G171">
            <v>0</v>
          </cell>
          <cell r="H171">
            <v>1888000</v>
          </cell>
        </row>
        <row r="172">
          <cell r="G172">
            <v>0</v>
          </cell>
          <cell r="H172">
            <v>0</v>
          </cell>
        </row>
        <row r="173">
          <cell r="G173">
            <v>0</v>
          </cell>
          <cell r="H173">
            <v>23600</v>
          </cell>
        </row>
        <row r="174">
          <cell r="G174">
            <v>0</v>
          </cell>
          <cell r="H174">
            <v>0</v>
          </cell>
        </row>
        <row r="175">
          <cell r="G175">
            <v>0</v>
          </cell>
          <cell r="H175">
            <v>0</v>
          </cell>
        </row>
        <row r="176">
          <cell r="G176">
            <v>0</v>
          </cell>
          <cell r="H176">
            <v>0</v>
          </cell>
        </row>
        <row r="177">
          <cell r="G177">
            <v>0</v>
          </cell>
          <cell r="H177">
            <v>0</v>
          </cell>
        </row>
        <row r="178">
          <cell r="G178">
            <v>0</v>
          </cell>
          <cell r="H178">
            <v>0</v>
          </cell>
        </row>
        <row r="179">
          <cell r="G179">
            <v>0</v>
          </cell>
          <cell r="H179">
            <v>51345.35</v>
          </cell>
        </row>
        <row r="180">
          <cell r="G180">
            <v>0</v>
          </cell>
          <cell r="H180">
            <v>0</v>
          </cell>
        </row>
        <row r="181">
          <cell r="G181">
            <v>0</v>
          </cell>
          <cell r="H181">
            <v>0</v>
          </cell>
        </row>
        <row r="182">
          <cell r="G182">
            <v>0</v>
          </cell>
          <cell r="H182">
            <v>13357.35</v>
          </cell>
        </row>
        <row r="183">
          <cell r="G183">
            <v>0</v>
          </cell>
          <cell r="H183">
            <v>13357.35</v>
          </cell>
        </row>
        <row r="184">
          <cell r="G184">
            <v>0</v>
          </cell>
          <cell r="H184">
            <v>0</v>
          </cell>
        </row>
        <row r="185">
          <cell r="G185">
            <v>0</v>
          </cell>
          <cell r="H185">
            <v>0</v>
          </cell>
        </row>
        <row r="186">
          <cell r="G186">
            <v>0</v>
          </cell>
          <cell r="H186">
            <v>0</v>
          </cell>
        </row>
        <row r="187">
          <cell r="G187">
            <v>0</v>
          </cell>
          <cell r="H187">
            <v>0</v>
          </cell>
        </row>
        <row r="188">
          <cell r="G188">
            <v>0</v>
          </cell>
          <cell r="H188">
            <v>10148</v>
          </cell>
        </row>
        <row r="189">
          <cell r="G189">
            <v>0</v>
          </cell>
          <cell r="H189">
            <v>0</v>
          </cell>
        </row>
        <row r="190">
          <cell r="G190">
            <v>0</v>
          </cell>
          <cell r="H190">
            <v>0</v>
          </cell>
        </row>
        <row r="191">
          <cell r="G191">
            <v>0</v>
          </cell>
          <cell r="H191">
            <v>10148</v>
          </cell>
        </row>
        <row r="192">
          <cell r="G192">
            <v>0</v>
          </cell>
          <cell r="H192">
            <v>0</v>
          </cell>
        </row>
        <row r="193">
          <cell r="G193">
            <v>0</v>
          </cell>
          <cell r="H193">
            <v>0</v>
          </cell>
        </row>
        <row r="194">
          <cell r="G194">
            <v>0</v>
          </cell>
          <cell r="H194">
            <v>0</v>
          </cell>
        </row>
        <row r="195">
          <cell r="G195">
            <v>0</v>
          </cell>
          <cell r="H195">
            <v>0</v>
          </cell>
        </row>
        <row r="196">
          <cell r="G196">
            <v>0</v>
          </cell>
          <cell r="H196">
            <v>0</v>
          </cell>
        </row>
        <row r="197">
          <cell r="G197">
            <v>0</v>
          </cell>
          <cell r="H197">
            <v>27840</v>
          </cell>
        </row>
        <row r="198">
          <cell r="G198">
            <v>0</v>
          </cell>
          <cell r="H198">
            <v>0</v>
          </cell>
        </row>
        <row r="199">
          <cell r="G199">
            <v>0</v>
          </cell>
          <cell r="H199">
            <v>0</v>
          </cell>
        </row>
        <row r="200">
          <cell r="G200">
            <v>0</v>
          </cell>
          <cell r="H200">
            <v>0</v>
          </cell>
        </row>
        <row r="201">
          <cell r="G201">
            <v>0</v>
          </cell>
          <cell r="H201">
            <v>0</v>
          </cell>
        </row>
        <row r="202">
          <cell r="G202">
            <v>0</v>
          </cell>
          <cell r="H202">
            <v>0</v>
          </cell>
        </row>
        <row r="203">
          <cell r="G203">
            <v>0</v>
          </cell>
          <cell r="H203">
            <v>27840</v>
          </cell>
        </row>
        <row r="204">
          <cell r="G204">
            <v>0</v>
          </cell>
          <cell r="H204">
            <v>0</v>
          </cell>
        </row>
        <row r="205">
          <cell r="G205">
            <v>0</v>
          </cell>
          <cell r="H205">
            <v>0</v>
          </cell>
        </row>
        <row r="206">
          <cell r="G206">
            <v>0</v>
          </cell>
          <cell r="H206">
            <v>0</v>
          </cell>
        </row>
        <row r="207">
          <cell r="G207">
            <v>0</v>
          </cell>
          <cell r="H207">
            <v>0</v>
          </cell>
        </row>
        <row r="208">
          <cell r="G208">
            <v>0</v>
          </cell>
          <cell r="H208">
            <v>0</v>
          </cell>
        </row>
        <row r="209">
          <cell r="G209">
            <v>0</v>
          </cell>
          <cell r="H209">
            <v>0</v>
          </cell>
        </row>
        <row r="210">
          <cell r="G210">
            <v>0</v>
          </cell>
          <cell r="H210">
            <v>0</v>
          </cell>
        </row>
        <row r="211">
          <cell r="G211">
            <v>0</v>
          </cell>
          <cell r="H211">
            <v>0</v>
          </cell>
        </row>
        <row r="212">
          <cell r="G212">
            <v>4970601.1899999995</v>
          </cell>
          <cell r="H212">
            <v>3062630.67</v>
          </cell>
        </row>
        <row r="213">
          <cell r="G213">
            <v>0</v>
          </cell>
          <cell r="H213">
            <v>541265</v>
          </cell>
        </row>
        <row r="214">
          <cell r="G214">
            <v>0</v>
          </cell>
          <cell r="H214">
            <v>541265</v>
          </cell>
        </row>
        <row r="215">
          <cell r="G215">
            <v>0</v>
          </cell>
          <cell r="H215">
            <v>541265</v>
          </cell>
        </row>
        <row r="216">
          <cell r="G216">
            <v>0</v>
          </cell>
          <cell r="H216">
            <v>0</v>
          </cell>
        </row>
        <row r="217">
          <cell r="G217">
            <v>0</v>
          </cell>
          <cell r="H217">
            <v>0</v>
          </cell>
        </row>
        <row r="218">
          <cell r="G218">
            <v>0</v>
          </cell>
          <cell r="H218">
            <v>0</v>
          </cell>
        </row>
        <row r="219">
          <cell r="G219">
            <v>0</v>
          </cell>
          <cell r="H219">
            <v>0</v>
          </cell>
        </row>
        <row r="220">
          <cell r="G220">
            <v>0</v>
          </cell>
          <cell r="H220">
            <v>0</v>
          </cell>
        </row>
        <row r="221">
          <cell r="G221">
            <v>0</v>
          </cell>
          <cell r="H221">
            <v>0</v>
          </cell>
        </row>
        <row r="222">
          <cell r="G222">
            <v>0</v>
          </cell>
          <cell r="H222">
            <v>0</v>
          </cell>
        </row>
        <row r="223">
          <cell r="G223">
            <v>0</v>
          </cell>
          <cell r="H223">
            <v>0</v>
          </cell>
        </row>
        <row r="224">
          <cell r="G224">
            <v>0</v>
          </cell>
          <cell r="H224">
            <v>0</v>
          </cell>
        </row>
        <row r="225">
          <cell r="G225">
            <v>0</v>
          </cell>
          <cell r="H225">
            <v>0</v>
          </cell>
        </row>
        <row r="226">
          <cell r="G226">
            <v>0</v>
          </cell>
          <cell r="H226">
            <v>0</v>
          </cell>
        </row>
        <row r="227">
          <cell r="G227">
            <v>0</v>
          </cell>
          <cell r="H227">
            <v>0</v>
          </cell>
        </row>
        <row r="228">
          <cell r="G228">
            <v>0</v>
          </cell>
          <cell r="H228">
            <v>0</v>
          </cell>
        </row>
        <row r="229">
          <cell r="G229">
            <v>0</v>
          </cell>
          <cell r="H229">
            <v>0</v>
          </cell>
        </row>
        <row r="230">
          <cell r="G230">
            <v>0</v>
          </cell>
          <cell r="H230">
            <v>0</v>
          </cell>
        </row>
        <row r="231">
          <cell r="G231">
            <v>0</v>
          </cell>
          <cell r="H231">
            <v>0</v>
          </cell>
        </row>
        <row r="232">
          <cell r="G232">
            <v>0</v>
          </cell>
          <cell r="H232">
            <v>85550</v>
          </cell>
        </row>
        <row r="233">
          <cell r="G233">
            <v>0</v>
          </cell>
          <cell r="H233">
            <v>0</v>
          </cell>
        </row>
        <row r="234">
          <cell r="G234">
            <v>0</v>
          </cell>
          <cell r="H234">
            <v>0</v>
          </cell>
        </row>
        <row r="235">
          <cell r="G235">
            <v>0</v>
          </cell>
          <cell r="H235">
            <v>0</v>
          </cell>
        </row>
        <row r="236">
          <cell r="G236">
            <v>0</v>
          </cell>
          <cell r="H236">
            <v>0</v>
          </cell>
        </row>
        <row r="237">
          <cell r="G237">
            <v>0</v>
          </cell>
          <cell r="H237">
            <v>85550</v>
          </cell>
        </row>
        <row r="238">
          <cell r="G238">
            <v>0</v>
          </cell>
          <cell r="H238">
            <v>85550</v>
          </cell>
        </row>
        <row r="239">
          <cell r="G239">
            <v>0</v>
          </cell>
          <cell r="H239">
            <v>0</v>
          </cell>
        </row>
        <row r="240">
          <cell r="G240">
            <v>0</v>
          </cell>
          <cell r="H240">
            <v>0</v>
          </cell>
        </row>
        <row r="241">
          <cell r="G241">
            <v>0</v>
          </cell>
          <cell r="H241">
            <v>0</v>
          </cell>
        </row>
        <row r="242">
          <cell r="G242">
            <v>0</v>
          </cell>
          <cell r="H242">
            <v>0</v>
          </cell>
        </row>
        <row r="243">
          <cell r="G243">
            <v>0</v>
          </cell>
          <cell r="H243">
            <v>0</v>
          </cell>
        </row>
        <row r="244">
          <cell r="G244">
            <v>0</v>
          </cell>
          <cell r="H244">
            <v>0</v>
          </cell>
        </row>
        <row r="245">
          <cell r="G245">
            <v>1862880.8</v>
          </cell>
          <cell r="H245">
            <v>308000</v>
          </cell>
        </row>
        <row r="246">
          <cell r="G246">
            <v>1862880.8</v>
          </cell>
          <cell r="H246">
            <v>308000</v>
          </cell>
        </row>
        <row r="247">
          <cell r="G247">
            <v>1862880.8</v>
          </cell>
          <cell r="H247">
            <v>308000</v>
          </cell>
        </row>
        <row r="248">
          <cell r="G248">
            <v>0</v>
          </cell>
          <cell r="H248">
            <v>0</v>
          </cell>
        </row>
        <row r="249">
          <cell r="G249">
            <v>0</v>
          </cell>
          <cell r="H249">
            <v>0</v>
          </cell>
        </row>
        <row r="250">
          <cell r="G250">
            <v>0</v>
          </cell>
          <cell r="H250">
            <v>0</v>
          </cell>
        </row>
        <row r="251">
          <cell r="G251">
            <v>0</v>
          </cell>
          <cell r="H251">
            <v>0</v>
          </cell>
        </row>
        <row r="252">
          <cell r="G252">
            <v>0</v>
          </cell>
          <cell r="H252">
            <v>0</v>
          </cell>
        </row>
        <row r="253">
          <cell r="G253">
            <v>0</v>
          </cell>
          <cell r="H253">
            <v>0</v>
          </cell>
        </row>
        <row r="254">
          <cell r="G254">
            <v>0</v>
          </cell>
          <cell r="H254">
            <v>0</v>
          </cell>
        </row>
        <row r="255">
          <cell r="G255">
            <v>0</v>
          </cell>
          <cell r="H255">
            <v>0</v>
          </cell>
        </row>
        <row r="256">
          <cell r="G256">
            <v>0</v>
          </cell>
          <cell r="H256">
            <v>0</v>
          </cell>
        </row>
        <row r="257">
          <cell r="G257">
            <v>0</v>
          </cell>
          <cell r="H257">
            <v>0</v>
          </cell>
        </row>
        <row r="258">
          <cell r="G258">
            <v>0</v>
          </cell>
          <cell r="H258">
            <v>0</v>
          </cell>
        </row>
        <row r="259">
          <cell r="G259">
            <v>0</v>
          </cell>
          <cell r="H259">
            <v>0</v>
          </cell>
        </row>
        <row r="260">
          <cell r="G260">
            <v>0</v>
          </cell>
          <cell r="H260">
            <v>0</v>
          </cell>
        </row>
        <row r="261">
          <cell r="G261">
            <v>0</v>
          </cell>
          <cell r="H261">
            <v>0</v>
          </cell>
        </row>
        <row r="262">
          <cell r="G262">
            <v>0</v>
          </cell>
          <cell r="H262">
            <v>0</v>
          </cell>
        </row>
        <row r="263">
          <cell r="G263">
            <v>0</v>
          </cell>
          <cell r="H263">
            <v>0</v>
          </cell>
        </row>
        <row r="264">
          <cell r="G264">
            <v>0</v>
          </cell>
          <cell r="H264">
            <v>0</v>
          </cell>
        </row>
        <row r="265">
          <cell r="G265">
            <v>0</v>
          </cell>
          <cell r="H265">
            <v>0</v>
          </cell>
        </row>
        <row r="266">
          <cell r="G266">
            <v>0</v>
          </cell>
          <cell r="H266">
            <v>0</v>
          </cell>
        </row>
        <row r="267">
          <cell r="G267">
            <v>0</v>
          </cell>
          <cell r="H267">
            <v>0</v>
          </cell>
        </row>
        <row r="268">
          <cell r="G268">
            <v>0</v>
          </cell>
          <cell r="H268">
            <v>0</v>
          </cell>
        </row>
        <row r="269">
          <cell r="G269">
            <v>0</v>
          </cell>
          <cell r="H269">
            <v>0</v>
          </cell>
        </row>
        <row r="270">
          <cell r="G270">
            <v>0</v>
          </cell>
          <cell r="H270">
            <v>0</v>
          </cell>
        </row>
        <row r="271">
          <cell r="G271">
            <v>0</v>
          </cell>
          <cell r="H271">
            <v>0</v>
          </cell>
        </row>
        <row r="272">
          <cell r="G272">
            <v>0</v>
          </cell>
          <cell r="H272">
            <v>0</v>
          </cell>
        </row>
        <row r="273">
          <cell r="G273">
            <v>0</v>
          </cell>
          <cell r="H273">
            <v>0</v>
          </cell>
        </row>
        <row r="274">
          <cell r="G274">
            <v>0</v>
          </cell>
          <cell r="H274">
            <v>0</v>
          </cell>
        </row>
        <row r="275">
          <cell r="G275">
            <v>0</v>
          </cell>
          <cell r="H275">
            <v>0</v>
          </cell>
        </row>
        <row r="276">
          <cell r="G276">
            <v>0</v>
          </cell>
          <cell r="H276">
            <v>0</v>
          </cell>
        </row>
        <row r="277">
          <cell r="G277">
            <v>0</v>
          </cell>
          <cell r="H277">
            <v>0</v>
          </cell>
        </row>
        <row r="278">
          <cell r="G278">
            <v>0</v>
          </cell>
          <cell r="H278">
            <v>0</v>
          </cell>
        </row>
        <row r="279">
          <cell r="G279">
            <v>0</v>
          </cell>
          <cell r="H279">
            <v>0</v>
          </cell>
        </row>
        <row r="280">
          <cell r="G280">
            <v>0</v>
          </cell>
          <cell r="H280">
            <v>0</v>
          </cell>
        </row>
        <row r="281">
          <cell r="G281">
            <v>0</v>
          </cell>
          <cell r="H281">
            <v>0</v>
          </cell>
        </row>
        <row r="282">
          <cell r="G282">
            <v>0</v>
          </cell>
          <cell r="H282">
            <v>0</v>
          </cell>
        </row>
        <row r="283">
          <cell r="G283">
            <v>0</v>
          </cell>
          <cell r="H283">
            <v>0</v>
          </cell>
        </row>
        <row r="284">
          <cell r="G284">
            <v>0</v>
          </cell>
          <cell r="H284">
            <v>0</v>
          </cell>
        </row>
        <row r="285">
          <cell r="G285">
            <v>0</v>
          </cell>
          <cell r="H285">
            <v>0</v>
          </cell>
        </row>
        <row r="286">
          <cell r="G286">
            <v>1844663.41</v>
          </cell>
          <cell r="H286">
            <v>228412.84</v>
          </cell>
        </row>
        <row r="287">
          <cell r="G287">
            <v>0</v>
          </cell>
          <cell r="H287">
            <v>221512.84</v>
          </cell>
        </row>
        <row r="288">
          <cell r="G288">
            <v>0</v>
          </cell>
          <cell r="H288">
            <v>172000</v>
          </cell>
        </row>
        <row r="289">
          <cell r="G289">
            <v>0</v>
          </cell>
          <cell r="H289">
            <v>0</v>
          </cell>
        </row>
        <row r="290">
          <cell r="G290">
            <v>0</v>
          </cell>
          <cell r="H290">
            <v>0</v>
          </cell>
        </row>
        <row r="291">
          <cell r="G291">
            <v>0</v>
          </cell>
          <cell r="H291">
            <v>49512.84</v>
          </cell>
        </row>
        <row r="292">
          <cell r="G292">
            <v>0</v>
          </cell>
          <cell r="H292">
            <v>0</v>
          </cell>
        </row>
        <row r="293">
          <cell r="G293">
            <v>0</v>
          </cell>
          <cell r="H293">
            <v>0</v>
          </cell>
        </row>
        <row r="294">
          <cell r="G294">
            <v>0</v>
          </cell>
          <cell r="H294">
            <v>0</v>
          </cell>
        </row>
        <row r="295">
          <cell r="G295">
            <v>1844663.41</v>
          </cell>
          <cell r="H295">
            <v>6900</v>
          </cell>
        </row>
        <row r="296">
          <cell r="G296">
            <v>0</v>
          </cell>
          <cell r="H296">
            <v>0</v>
          </cell>
        </row>
        <row r="297">
          <cell r="G297">
            <v>0</v>
          </cell>
          <cell r="H297">
            <v>0</v>
          </cell>
        </row>
        <row r="298">
          <cell r="G298">
            <v>1844663.41</v>
          </cell>
          <cell r="H298">
            <v>6900</v>
          </cell>
        </row>
        <row r="299">
          <cell r="G299">
            <v>0</v>
          </cell>
          <cell r="H299">
            <v>0</v>
          </cell>
        </row>
        <row r="300">
          <cell r="G300">
            <v>0</v>
          </cell>
          <cell r="H300">
            <v>0</v>
          </cell>
        </row>
        <row r="301">
          <cell r="G301">
            <v>0</v>
          </cell>
          <cell r="H301">
            <v>0</v>
          </cell>
        </row>
        <row r="302">
          <cell r="G302">
            <v>0</v>
          </cell>
          <cell r="H302">
            <v>0</v>
          </cell>
        </row>
        <row r="303">
          <cell r="G303">
            <v>0</v>
          </cell>
          <cell r="H303">
            <v>0</v>
          </cell>
        </row>
        <row r="304">
          <cell r="G304">
            <v>0</v>
          </cell>
          <cell r="H304">
            <v>0</v>
          </cell>
        </row>
        <row r="305">
          <cell r="G305">
            <v>0</v>
          </cell>
          <cell r="H305">
            <v>0</v>
          </cell>
        </row>
        <row r="306">
          <cell r="G306">
            <v>0</v>
          </cell>
          <cell r="H306">
            <v>0</v>
          </cell>
        </row>
        <row r="307">
          <cell r="G307">
            <v>0</v>
          </cell>
          <cell r="H307">
            <v>0</v>
          </cell>
        </row>
        <row r="308">
          <cell r="G308">
            <v>1263056.98</v>
          </cell>
          <cell r="H308">
            <v>1899402.83</v>
          </cell>
        </row>
        <row r="309">
          <cell r="G309">
            <v>0</v>
          </cell>
          <cell r="H309">
            <v>0</v>
          </cell>
        </row>
        <row r="310">
          <cell r="G310">
            <v>0</v>
          </cell>
          <cell r="H310">
            <v>0</v>
          </cell>
        </row>
        <row r="311">
          <cell r="G311">
            <v>0</v>
          </cell>
          <cell r="H311">
            <v>0</v>
          </cell>
        </row>
        <row r="312">
          <cell r="G312">
            <v>0</v>
          </cell>
          <cell r="H312">
            <v>0</v>
          </cell>
        </row>
        <row r="313">
          <cell r="G313">
            <v>0</v>
          </cell>
          <cell r="H313">
            <v>0</v>
          </cell>
        </row>
        <row r="314">
          <cell r="G314">
            <v>1263056.98</v>
          </cell>
          <cell r="H314">
            <v>1799341.1300000001</v>
          </cell>
        </row>
        <row r="315">
          <cell r="G315">
            <v>1263056.98</v>
          </cell>
          <cell r="H315">
            <v>1799341.1300000001</v>
          </cell>
        </row>
        <row r="316">
          <cell r="G316">
            <v>0</v>
          </cell>
          <cell r="H316">
            <v>0</v>
          </cell>
        </row>
        <row r="317">
          <cell r="G317">
            <v>0</v>
          </cell>
          <cell r="H317">
            <v>0</v>
          </cell>
        </row>
        <row r="318">
          <cell r="G318">
            <v>0</v>
          </cell>
          <cell r="H318">
            <v>0</v>
          </cell>
        </row>
        <row r="319">
          <cell r="G319">
            <v>0</v>
          </cell>
          <cell r="H319">
            <v>0</v>
          </cell>
        </row>
        <row r="320">
          <cell r="G320">
            <v>0</v>
          </cell>
          <cell r="H320">
            <v>0</v>
          </cell>
        </row>
        <row r="321">
          <cell r="G321">
            <v>0</v>
          </cell>
          <cell r="H321">
            <v>0</v>
          </cell>
        </row>
        <row r="322">
          <cell r="G322">
            <v>0</v>
          </cell>
          <cell r="H322">
            <v>0</v>
          </cell>
        </row>
        <row r="323">
          <cell r="G323">
            <v>0</v>
          </cell>
          <cell r="H323">
            <v>0</v>
          </cell>
        </row>
        <row r="324">
          <cell r="G324">
            <v>0</v>
          </cell>
          <cell r="H324">
            <v>0</v>
          </cell>
        </row>
        <row r="325">
          <cell r="G325">
            <v>0</v>
          </cell>
          <cell r="H325">
            <v>0</v>
          </cell>
        </row>
        <row r="326">
          <cell r="G326">
            <v>0</v>
          </cell>
          <cell r="H326">
            <v>0</v>
          </cell>
        </row>
        <row r="327">
          <cell r="G327">
            <v>0</v>
          </cell>
          <cell r="H327">
            <v>100061.7</v>
          </cell>
        </row>
        <row r="328">
          <cell r="G328">
            <v>0</v>
          </cell>
          <cell r="H328">
            <v>100061.7</v>
          </cell>
        </row>
        <row r="329">
          <cell r="G329">
            <v>0</v>
          </cell>
          <cell r="H329">
            <v>0</v>
          </cell>
        </row>
        <row r="330">
          <cell r="G330">
            <v>0</v>
          </cell>
          <cell r="H330">
            <v>136966.70000000001</v>
          </cell>
        </row>
        <row r="331">
          <cell r="G331">
            <v>0</v>
          </cell>
          <cell r="H331">
            <v>6800</v>
          </cell>
        </row>
        <row r="332">
          <cell r="G332">
            <v>0</v>
          </cell>
          <cell r="H332">
            <v>130166.7</v>
          </cell>
        </row>
        <row r="333">
          <cell r="G333">
            <v>0</v>
          </cell>
          <cell r="H333">
            <v>0</v>
          </cell>
        </row>
        <row r="334">
          <cell r="G334">
            <v>0</v>
          </cell>
          <cell r="H334">
            <v>0</v>
          </cell>
        </row>
        <row r="335">
          <cell r="G335">
            <v>0</v>
          </cell>
          <cell r="H335">
            <v>0</v>
          </cell>
        </row>
        <row r="336">
          <cell r="G336">
            <v>0</v>
          </cell>
          <cell r="H336">
            <v>887994.84</v>
          </cell>
        </row>
        <row r="337">
          <cell r="G337">
            <v>0</v>
          </cell>
          <cell r="H337">
            <v>0</v>
          </cell>
        </row>
        <row r="338">
          <cell r="G338">
            <v>0</v>
          </cell>
          <cell r="H338">
            <v>0</v>
          </cell>
        </row>
        <row r="339">
          <cell r="G339">
            <v>0</v>
          </cell>
          <cell r="H339">
            <v>0</v>
          </cell>
        </row>
        <row r="340">
          <cell r="G340">
            <v>0</v>
          </cell>
          <cell r="H340">
            <v>0</v>
          </cell>
        </row>
        <row r="341">
          <cell r="G341">
            <v>0</v>
          </cell>
          <cell r="H341">
            <v>0</v>
          </cell>
        </row>
        <row r="342">
          <cell r="G342">
            <v>0</v>
          </cell>
          <cell r="H342">
            <v>0</v>
          </cell>
        </row>
        <row r="343">
          <cell r="G343">
            <v>0</v>
          </cell>
          <cell r="H343">
            <v>0</v>
          </cell>
        </row>
        <row r="344">
          <cell r="G344">
            <v>0</v>
          </cell>
          <cell r="H344">
            <v>0</v>
          </cell>
        </row>
        <row r="345">
          <cell r="G345">
            <v>0</v>
          </cell>
          <cell r="H345">
            <v>0</v>
          </cell>
        </row>
        <row r="346">
          <cell r="G346">
            <v>0</v>
          </cell>
          <cell r="H346">
            <v>0</v>
          </cell>
        </row>
        <row r="347">
          <cell r="G347">
            <v>0</v>
          </cell>
          <cell r="H347">
            <v>0</v>
          </cell>
        </row>
        <row r="348">
          <cell r="G348">
            <v>0</v>
          </cell>
          <cell r="H348">
            <v>0</v>
          </cell>
        </row>
        <row r="349">
          <cell r="G349">
            <v>0</v>
          </cell>
          <cell r="H349">
            <v>0</v>
          </cell>
        </row>
        <row r="350">
          <cell r="G350">
            <v>0</v>
          </cell>
          <cell r="H350">
            <v>0</v>
          </cell>
        </row>
        <row r="351">
          <cell r="G351">
            <v>0</v>
          </cell>
          <cell r="H351">
            <v>0</v>
          </cell>
        </row>
        <row r="352">
          <cell r="G352">
            <v>0</v>
          </cell>
          <cell r="H352">
            <v>0</v>
          </cell>
        </row>
        <row r="353">
          <cell r="G353">
            <v>0</v>
          </cell>
          <cell r="H353">
            <v>0</v>
          </cell>
        </row>
        <row r="354">
          <cell r="G354">
            <v>0</v>
          </cell>
          <cell r="H354">
            <v>0</v>
          </cell>
        </row>
        <row r="355">
          <cell r="G355">
            <v>0</v>
          </cell>
          <cell r="H355">
            <v>0</v>
          </cell>
        </row>
        <row r="356">
          <cell r="G356">
            <v>0</v>
          </cell>
          <cell r="H356">
            <v>0</v>
          </cell>
        </row>
        <row r="357">
          <cell r="G357">
            <v>0</v>
          </cell>
          <cell r="H357">
            <v>887994.84</v>
          </cell>
        </row>
        <row r="358">
          <cell r="G358">
            <v>0</v>
          </cell>
          <cell r="H358">
            <v>887994.84</v>
          </cell>
        </row>
        <row r="359">
          <cell r="G359">
            <v>0</v>
          </cell>
          <cell r="H359">
            <v>887994.84</v>
          </cell>
        </row>
        <row r="360">
          <cell r="G360">
            <v>0</v>
          </cell>
          <cell r="H360">
            <v>0</v>
          </cell>
        </row>
        <row r="361">
          <cell r="G361">
            <v>0</v>
          </cell>
          <cell r="H361">
            <v>0</v>
          </cell>
        </row>
        <row r="362">
          <cell r="G362">
            <v>0</v>
          </cell>
          <cell r="H362">
            <v>0</v>
          </cell>
        </row>
        <row r="363">
          <cell r="G363">
            <v>0</v>
          </cell>
          <cell r="H363">
            <v>0</v>
          </cell>
        </row>
        <row r="364">
          <cell r="G364">
            <v>0</v>
          </cell>
          <cell r="H364">
            <v>0</v>
          </cell>
        </row>
        <row r="365">
          <cell r="G365">
            <v>0</v>
          </cell>
          <cell r="H365">
            <v>0</v>
          </cell>
        </row>
        <row r="366">
          <cell r="G366">
            <v>0</v>
          </cell>
          <cell r="H366">
            <v>0</v>
          </cell>
        </row>
        <row r="367">
          <cell r="G367">
            <v>0</v>
          </cell>
          <cell r="H367">
            <v>0</v>
          </cell>
        </row>
        <row r="368">
          <cell r="G368">
            <v>0</v>
          </cell>
          <cell r="H368">
            <v>0</v>
          </cell>
        </row>
        <row r="369">
          <cell r="G369">
            <v>0</v>
          </cell>
          <cell r="H369">
            <v>0</v>
          </cell>
        </row>
        <row r="370">
          <cell r="G370">
            <v>0</v>
          </cell>
          <cell r="H370">
            <v>0</v>
          </cell>
        </row>
        <row r="371">
          <cell r="G371">
            <v>0</v>
          </cell>
          <cell r="H371">
            <v>0</v>
          </cell>
        </row>
        <row r="372">
          <cell r="G372">
            <v>0</v>
          </cell>
          <cell r="H372">
            <v>0</v>
          </cell>
        </row>
        <row r="373">
          <cell r="G373">
            <v>0</v>
          </cell>
          <cell r="H373">
            <v>0</v>
          </cell>
        </row>
        <row r="374">
          <cell r="G374">
            <v>0</v>
          </cell>
          <cell r="H374">
            <v>0</v>
          </cell>
        </row>
        <row r="375">
          <cell r="G375">
            <v>0</v>
          </cell>
          <cell r="H375">
            <v>0</v>
          </cell>
        </row>
        <row r="376">
          <cell r="G376">
            <v>0</v>
          </cell>
          <cell r="H376">
            <v>0</v>
          </cell>
        </row>
        <row r="377">
          <cell r="G377">
            <v>0</v>
          </cell>
          <cell r="H377">
            <v>0</v>
          </cell>
        </row>
        <row r="378">
          <cell r="G378">
            <v>0</v>
          </cell>
          <cell r="H378">
            <v>0</v>
          </cell>
        </row>
        <row r="379">
          <cell r="G379">
            <v>0</v>
          </cell>
          <cell r="H379">
            <v>0</v>
          </cell>
        </row>
        <row r="380">
          <cell r="G380">
            <v>0</v>
          </cell>
          <cell r="H380">
            <v>0</v>
          </cell>
        </row>
        <row r="381">
          <cell r="G381">
            <v>0</v>
          </cell>
          <cell r="H381">
            <v>0</v>
          </cell>
        </row>
        <row r="382">
          <cell r="G382">
            <v>0</v>
          </cell>
          <cell r="H382">
            <v>0</v>
          </cell>
        </row>
        <row r="383">
          <cell r="G383">
            <v>0</v>
          </cell>
          <cell r="H383">
            <v>0</v>
          </cell>
        </row>
        <row r="384">
          <cell r="G384">
            <v>0</v>
          </cell>
          <cell r="H384">
            <v>0</v>
          </cell>
        </row>
        <row r="385">
          <cell r="G385">
            <v>0</v>
          </cell>
          <cell r="H385">
            <v>0</v>
          </cell>
        </row>
        <row r="386">
          <cell r="G386">
            <v>0</v>
          </cell>
          <cell r="H386">
            <v>0</v>
          </cell>
        </row>
        <row r="387">
          <cell r="G387">
            <v>0</v>
          </cell>
          <cell r="H387">
            <v>0</v>
          </cell>
        </row>
        <row r="388">
          <cell r="G388">
            <v>0</v>
          </cell>
          <cell r="H388">
            <v>0</v>
          </cell>
        </row>
        <row r="389">
          <cell r="G389">
            <v>0</v>
          </cell>
          <cell r="H389">
            <v>0</v>
          </cell>
        </row>
        <row r="390">
          <cell r="G390">
            <v>0</v>
          </cell>
          <cell r="H390">
            <v>0</v>
          </cell>
        </row>
        <row r="391">
          <cell r="G391">
            <v>0</v>
          </cell>
          <cell r="H391">
            <v>0</v>
          </cell>
        </row>
        <row r="392">
          <cell r="G392">
            <v>0</v>
          </cell>
          <cell r="H392">
            <v>0</v>
          </cell>
        </row>
        <row r="393">
          <cell r="G393">
            <v>0</v>
          </cell>
          <cell r="H393">
            <v>0</v>
          </cell>
        </row>
        <row r="394">
          <cell r="G394">
            <v>0</v>
          </cell>
          <cell r="H394">
            <v>0</v>
          </cell>
        </row>
        <row r="395">
          <cell r="G395">
            <v>0</v>
          </cell>
          <cell r="H395">
            <v>0</v>
          </cell>
        </row>
        <row r="396">
          <cell r="G396">
            <v>0</v>
          </cell>
          <cell r="H396">
            <v>0</v>
          </cell>
        </row>
        <row r="397">
          <cell r="G397">
            <v>0</v>
          </cell>
          <cell r="H397">
            <v>0</v>
          </cell>
        </row>
        <row r="398">
          <cell r="G398">
            <v>0</v>
          </cell>
          <cell r="H398">
            <v>0</v>
          </cell>
        </row>
        <row r="399">
          <cell r="G399">
            <v>0</v>
          </cell>
          <cell r="H399">
            <v>0</v>
          </cell>
        </row>
        <row r="400">
          <cell r="G400">
            <v>0</v>
          </cell>
          <cell r="H400">
            <v>0</v>
          </cell>
        </row>
        <row r="401">
          <cell r="G401">
            <v>0</v>
          </cell>
          <cell r="H401">
            <v>0</v>
          </cell>
        </row>
        <row r="402">
          <cell r="G402">
            <v>0</v>
          </cell>
          <cell r="H402">
            <v>0</v>
          </cell>
        </row>
        <row r="403">
          <cell r="G403">
            <v>0</v>
          </cell>
          <cell r="H403">
            <v>0</v>
          </cell>
        </row>
        <row r="404">
          <cell r="G404">
            <v>0</v>
          </cell>
          <cell r="H404">
            <v>0</v>
          </cell>
        </row>
        <row r="405">
          <cell r="G405">
            <v>0</v>
          </cell>
          <cell r="H405">
            <v>0</v>
          </cell>
        </row>
        <row r="406">
          <cell r="G406">
            <v>0</v>
          </cell>
          <cell r="H406">
            <v>0</v>
          </cell>
        </row>
        <row r="407">
          <cell r="G407">
            <v>0</v>
          </cell>
          <cell r="H407">
            <v>0</v>
          </cell>
        </row>
        <row r="408">
          <cell r="G408">
            <v>0</v>
          </cell>
          <cell r="H408">
            <v>0</v>
          </cell>
        </row>
        <row r="409">
          <cell r="G409">
            <v>0</v>
          </cell>
          <cell r="H409">
            <v>0</v>
          </cell>
        </row>
        <row r="410">
          <cell r="G410">
            <v>0</v>
          </cell>
          <cell r="H410">
            <v>0</v>
          </cell>
        </row>
        <row r="411">
          <cell r="G411">
            <v>0</v>
          </cell>
          <cell r="H411">
            <v>0</v>
          </cell>
        </row>
        <row r="412">
          <cell r="G412">
            <v>0</v>
          </cell>
          <cell r="H412">
            <v>0</v>
          </cell>
        </row>
        <row r="413">
          <cell r="G413">
            <v>0</v>
          </cell>
          <cell r="H413">
            <v>0</v>
          </cell>
        </row>
        <row r="414">
          <cell r="G414">
            <v>0</v>
          </cell>
          <cell r="H414">
            <v>0</v>
          </cell>
        </row>
        <row r="415">
          <cell r="G415">
            <v>0</v>
          </cell>
          <cell r="H415">
            <v>0</v>
          </cell>
        </row>
        <row r="416">
          <cell r="G416">
            <v>0</v>
          </cell>
          <cell r="H416">
            <v>0</v>
          </cell>
        </row>
        <row r="417">
          <cell r="G417">
            <v>0</v>
          </cell>
          <cell r="H417">
            <v>0</v>
          </cell>
        </row>
        <row r="418">
          <cell r="G418">
            <v>0</v>
          </cell>
          <cell r="H418">
            <v>0</v>
          </cell>
        </row>
        <row r="419">
          <cell r="G419">
            <v>0</v>
          </cell>
          <cell r="H419">
            <v>0</v>
          </cell>
        </row>
        <row r="420">
          <cell r="G420">
            <v>0</v>
          </cell>
          <cell r="H420">
            <v>0</v>
          </cell>
        </row>
        <row r="421">
          <cell r="G421">
            <v>0</v>
          </cell>
          <cell r="H421">
            <v>0</v>
          </cell>
        </row>
        <row r="422">
          <cell r="G422">
            <v>0</v>
          </cell>
          <cell r="H422">
            <v>0</v>
          </cell>
        </row>
        <row r="423">
          <cell r="G423">
            <v>0</v>
          </cell>
          <cell r="H423">
            <v>0</v>
          </cell>
        </row>
        <row r="424">
          <cell r="G424">
            <v>0</v>
          </cell>
          <cell r="H424">
            <v>0</v>
          </cell>
        </row>
        <row r="425">
          <cell r="G425">
            <v>0</v>
          </cell>
          <cell r="H425">
            <v>0</v>
          </cell>
        </row>
        <row r="426">
          <cell r="G426">
            <v>0</v>
          </cell>
          <cell r="H426">
            <v>0</v>
          </cell>
        </row>
        <row r="427">
          <cell r="G427">
            <v>0</v>
          </cell>
          <cell r="H427">
            <v>0</v>
          </cell>
        </row>
        <row r="428">
          <cell r="G428">
            <v>0</v>
          </cell>
          <cell r="H428">
            <v>0</v>
          </cell>
        </row>
        <row r="429">
          <cell r="G429">
            <v>0</v>
          </cell>
          <cell r="H429">
            <v>0</v>
          </cell>
        </row>
        <row r="430">
          <cell r="G430">
            <v>0</v>
          </cell>
          <cell r="H430">
            <v>0</v>
          </cell>
        </row>
        <row r="431">
          <cell r="G431">
            <v>0</v>
          </cell>
          <cell r="H431">
            <v>0</v>
          </cell>
        </row>
        <row r="432">
          <cell r="G432">
            <v>0</v>
          </cell>
          <cell r="H432">
            <v>0</v>
          </cell>
        </row>
        <row r="433">
          <cell r="G433">
            <v>0</v>
          </cell>
          <cell r="H433">
            <v>0</v>
          </cell>
        </row>
        <row r="434">
          <cell r="G434">
            <v>0</v>
          </cell>
          <cell r="H434">
            <v>0</v>
          </cell>
        </row>
        <row r="435">
          <cell r="G435">
            <v>0</v>
          </cell>
          <cell r="H435">
            <v>0</v>
          </cell>
        </row>
        <row r="436">
          <cell r="G436">
            <v>0</v>
          </cell>
          <cell r="H436">
            <v>0</v>
          </cell>
        </row>
        <row r="437">
          <cell r="G437">
            <v>0</v>
          </cell>
          <cell r="H437">
            <v>0</v>
          </cell>
        </row>
        <row r="438">
          <cell r="G438">
            <v>0</v>
          </cell>
          <cell r="H438">
            <v>0</v>
          </cell>
        </row>
        <row r="439">
          <cell r="G439">
            <v>0</v>
          </cell>
          <cell r="H439">
            <v>0</v>
          </cell>
        </row>
        <row r="440">
          <cell r="G440">
            <v>0</v>
          </cell>
          <cell r="H440">
            <v>0</v>
          </cell>
        </row>
        <row r="441">
          <cell r="G441">
            <v>0</v>
          </cell>
          <cell r="H441">
            <v>0</v>
          </cell>
        </row>
        <row r="442">
          <cell r="G442">
            <v>0</v>
          </cell>
          <cell r="H442">
            <v>0</v>
          </cell>
        </row>
        <row r="443">
          <cell r="G443">
            <v>0</v>
          </cell>
          <cell r="H443">
            <v>0</v>
          </cell>
        </row>
        <row r="444">
          <cell r="G444">
            <v>0</v>
          </cell>
          <cell r="H444">
            <v>0</v>
          </cell>
        </row>
        <row r="445">
          <cell r="G445">
            <v>0</v>
          </cell>
          <cell r="H445">
            <v>0</v>
          </cell>
        </row>
        <row r="446">
          <cell r="G446">
            <v>0</v>
          </cell>
          <cell r="H446">
            <v>0</v>
          </cell>
        </row>
        <row r="447">
          <cell r="G447">
            <v>0</v>
          </cell>
          <cell r="H447">
            <v>0</v>
          </cell>
        </row>
        <row r="448">
          <cell r="G448">
            <v>0</v>
          </cell>
          <cell r="H448">
            <v>0</v>
          </cell>
        </row>
        <row r="449">
          <cell r="G449">
            <v>0</v>
          </cell>
          <cell r="H449">
            <v>0</v>
          </cell>
        </row>
        <row r="450">
          <cell r="G450">
            <v>0</v>
          </cell>
          <cell r="H450">
            <v>0</v>
          </cell>
        </row>
        <row r="451">
          <cell r="G451">
            <v>0</v>
          </cell>
          <cell r="H451">
            <v>0</v>
          </cell>
        </row>
        <row r="452">
          <cell r="G452">
            <v>0</v>
          </cell>
          <cell r="H452">
            <v>0</v>
          </cell>
        </row>
        <row r="453">
          <cell r="G453">
            <v>0</v>
          </cell>
          <cell r="H453">
            <v>0</v>
          </cell>
        </row>
        <row r="454">
          <cell r="G454">
            <v>0</v>
          </cell>
          <cell r="H454">
            <v>0</v>
          </cell>
        </row>
        <row r="455">
          <cell r="G455">
            <v>0</v>
          </cell>
          <cell r="H455">
            <v>0</v>
          </cell>
        </row>
        <row r="456">
          <cell r="G456">
            <v>0</v>
          </cell>
          <cell r="H456">
            <v>0</v>
          </cell>
        </row>
        <row r="457">
          <cell r="G457">
            <v>0</v>
          </cell>
          <cell r="H457">
            <v>0</v>
          </cell>
        </row>
        <row r="458">
          <cell r="G458">
            <v>0</v>
          </cell>
          <cell r="H458">
            <v>0</v>
          </cell>
        </row>
        <row r="459">
          <cell r="G459">
            <v>0</v>
          </cell>
          <cell r="H459">
            <v>0</v>
          </cell>
        </row>
        <row r="460">
          <cell r="G460">
            <v>0</v>
          </cell>
          <cell r="H460">
            <v>0</v>
          </cell>
        </row>
        <row r="461">
          <cell r="G461">
            <v>0</v>
          </cell>
          <cell r="H461">
            <v>0</v>
          </cell>
        </row>
        <row r="462">
          <cell r="G462">
            <v>0</v>
          </cell>
          <cell r="H462">
            <v>0</v>
          </cell>
        </row>
        <row r="463">
          <cell r="G463">
            <v>0</v>
          </cell>
          <cell r="H463">
            <v>0</v>
          </cell>
        </row>
        <row r="464">
          <cell r="G464">
            <v>0</v>
          </cell>
          <cell r="H464">
            <v>0</v>
          </cell>
        </row>
        <row r="465">
          <cell r="G465">
            <v>0</v>
          </cell>
          <cell r="H465">
            <v>0</v>
          </cell>
        </row>
        <row r="466">
          <cell r="G466">
            <v>0</v>
          </cell>
          <cell r="H466">
            <v>0</v>
          </cell>
        </row>
        <row r="467">
          <cell r="G467">
            <v>0</v>
          </cell>
          <cell r="H467">
            <v>0</v>
          </cell>
        </row>
        <row r="468">
          <cell r="G468">
            <v>0</v>
          </cell>
          <cell r="H468">
            <v>0</v>
          </cell>
        </row>
        <row r="469">
          <cell r="G469">
            <v>0</v>
          </cell>
          <cell r="H469">
            <v>0</v>
          </cell>
        </row>
        <row r="470">
          <cell r="G470">
            <v>0</v>
          </cell>
          <cell r="H470">
            <v>0</v>
          </cell>
        </row>
        <row r="471">
          <cell r="G471">
            <v>0</v>
          </cell>
          <cell r="H471">
            <v>0</v>
          </cell>
        </row>
        <row r="472">
          <cell r="G472">
            <v>0</v>
          </cell>
          <cell r="H472">
            <v>0</v>
          </cell>
        </row>
        <row r="473">
          <cell r="G473">
            <v>0</v>
          </cell>
          <cell r="H473">
            <v>0</v>
          </cell>
        </row>
        <row r="474">
          <cell r="G474">
            <v>0</v>
          </cell>
          <cell r="H474">
            <v>0</v>
          </cell>
        </row>
        <row r="475">
          <cell r="G475">
            <v>0</v>
          </cell>
          <cell r="H475">
            <v>0</v>
          </cell>
        </row>
        <row r="476">
          <cell r="G476">
            <v>0</v>
          </cell>
          <cell r="H476">
            <v>0</v>
          </cell>
        </row>
        <row r="477">
          <cell r="G477">
            <v>0</v>
          </cell>
          <cell r="H477">
            <v>0</v>
          </cell>
        </row>
        <row r="478">
          <cell r="G478">
            <v>0</v>
          </cell>
          <cell r="H478">
            <v>0</v>
          </cell>
        </row>
        <row r="479">
          <cell r="G479">
            <v>0</v>
          </cell>
          <cell r="H479">
            <v>0</v>
          </cell>
        </row>
        <row r="480">
          <cell r="G480">
            <v>0</v>
          </cell>
          <cell r="H480">
            <v>0</v>
          </cell>
        </row>
        <row r="481">
          <cell r="G481">
            <v>0</v>
          </cell>
          <cell r="H481">
            <v>0</v>
          </cell>
        </row>
        <row r="482">
          <cell r="G482">
            <v>0</v>
          </cell>
          <cell r="H482">
            <v>0</v>
          </cell>
        </row>
        <row r="483">
          <cell r="G483">
            <v>0</v>
          </cell>
          <cell r="H483">
            <v>0</v>
          </cell>
        </row>
        <row r="484">
          <cell r="G484">
            <v>0</v>
          </cell>
          <cell r="H484">
            <v>0</v>
          </cell>
        </row>
        <row r="485">
          <cell r="G485">
            <v>0</v>
          </cell>
          <cell r="H485">
            <v>0</v>
          </cell>
        </row>
        <row r="486">
          <cell r="G486">
            <v>0</v>
          </cell>
          <cell r="H486">
            <v>0</v>
          </cell>
        </row>
        <row r="487">
          <cell r="G487">
            <v>0</v>
          </cell>
          <cell r="H487">
            <v>0</v>
          </cell>
        </row>
        <row r="488">
          <cell r="G488">
            <v>0</v>
          </cell>
          <cell r="H488">
            <v>0</v>
          </cell>
        </row>
        <row r="489">
          <cell r="G489">
            <v>0</v>
          </cell>
          <cell r="H489">
            <v>0</v>
          </cell>
        </row>
        <row r="490">
          <cell r="G490">
            <v>0</v>
          </cell>
          <cell r="H490">
            <v>0</v>
          </cell>
        </row>
        <row r="491">
          <cell r="G491">
            <v>0</v>
          </cell>
          <cell r="H491">
            <v>0</v>
          </cell>
        </row>
        <row r="492">
          <cell r="G492">
            <v>0</v>
          </cell>
          <cell r="H492">
            <v>0</v>
          </cell>
        </row>
        <row r="493">
          <cell r="G493">
            <v>0</v>
          </cell>
          <cell r="H493">
            <v>0</v>
          </cell>
        </row>
        <row r="494">
          <cell r="G494">
            <v>0</v>
          </cell>
          <cell r="H494">
            <v>0</v>
          </cell>
        </row>
        <row r="495">
          <cell r="G495">
            <v>0</v>
          </cell>
          <cell r="H495">
            <v>0</v>
          </cell>
        </row>
        <row r="496">
          <cell r="G496">
            <v>0</v>
          </cell>
          <cell r="H496">
            <v>0</v>
          </cell>
        </row>
        <row r="497">
          <cell r="G497">
            <v>0</v>
          </cell>
          <cell r="H497">
            <v>0</v>
          </cell>
        </row>
        <row r="498">
          <cell r="G498">
            <v>0</v>
          </cell>
          <cell r="H498">
            <v>0</v>
          </cell>
        </row>
        <row r="499">
          <cell r="G499">
            <v>0</v>
          </cell>
          <cell r="H499">
            <v>0</v>
          </cell>
        </row>
        <row r="500">
          <cell r="G500">
            <v>0</v>
          </cell>
          <cell r="H500">
            <v>0</v>
          </cell>
        </row>
        <row r="501">
          <cell r="G501">
            <v>0</v>
          </cell>
          <cell r="H501">
            <v>0</v>
          </cell>
        </row>
      </sheetData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LACION CHEQUES EMITIDOS"/>
      <sheetName val="RELACION ORDENES DE COMPRAS"/>
      <sheetName val="Hoja1"/>
      <sheetName val="CONS. FUENTES FINAN"/>
      <sheetName val="CUENTA T FONDO 100"/>
      <sheetName val="CUENTA T VS"/>
      <sheetName val="CUENTA T NOMINA SNS"/>
      <sheetName val="GASTOS X ATENCION"/>
      <sheetName val="PLANTILLA PRESUPUESTO"/>
      <sheetName val="TRANSFERENCIA CORRIENTE"/>
      <sheetName val="VS"/>
      <sheetName val="OBLIGACIONES PENDIENTES"/>
      <sheetName val="DEUDA"/>
      <sheetName val="INGRESOS POR A.R.S"/>
      <sheetName val="INGRESOS SEGUN ORIGEN"/>
      <sheetName val="GLOSA"/>
      <sheetName val="CXC"/>
    </sheetNames>
    <sheetDataSet>
      <sheetData sheetId="0"/>
      <sheetData sheetId="1" refreshError="1"/>
      <sheetData sheetId="2" refreshError="1"/>
      <sheetData sheetId="3">
        <row r="212">
          <cell r="G212">
            <v>4970601.1899999995</v>
          </cell>
          <cell r="H212">
            <v>3062630.67</v>
          </cell>
        </row>
        <row r="463">
          <cell r="G463">
            <v>0</v>
          </cell>
          <cell r="H463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LACION DE PAGOS EMITIDOS"/>
      <sheetName val="RELACION ORDENES DE COMPRAS"/>
      <sheetName val="CONS. FUENTES FINAN"/>
      <sheetName val="CUENTA T FONDO 100"/>
      <sheetName val="CUENTA T VS"/>
      <sheetName val="GASTOS X ATENCION"/>
      <sheetName val="PLANTILLA PRESUPUESTO"/>
      <sheetName val="TRANSFERENCIA CORRIENTE"/>
      <sheetName val="VS"/>
      <sheetName val="OBLIGACIONES PENDIENTES"/>
      <sheetName val="INGR SEGUN ORIGEN"/>
      <sheetName val="DEUDA"/>
      <sheetName val="INGRESOS POR A.R.S"/>
      <sheetName val="GLOSA"/>
    </sheetNames>
    <sheetDataSet>
      <sheetData sheetId="0"/>
      <sheetData sheetId="1" refreshError="1"/>
      <sheetData sheetId="2">
        <row r="15">
          <cell r="G15">
            <v>100316795.08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CILIACION"/>
      <sheetName val="Hoja2"/>
      <sheetName val="LIBRO DE BANCO"/>
      <sheetName val="CHEQUES EMITIDOS"/>
      <sheetName val="NOMINAS"/>
      <sheetName val="CARGOS BANCARIOS "/>
      <sheetName val="TRANSF. "/>
      <sheetName val="RELACION DE IMPUESTOS RET"/>
      <sheetName val="CODIFICADO 2"/>
      <sheetName val="Hoja1"/>
      <sheetName val="CK TRA"/>
      <sheetName val="TRANSFERENCIAS PAGADA S"/>
      <sheetName val="EJECUCION "/>
      <sheetName val="TRANSFERENCIAS PAGADAS"/>
      <sheetName val="TRANSFERENCIAS EN TRANSITO"/>
      <sheetName val="CHEQUES EN TRAN"/>
      <sheetName val="conciliacion "/>
      <sheetName val="LIBRO BANCO"/>
      <sheetName val="TRANSFERENCIA RECIBIDAS"/>
      <sheetName val="REINTEGRO DE TRANSF"/>
      <sheetName val="CHEQUES EMITIDO "/>
      <sheetName val="TRANSFERENCIAS"/>
      <sheetName val="NOMINA "/>
      <sheetName val="CK EN TRANSITO"/>
      <sheetName val="comisiones"/>
      <sheetName val="Hoja4"/>
      <sheetName val="estado"/>
      <sheetName val="Hoja5"/>
      <sheetName val="codificado "/>
      <sheetName val="Hoja7"/>
      <sheetName val="Hoja3"/>
      <sheetName val="Hoja18"/>
      <sheetName val="Hoja19"/>
      <sheetName val="ESTADO DE CUENTA"/>
      <sheetName val="EJECUC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10">
          <cell r="B10">
            <v>3999142.37</v>
          </cell>
        </row>
      </sheetData>
      <sheetData sheetId="19"/>
      <sheetData sheetId="20">
        <row r="14">
          <cell r="D14">
            <v>0</v>
          </cell>
        </row>
      </sheetData>
      <sheetData sheetId="21">
        <row r="18">
          <cell r="D18">
            <v>3992925</v>
          </cell>
        </row>
      </sheetData>
      <sheetData sheetId="22">
        <row r="9">
          <cell r="D9">
            <v>0</v>
          </cell>
        </row>
      </sheetData>
      <sheetData sheetId="23"/>
      <sheetData sheetId="24">
        <row r="33">
          <cell r="E33">
            <v>6277.0399999999991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CILIACION"/>
      <sheetName val="Hoja2"/>
      <sheetName val="LIBRO DE BANCO"/>
      <sheetName val="CHEQUES EMITIDOS"/>
      <sheetName val="NOMINAS"/>
      <sheetName val="CARGOS BANCARIOS "/>
      <sheetName val="TRANSF. "/>
      <sheetName val="RELACION DE IMPUESTOS RET"/>
      <sheetName val="CODIFICADO 2"/>
      <sheetName val="Hoja1"/>
      <sheetName val="TRANSFERENCIAS PAGADA S"/>
      <sheetName val="EJECUCION "/>
      <sheetName val="TRANSFERENCIAS PAGADAS"/>
      <sheetName val="TRANSFERENCIAS EN TRANSITO"/>
      <sheetName val="conciliacion "/>
      <sheetName val="LIBRO BANCO"/>
      <sheetName val="TRANSFERENCIA RECIBIDAS"/>
      <sheetName val="REINTEGRO DE TRANSF"/>
      <sheetName val="CHEQUES EMITIDO "/>
      <sheetName val="TRANSFERENCIAS"/>
      <sheetName val="NOMINA "/>
      <sheetName val="Hoja5"/>
      <sheetName val="CK EN TRANSITO"/>
      <sheetName val="CHEQUES EN TRAN"/>
      <sheetName val="comisiones"/>
      <sheetName val="Hoja4"/>
      <sheetName val="estado"/>
      <sheetName val="TRANSF EN TRANSITO"/>
      <sheetName val="codificado "/>
      <sheetName val="Hoja7"/>
      <sheetName val="Hoja3"/>
      <sheetName val="Hoja18"/>
      <sheetName val="Hoja19"/>
      <sheetName val="ESTADO DE CUENTA"/>
      <sheetName val="EJECUC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0">
          <cell r="B10">
            <v>2725910.92</v>
          </cell>
        </row>
      </sheetData>
      <sheetData sheetId="17"/>
      <sheetData sheetId="18">
        <row r="21">
          <cell r="D21">
            <v>306137.17</v>
          </cell>
        </row>
      </sheetData>
      <sheetData sheetId="19">
        <row r="45">
          <cell r="D45">
            <v>5509767.3100000005</v>
          </cell>
        </row>
      </sheetData>
      <sheetData sheetId="20">
        <row r="9">
          <cell r="D9">
            <v>0</v>
          </cell>
        </row>
      </sheetData>
      <sheetData sheetId="21"/>
      <sheetData sheetId="22"/>
      <sheetData sheetId="23">
        <row r="10">
          <cell r="D10">
            <v>98836.61</v>
          </cell>
        </row>
      </sheetData>
      <sheetData sheetId="24">
        <row r="40">
          <cell r="E40">
            <v>8256.5100000000039</v>
          </cell>
        </row>
      </sheetData>
      <sheetData sheetId="25"/>
      <sheetData sheetId="26"/>
      <sheetData sheetId="27">
        <row r="22">
          <cell r="D22">
            <v>1563969.84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CILIACION"/>
      <sheetName val="Hoja2"/>
      <sheetName val="LIBRO DE BANCO"/>
      <sheetName val="CHEQUES EMITIDOS"/>
      <sheetName val="NOMINAS"/>
      <sheetName val="CARGOS BANCARIOS "/>
      <sheetName val="TRANSF. "/>
      <sheetName val="RELACION DE IMPUESTOS RET"/>
      <sheetName val="CODIFICADO 2"/>
      <sheetName val="Hoja1"/>
      <sheetName val="CK TRA"/>
      <sheetName val="TRANSFERENCIAS PAGADA S"/>
      <sheetName val="EJECUCION "/>
      <sheetName val="TRANSFERENCIAS PAGADAS"/>
      <sheetName val="TRANSFERENCIAS EN TRANSITO"/>
      <sheetName val="CHEQUES EN TRAN"/>
      <sheetName val="conciliacion "/>
      <sheetName val="LIBRO BANCO"/>
      <sheetName val="TRANSFERENCIA RECIBIDAS"/>
      <sheetName val="REINTEGRO DE TRANSF"/>
      <sheetName val="CHEQUES EMITIDO "/>
      <sheetName val="TRANSFERENCIAS"/>
      <sheetName val="NOMINA "/>
      <sheetName val="CK EN TRANSITO"/>
      <sheetName val="comisiones"/>
      <sheetName val="Hoja4"/>
      <sheetName val="estado"/>
      <sheetName val="codificado "/>
      <sheetName val="Hoja7"/>
      <sheetName val="Hoja3"/>
      <sheetName val="Hoja18"/>
      <sheetName val="Hoja19"/>
      <sheetName val="ESTADO DE CUENTA"/>
      <sheetName val="EJECUC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10">
          <cell r="B10">
            <v>3999803.75</v>
          </cell>
        </row>
      </sheetData>
      <sheetData sheetId="19"/>
      <sheetData sheetId="20">
        <row r="14">
          <cell r="D14">
            <v>0</v>
          </cell>
        </row>
      </sheetData>
      <sheetData sheetId="21">
        <row r="20">
          <cell r="D20">
            <v>3993107.4499999997</v>
          </cell>
        </row>
      </sheetData>
      <sheetData sheetId="22">
        <row r="9">
          <cell r="D9">
            <v>0</v>
          </cell>
        </row>
      </sheetData>
      <sheetData sheetId="23"/>
      <sheetData sheetId="24">
        <row r="40">
          <cell r="E40">
            <v>6696.3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CILIACION"/>
      <sheetName val="DEPOSITOS "/>
      <sheetName val="CHEQUES EMITIDOS"/>
      <sheetName val="NOMINAS"/>
      <sheetName val="TRANSF. "/>
      <sheetName val="CARGOS BANCARIOS "/>
      <sheetName val="RELACION DE IMPUESTOS RET"/>
      <sheetName val="TRANSFERENCIAS EN TRANSITO"/>
      <sheetName val="Hoja1"/>
      <sheetName val="CK TRA"/>
      <sheetName val="TRANSFERENCIAS PAGADA S"/>
      <sheetName val="EJECUCION "/>
      <sheetName val="TRANSFERENCIAS PAGADAS"/>
      <sheetName val="LIBRO DE BANCO"/>
      <sheetName val="Hoja2"/>
      <sheetName val="codificado "/>
      <sheetName val="Hoja7"/>
      <sheetName val="Hoja3"/>
      <sheetName val="Hoja18"/>
      <sheetName val="Hoja19"/>
      <sheetName val="ESTADO DE CUENTA"/>
      <sheetName val="EJECUCION"/>
    </sheetNames>
    <sheetDataSet>
      <sheetData sheetId="0"/>
      <sheetData sheetId="1">
        <row r="10">
          <cell r="B10">
            <v>7793823.3200000003</v>
          </cell>
        </row>
      </sheetData>
      <sheetData sheetId="2">
        <row r="10">
          <cell r="D10">
            <v>40000</v>
          </cell>
        </row>
      </sheetData>
      <sheetData sheetId="3">
        <row r="10">
          <cell r="D10">
            <v>0</v>
          </cell>
        </row>
      </sheetData>
      <sheetData sheetId="4">
        <row r="26">
          <cell r="D26">
            <v>7742978.2000000002</v>
          </cell>
        </row>
      </sheetData>
      <sheetData sheetId="5">
        <row r="61">
          <cell r="H61">
            <v>12102.28</v>
          </cell>
        </row>
      </sheetData>
      <sheetData sheetId="6"/>
      <sheetData sheetId="7">
        <row r="11">
          <cell r="D11">
            <v>0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CILIACION"/>
      <sheetName val="Hoja2"/>
      <sheetName val="LIBRO DE BANCO"/>
      <sheetName val="CHEQUES EMITIDOS"/>
      <sheetName val="NOMINAS"/>
      <sheetName val="CARGOS BANCARIOS "/>
      <sheetName val="TRANSF. "/>
      <sheetName val="RELACION DE IMPUESTOS RET"/>
      <sheetName val="CODIFICADO 2"/>
      <sheetName val="Hoja1"/>
      <sheetName val="CK TRA"/>
      <sheetName val="TRANSFERENCIAS PAGADA S"/>
      <sheetName val="EJECUCION "/>
      <sheetName val="TRANSFERENCIAS PAGADAS"/>
      <sheetName val="TRANSFERENCIAS EN TRANSITO"/>
      <sheetName val="CHEQUES EN TRAN"/>
      <sheetName val="conciliacion "/>
      <sheetName val="LIBRO BANCO"/>
      <sheetName val="TRANSFERENCIA RECIBIDAS"/>
      <sheetName val="REINTEGRO DE TRANSF"/>
      <sheetName val="CHEQUES EMITIDO "/>
      <sheetName val="NOMINA "/>
      <sheetName val="TRANSFERENCIAS"/>
      <sheetName val="TRANSF EN TRANSITO"/>
      <sheetName val="CK EN TRANSITO"/>
      <sheetName val="comisiones"/>
      <sheetName val="codificado "/>
      <sheetName val="Hoja7"/>
      <sheetName val="Hoja3"/>
      <sheetName val="Hoja18"/>
      <sheetName val="Hoja19"/>
      <sheetName val="ESTADO DE CUENTA"/>
      <sheetName val="EJECUC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10">
          <cell r="B10">
            <v>9990515.6899999995</v>
          </cell>
        </row>
      </sheetData>
      <sheetData sheetId="19"/>
      <sheetData sheetId="20">
        <row r="10">
          <cell r="D10">
            <v>27800</v>
          </cell>
        </row>
      </sheetData>
      <sheetData sheetId="21">
        <row r="9">
          <cell r="D9">
            <v>58248.03</v>
          </cell>
        </row>
      </sheetData>
      <sheetData sheetId="22">
        <row r="27">
          <cell r="D27">
            <v>3312419.45</v>
          </cell>
        </row>
      </sheetData>
      <sheetData sheetId="23">
        <row r="8">
          <cell r="D8">
            <v>2218.2399999999998</v>
          </cell>
        </row>
      </sheetData>
      <sheetData sheetId="24">
        <row r="12">
          <cell r="D12">
            <v>0</v>
          </cell>
        </row>
      </sheetData>
      <sheetData sheetId="25">
        <row r="40">
          <cell r="E40">
            <v>6414.0100000000011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ERO GLOBAL"/>
      <sheetName val="ENERO REB"/>
      <sheetName val="ENERO SUPLIDOR"/>
      <sheetName val="ENERO POR OBJETO"/>
      <sheetName val="FEBRERO 2022"/>
      <sheetName val="FEBRERO REBAJADO 2022"/>
      <sheetName val="FEBRERO POR SUPLIDORES 2022"/>
      <sheetName val="FEBRERO POR OBJETOS 2022"/>
      <sheetName val="MARZO 2022 NORMAL"/>
      <sheetName val="MARZO REBAJADO 2022"/>
      <sheetName val="MARZO 2022 POR SUPLIDOR "/>
      <sheetName val="MARZO POR OBJETO 2022"/>
      <sheetName val="CXP ABRIL 2022"/>
      <sheetName val="CXP ABRIL REBAJADO 2022"/>
      <sheetName val="POR SUPLIDORES ABRIL 2022"/>
      <sheetName val="POR OBJETOS ABRIL 2022"/>
      <sheetName val="CXP MAYO 2022"/>
      <sheetName val="CXP REBAJADO MAYO 2022"/>
      <sheetName val="MAYO POR SUPLIDORES 2022"/>
      <sheetName val=" CXP POR OBJETOS 2022"/>
      <sheetName val="CUENTAS POR PAGAR JUNIO 2022"/>
      <sheetName val="JUNIO REBAJADO 2022"/>
      <sheetName val="CXP POR SUPLIDORES 2022"/>
      <sheetName val="CXP POR OBJETOS 2022"/>
    </sheetNames>
    <sheetDataSet>
      <sheetData sheetId="0" refreshError="1"/>
      <sheetData sheetId="1" refreshError="1">
        <row r="257">
          <cell r="E257">
            <v>267805.07</v>
          </cell>
        </row>
        <row r="442">
          <cell r="E442">
            <v>370978.43</v>
          </cell>
        </row>
        <row r="506">
          <cell r="E506">
            <v>191444.1</v>
          </cell>
        </row>
        <row r="589">
          <cell r="E589">
            <v>158092</v>
          </cell>
        </row>
        <row r="999">
          <cell r="E999">
            <v>0</v>
          </cell>
        </row>
        <row r="1062">
          <cell r="E1062">
            <v>84950</v>
          </cell>
        </row>
        <row r="1072">
          <cell r="E1072">
            <v>948734.04</v>
          </cell>
        </row>
        <row r="1091">
          <cell r="E1091">
            <v>70000</v>
          </cell>
        </row>
        <row r="1169">
          <cell r="E1169">
            <v>316453.58</v>
          </cell>
        </row>
        <row r="1217">
          <cell r="E1217">
            <v>213724.32</v>
          </cell>
        </row>
        <row r="1222">
          <cell r="E1222">
            <v>370048</v>
          </cell>
        </row>
        <row r="1260">
          <cell r="E1260">
            <v>255660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MINAS"/>
      <sheetName val="CARGOS BANCARIOS "/>
      <sheetName val="CODIFICADO 2"/>
      <sheetName val="TRANSFERENCIAS PAGADA S"/>
      <sheetName val="EJECUCION "/>
      <sheetName val="TRANSFERENCIAS PAGADAS"/>
      <sheetName val="TRANSFERENCIAS EN TRANSITO"/>
      <sheetName val="conciliacion "/>
      <sheetName val="LIBRO BANCO"/>
      <sheetName val="TRANSFERENCIA RECIBIDAS"/>
      <sheetName val="REINTEGRO DE TRANSF"/>
      <sheetName val="Hoja3"/>
      <sheetName val="CHEQUES EMITIDO "/>
      <sheetName val="TRANSFERENCIAS"/>
      <sheetName val="NOMINA "/>
      <sheetName val="CHEQUES EN TRAN"/>
      <sheetName val="RELACION DE IMPUESTOS RET"/>
      <sheetName val="CK EN TRANSITO"/>
      <sheetName val="TRANSF EN TRANSITO"/>
      <sheetName val="Hoja4"/>
      <sheetName val="PAGADOS"/>
      <sheetName val="PAGADAS"/>
      <sheetName val="comisiones"/>
      <sheetName val="Hoja1"/>
      <sheetName val="Hoja2"/>
      <sheetName val="codificado "/>
      <sheetName val="ESTADO DE CUENTA"/>
      <sheetName val="EJECUC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0">
          <cell r="B10">
            <v>6415962.71</v>
          </cell>
        </row>
      </sheetData>
      <sheetData sheetId="10"/>
      <sheetData sheetId="11"/>
      <sheetData sheetId="12">
        <row r="21">
          <cell r="D21">
            <v>222114.61</v>
          </cell>
        </row>
      </sheetData>
      <sheetData sheetId="13">
        <row r="40">
          <cell r="D40">
            <v>4457635.2699999996</v>
          </cell>
        </row>
      </sheetData>
      <sheetData sheetId="14">
        <row r="9">
          <cell r="D9">
            <v>0</v>
          </cell>
        </row>
      </sheetData>
      <sheetData sheetId="15">
        <row r="8">
          <cell r="D8">
            <v>0</v>
          </cell>
        </row>
      </sheetData>
      <sheetData sheetId="16"/>
      <sheetData sheetId="17"/>
      <sheetData sheetId="18">
        <row r="17">
          <cell r="D17">
            <v>1320869.25</v>
          </cell>
        </row>
      </sheetData>
      <sheetData sheetId="19"/>
      <sheetData sheetId="20"/>
      <sheetData sheetId="21"/>
      <sheetData sheetId="22">
        <row r="40">
          <cell r="E40">
            <v>17193.48</v>
          </cell>
        </row>
      </sheetData>
      <sheetData sheetId="23"/>
      <sheetData sheetId="24"/>
      <sheetData sheetId="25"/>
      <sheetData sheetId="26"/>
      <sheetData sheetId="27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LACION DE PAGOS EMITIDOS"/>
      <sheetName val="RELACION ORDENES DE COMPRAS"/>
      <sheetName val="CONS. FUENTES FINAN"/>
      <sheetName val="CUENTA T FONDO 100"/>
      <sheetName val="CUENTA T VS"/>
      <sheetName val="GASTOS X ATENCION"/>
      <sheetName val="PLANTILLA PRESUPUESTO"/>
      <sheetName val="TRANSFERENCIA CORRIENTE"/>
      <sheetName val="VS"/>
      <sheetName val="OBLIGACIONES PENDIENTES"/>
      <sheetName val="INGR SEGUN ORIGEN"/>
      <sheetName val="DEUDA"/>
      <sheetName val="INGRESOS POR A.R.S"/>
      <sheetName val="GLOSA"/>
    </sheetNames>
    <sheetDataSet>
      <sheetData sheetId="0"/>
      <sheetData sheetId="1"/>
      <sheetData sheetId="2"/>
      <sheetData sheetId="3">
        <row r="127">
          <cell r="A127">
            <v>53482455.210000001</v>
          </cell>
          <cell r="B127">
            <v>0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1107531.03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92400</v>
          </cell>
          <cell r="R127">
            <v>88711.08</v>
          </cell>
          <cell r="S127">
            <v>2739824.52</v>
          </cell>
          <cell r="T127">
            <v>0</v>
          </cell>
          <cell r="U127">
            <v>0</v>
          </cell>
          <cell r="V127">
            <v>0</v>
          </cell>
          <cell r="W127">
            <v>45000</v>
          </cell>
          <cell r="X127">
            <v>0</v>
          </cell>
          <cell r="Y127">
            <v>0</v>
          </cell>
          <cell r="Z127">
            <v>339600</v>
          </cell>
          <cell r="AA127">
            <v>0</v>
          </cell>
          <cell r="AB127">
            <v>260539.96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3870432.33</v>
          </cell>
          <cell r="AL127">
            <v>3875889.48</v>
          </cell>
          <cell r="AM127">
            <v>653772.07000000007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60535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>
            <v>0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>
            <v>0</v>
          </cell>
          <cell r="BN127">
            <v>0</v>
          </cell>
          <cell r="BO127">
            <v>0</v>
          </cell>
          <cell r="BP127">
            <v>0</v>
          </cell>
          <cell r="BQ127">
            <v>0</v>
          </cell>
          <cell r="BR127">
            <v>150000</v>
          </cell>
          <cell r="BS127">
            <v>0</v>
          </cell>
          <cell r="BT127">
            <v>0</v>
          </cell>
          <cell r="BU127">
            <v>0</v>
          </cell>
          <cell r="BV127">
            <v>0</v>
          </cell>
          <cell r="BW127">
            <v>0</v>
          </cell>
          <cell r="BX127">
            <v>0</v>
          </cell>
          <cell r="BY127">
            <v>0</v>
          </cell>
          <cell r="BZ127">
            <v>0</v>
          </cell>
          <cell r="CA127">
            <v>0</v>
          </cell>
          <cell r="CB127">
            <v>0</v>
          </cell>
          <cell r="CC127">
            <v>0</v>
          </cell>
          <cell r="CD127">
            <v>0</v>
          </cell>
          <cell r="CE127">
            <v>0</v>
          </cell>
          <cell r="CF127">
            <v>0</v>
          </cell>
          <cell r="CG127">
            <v>0</v>
          </cell>
          <cell r="CH127">
            <v>0</v>
          </cell>
          <cell r="CI127">
            <v>0</v>
          </cell>
          <cell r="CJ127">
            <v>0</v>
          </cell>
          <cell r="CK127">
            <v>0</v>
          </cell>
          <cell r="CL127">
            <v>0</v>
          </cell>
          <cell r="CM127">
            <v>0</v>
          </cell>
          <cell r="CN127">
            <v>0</v>
          </cell>
          <cell r="CO127">
            <v>0</v>
          </cell>
          <cell r="CP127">
            <v>0</v>
          </cell>
          <cell r="CQ127">
            <v>0</v>
          </cell>
          <cell r="CR127">
            <v>0</v>
          </cell>
          <cell r="CS127">
            <v>0</v>
          </cell>
          <cell r="CT127">
            <v>0</v>
          </cell>
          <cell r="CU127">
            <v>0</v>
          </cell>
          <cell r="CV127">
            <v>0</v>
          </cell>
          <cell r="CW127">
            <v>0</v>
          </cell>
          <cell r="CX127">
            <v>0</v>
          </cell>
          <cell r="CY127">
            <v>0</v>
          </cell>
          <cell r="CZ127">
            <v>0</v>
          </cell>
          <cell r="DA127">
            <v>0</v>
          </cell>
          <cell r="DB127">
            <v>0</v>
          </cell>
          <cell r="DC127">
            <v>0</v>
          </cell>
          <cell r="DD127">
            <v>0</v>
          </cell>
          <cell r="DE127">
            <v>0</v>
          </cell>
          <cell r="DF127">
            <v>0</v>
          </cell>
          <cell r="DG127">
            <v>0</v>
          </cell>
          <cell r="DH127">
            <v>0</v>
          </cell>
          <cell r="DI127">
            <v>0</v>
          </cell>
          <cell r="DJ127">
            <v>0</v>
          </cell>
          <cell r="DK127">
            <v>812515</v>
          </cell>
          <cell r="DL127">
            <v>0</v>
          </cell>
          <cell r="DM127">
            <v>0</v>
          </cell>
          <cell r="DN127">
            <v>0</v>
          </cell>
          <cell r="DO127">
            <v>0</v>
          </cell>
          <cell r="DP127">
            <v>0</v>
          </cell>
          <cell r="DQ127">
            <v>0</v>
          </cell>
          <cell r="DR127">
            <v>0</v>
          </cell>
          <cell r="DS127">
            <v>1562980.47</v>
          </cell>
          <cell r="DT127">
            <v>0</v>
          </cell>
          <cell r="DU127">
            <v>0</v>
          </cell>
          <cell r="DV127">
            <v>708247.21</v>
          </cell>
          <cell r="DW127">
            <v>802695</v>
          </cell>
          <cell r="DX127">
            <v>0</v>
          </cell>
          <cell r="DY127">
            <v>0</v>
          </cell>
          <cell r="DZ127">
            <v>0</v>
          </cell>
          <cell r="EA127">
            <v>6349109</v>
          </cell>
          <cell r="EB127">
            <v>0</v>
          </cell>
          <cell r="EC127">
            <v>0</v>
          </cell>
          <cell r="ED127">
            <v>0</v>
          </cell>
          <cell r="EE127">
            <v>0</v>
          </cell>
          <cell r="EF127">
            <v>13349.69</v>
          </cell>
          <cell r="EG127">
            <v>493196.66000000003</v>
          </cell>
          <cell r="EH127">
            <v>0</v>
          </cell>
          <cell r="EI127">
            <v>0</v>
          </cell>
          <cell r="EJ127">
            <v>0</v>
          </cell>
          <cell r="EK127">
            <v>26668</v>
          </cell>
          <cell r="EL127">
            <v>0</v>
          </cell>
          <cell r="EM127">
            <v>40356</v>
          </cell>
          <cell r="EN127">
            <v>0</v>
          </cell>
          <cell r="EO127">
            <v>205350.09</v>
          </cell>
          <cell r="EP127">
            <v>12331</v>
          </cell>
          <cell r="EQ127">
            <v>0</v>
          </cell>
          <cell r="ER127">
            <v>66310.790000000008</v>
          </cell>
          <cell r="ES127">
            <v>0</v>
          </cell>
          <cell r="ET127">
            <v>0</v>
          </cell>
          <cell r="EU127">
            <v>0</v>
          </cell>
          <cell r="EV127">
            <v>0</v>
          </cell>
          <cell r="EW127">
            <v>0</v>
          </cell>
          <cell r="EX127">
            <v>0</v>
          </cell>
          <cell r="EY127">
            <v>0</v>
          </cell>
          <cell r="EZ127">
            <v>0</v>
          </cell>
          <cell r="FA127">
            <v>0</v>
          </cell>
          <cell r="FB127">
            <v>0</v>
          </cell>
          <cell r="FC127">
            <v>0</v>
          </cell>
          <cell r="FD127">
            <v>0</v>
          </cell>
          <cell r="FE127">
            <v>0</v>
          </cell>
          <cell r="FF127">
            <v>0</v>
          </cell>
          <cell r="FG127">
            <v>0</v>
          </cell>
          <cell r="FH127">
            <v>2124</v>
          </cell>
          <cell r="FI127">
            <v>0</v>
          </cell>
          <cell r="FJ127">
            <v>2272106.29</v>
          </cell>
          <cell r="FK127">
            <v>0</v>
          </cell>
          <cell r="FL127">
            <v>0</v>
          </cell>
          <cell r="FM127">
            <v>0</v>
          </cell>
          <cell r="FN127">
            <v>484961.6</v>
          </cell>
          <cell r="FO127">
            <v>0</v>
          </cell>
          <cell r="FP127">
            <v>0</v>
          </cell>
          <cell r="FQ127">
            <v>358914.69999999995</v>
          </cell>
          <cell r="FR127">
            <v>0</v>
          </cell>
          <cell r="FS127">
            <v>0</v>
          </cell>
          <cell r="FT127">
            <v>6071252.1799999997</v>
          </cell>
          <cell r="FU127">
            <v>0</v>
          </cell>
          <cell r="FV127">
            <v>0</v>
          </cell>
          <cell r="FW127">
            <v>86139.75</v>
          </cell>
          <cell r="FX127">
            <v>0</v>
          </cell>
          <cell r="FY127">
            <v>0</v>
          </cell>
          <cell r="FZ127">
            <v>0</v>
          </cell>
          <cell r="GA127">
            <v>0</v>
          </cell>
          <cell r="GB127">
            <v>0</v>
          </cell>
          <cell r="GC127">
            <v>0</v>
          </cell>
          <cell r="GD127">
            <v>0</v>
          </cell>
          <cell r="GE127">
            <v>0</v>
          </cell>
          <cell r="GF127">
            <v>0</v>
          </cell>
          <cell r="GG127">
            <v>0</v>
          </cell>
          <cell r="GH127">
            <v>1535274.4900000002</v>
          </cell>
          <cell r="GI127">
            <v>0</v>
          </cell>
          <cell r="GJ127">
            <v>244260</v>
          </cell>
          <cell r="GK127">
            <v>32899.99</v>
          </cell>
          <cell r="GL127">
            <v>0</v>
          </cell>
          <cell r="GM127">
            <v>0</v>
          </cell>
          <cell r="GN127">
            <v>0</v>
          </cell>
          <cell r="GO127">
            <v>0</v>
          </cell>
          <cell r="GP127">
            <v>0</v>
          </cell>
          <cell r="GQ127">
            <v>1121858</v>
          </cell>
          <cell r="GR127">
            <v>1314567.9099999999</v>
          </cell>
          <cell r="GS127">
            <v>0</v>
          </cell>
          <cell r="GT127">
            <v>199361</v>
          </cell>
          <cell r="GU127">
            <v>0</v>
          </cell>
          <cell r="GV127">
            <v>0</v>
          </cell>
          <cell r="GW127">
            <v>0</v>
          </cell>
          <cell r="GX127">
            <v>0</v>
          </cell>
          <cell r="GY127">
            <v>0</v>
          </cell>
          <cell r="GZ127">
            <v>0</v>
          </cell>
          <cell r="HA127">
            <v>0</v>
          </cell>
          <cell r="HB127">
            <v>0</v>
          </cell>
          <cell r="HC127">
            <v>0</v>
          </cell>
          <cell r="HD127">
            <v>58700</v>
          </cell>
          <cell r="HE127">
            <v>0</v>
          </cell>
          <cell r="HF127">
            <v>158120</v>
          </cell>
          <cell r="HG127">
            <v>0</v>
          </cell>
          <cell r="HH127">
            <v>0</v>
          </cell>
          <cell r="HI127">
            <v>0</v>
          </cell>
          <cell r="HJ127">
            <v>0</v>
          </cell>
          <cell r="HK127">
            <v>0</v>
          </cell>
          <cell r="HL127">
            <v>0</v>
          </cell>
          <cell r="HM127">
            <v>0</v>
          </cell>
          <cell r="HN127">
            <v>0</v>
          </cell>
          <cell r="HO127">
            <v>0</v>
          </cell>
          <cell r="HP127">
            <v>0</v>
          </cell>
          <cell r="HQ127">
            <v>0</v>
          </cell>
          <cell r="HR127">
            <v>0</v>
          </cell>
          <cell r="HS127">
            <v>0</v>
          </cell>
          <cell r="HT127">
            <v>0</v>
          </cell>
          <cell r="HU127">
            <v>0</v>
          </cell>
          <cell r="HV127">
            <v>0</v>
          </cell>
          <cell r="HW127">
            <v>0</v>
          </cell>
          <cell r="HX127">
            <v>0</v>
          </cell>
          <cell r="HY127">
            <v>0</v>
          </cell>
          <cell r="HZ127">
            <v>0</v>
          </cell>
          <cell r="IA127">
            <v>0</v>
          </cell>
          <cell r="IB127">
            <v>0</v>
          </cell>
          <cell r="IC127">
            <v>0</v>
          </cell>
          <cell r="ID127">
            <v>0</v>
          </cell>
          <cell r="IE127">
            <v>0</v>
          </cell>
          <cell r="IF127">
            <v>0</v>
          </cell>
          <cell r="IG127">
            <v>0</v>
          </cell>
          <cell r="IH127">
            <v>0</v>
          </cell>
          <cell r="II127">
            <v>0</v>
          </cell>
          <cell r="IJ127">
            <v>0</v>
          </cell>
          <cell r="IK127">
            <v>0</v>
          </cell>
          <cell r="IL127">
            <v>0</v>
          </cell>
          <cell r="IM127">
            <v>0</v>
          </cell>
          <cell r="IN127">
            <v>0</v>
          </cell>
          <cell r="IO127">
            <v>0</v>
          </cell>
          <cell r="IP127">
            <v>0</v>
          </cell>
          <cell r="IQ127">
            <v>0</v>
          </cell>
          <cell r="IR127">
            <v>0</v>
          </cell>
          <cell r="IS127">
            <v>0</v>
          </cell>
          <cell r="IT127">
            <v>0</v>
          </cell>
          <cell r="IU127">
            <v>0</v>
          </cell>
          <cell r="IV127">
            <v>0</v>
          </cell>
          <cell r="IW127">
            <v>0</v>
          </cell>
          <cell r="IX127">
            <v>0</v>
          </cell>
          <cell r="IY127">
            <v>0</v>
          </cell>
          <cell r="IZ127">
            <v>0</v>
          </cell>
          <cell r="JA127">
            <v>0</v>
          </cell>
          <cell r="JB127">
            <v>0</v>
          </cell>
          <cell r="JC127">
            <v>0</v>
          </cell>
          <cell r="JD127">
            <v>0</v>
          </cell>
          <cell r="JE127">
            <v>0</v>
          </cell>
          <cell r="JF127">
            <v>0</v>
          </cell>
          <cell r="JG127">
            <v>0</v>
          </cell>
          <cell r="JH127">
            <v>0</v>
          </cell>
        </row>
      </sheetData>
      <sheetData sheetId="4">
        <row r="89">
          <cell r="A89">
            <v>0</v>
          </cell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104569.42</v>
          </cell>
          <cell r="AR89">
            <v>0</v>
          </cell>
          <cell r="AS89">
            <v>106038.88</v>
          </cell>
          <cell r="AT89">
            <v>0</v>
          </cell>
          <cell r="AU89">
            <v>0</v>
          </cell>
          <cell r="AV89">
            <v>0</v>
          </cell>
          <cell r="AW89">
            <v>75000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229519.78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  <cell r="BV89">
            <v>0</v>
          </cell>
          <cell r="BW89">
            <v>199877.53</v>
          </cell>
          <cell r="BX89">
            <v>0</v>
          </cell>
          <cell r="BY89">
            <v>0</v>
          </cell>
          <cell r="BZ89">
            <v>0</v>
          </cell>
          <cell r="CA89">
            <v>0</v>
          </cell>
          <cell r="CB89">
            <v>0</v>
          </cell>
          <cell r="CC89">
            <v>0</v>
          </cell>
          <cell r="CD89">
            <v>0</v>
          </cell>
          <cell r="CE89">
            <v>0</v>
          </cell>
          <cell r="CF89">
            <v>0</v>
          </cell>
          <cell r="CG89">
            <v>0</v>
          </cell>
          <cell r="CH89">
            <v>0</v>
          </cell>
          <cell r="CI89">
            <v>0</v>
          </cell>
          <cell r="CJ89">
            <v>0</v>
          </cell>
          <cell r="CK89">
            <v>0</v>
          </cell>
          <cell r="CL89">
            <v>0</v>
          </cell>
          <cell r="CM89">
            <v>0</v>
          </cell>
          <cell r="CN89">
            <v>0</v>
          </cell>
          <cell r="CO89">
            <v>0</v>
          </cell>
          <cell r="CP89">
            <v>17193.48</v>
          </cell>
          <cell r="CQ89">
            <v>0</v>
          </cell>
          <cell r="CR89">
            <v>0</v>
          </cell>
          <cell r="CS89">
            <v>0</v>
          </cell>
          <cell r="CT89">
            <v>0</v>
          </cell>
          <cell r="CU89">
            <v>325326</v>
          </cell>
          <cell r="CV89">
            <v>0</v>
          </cell>
          <cell r="CW89">
            <v>0</v>
          </cell>
          <cell r="CX89">
            <v>0</v>
          </cell>
          <cell r="CY89">
            <v>0</v>
          </cell>
          <cell r="CZ89">
            <v>0</v>
          </cell>
          <cell r="DA89">
            <v>0</v>
          </cell>
          <cell r="DB89">
            <v>0</v>
          </cell>
          <cell r="DC89">
            <v>0</v>
          </cell>
          <cell r="DD89">
            <v>0</v>
          </cell>
          <cell r="DE89">
            <v>199187</v>
          </cell>
          <cell r="DF89">
            <v>0</v>
          </cell>
          <cell r="DG89">
            <v>0</v>
          </cell>
          <cell r="DH89">
            <v>0</v>
          </cell>
          <cell r="DI89">
            <v>0</v>
          </cell>
          <cell r="DJ89">
            <v>0</v>
          </cell>
          <cell r="DK89">
            <v>94850</v>
          </cell>
          <cell r="DL89">
            <v>0</v>
          </cell>
          <cell r="DM89">
            <v>0</v>
          </cell>
          <cell r="DN89">
            <v>0</v>
          </cell>
          <cell r="DO89">
            <v>0</v>
          </cell>
          <cell r="DP89">
            <v>0</v>
          </cell>
          <cell r="DQ89">
            <v>0</v>
          </cell>
          <cell r="DR89">
            <v>0</v>
          </cell>
          <cell r="DS89">
            <v>0</v>
          </cell>
          <cell r="DT89">
            <v>0</v>
          </cell>
          <cell r="DU89">
            <v>0</v>
          </cell>
          <cell r="DV89">
            <v>0</v>
          </cell>
          <cell r="DW89">
            <v>196824</v>
          </cell>
          <cell r="DX89">
            <v>0</v>
          </cell>
          <cell r="DY89">
            <v>0</v>
          </cell>
          <cell r="DZ89">
            <v>0</v>
          </cell>
          <cell r="EA89">
            <v>92000</v>
          </cell>
          <cell r="EB89">
            <v>0</v>
          </cell>
          <cell r="EC89">
            <v>0</v>
          </cell>
          <cell r="ED89">
            <v>0</v>
          </cell>
          <cell r="EE89">
            <v>0</v>
          </cell>
          <cell r="EF89">
            <v>0</v>
          </cell>
          <cell r="EG89">
            <v>0</v>
          </cell>
          <cell r="EH89">
            <v>0</v>
          </cell>
          <cell r="EI89">
            <v>0</v>
          </cell>
          <cell r="EJ89">
            <v>0</v>
          </cell>
          <cell r="EK89">
            <v>0</v>
          </cell>
          <cell r="EL89">
            <v>0</v>
          </cell>
          <cell r="EM89">
            <v>0</v>
          </cell>
          <cell r="EN89">
            <v>0</v>
          </cell>
          <cell r="EO89">
            <v>0</v>
          </cell>
          <cell r="EP89">
            <v>0</v>
          </cell>
          <cell r="EQ89">
            <v>0</v>
          </cell>
          <cell r="ER89">
            <v>0</v>
          </cell>
          <cell r="ES89">
            <v>0</v>
          </cell>
          <cell r="ET89">
            <v>0</v>
          </cell>
          <cell r="EU89">
            <v>0</v>
          </cell>
          <cell r="EV89">
            <v>0</v>
          </cell>
          <cell r="EW89">
            <v>0</v>
          </cell>
          <cell r="EX89">
            <v>0</v>
          </cell>
          <cell r="EY89">
            <v>0</v>
          </cell>
          <cell r="EZ89">
            <v>0</v>
          </cell>
          <cell r="FA89">
            <v>172000</v>
          </cell>
          <cell r="FB89">
            <v>0</v>
          </cell>
          <cell r="FC89">
            <v>0</v>
          </cell>
          <cell r="FD89">
            <v>21879</v>
          </cell>
          <cell r="FE89">
            <v>0</v>
          </cell>
          <cell r="FF89">
            <v>0</v>
          </cell>
          <cell r="FG89">
            <v>0</v>
          </cell>
          <cell r="FH89">
            <v>0</v>
          </cell>
          <cell r="FI89">
            <v>0</v>
          </cell>
          <cell r="FJ89">
            <v>32658</v>
          </cell>
          <cell r="FK89">
            <v>0</v>
          </cell>
          <cell r="FL89">
            <v>0</v>
          </cell>
          <cell r="FM89">
            <v>0</v>
          </cell>
          <cell r="FN89">
            <v>0</v>
          </cell>
          <cell r="FO89">
            <v>0</v>
          </cell>
          <cell r="FP89">
            <v>0</v>
          </cell>
          <cell r="FQ89">
            <v>1744571</v>
          </cell>
          <cell r="FR89">
            <v>0</v>
          </cell>
          <cell r="FS89">
            <v>0</v>
          </cell>
          <cell r="FT89">
            <v>527418.59</v>
          </cell>
          <cell r="FU89">
            <v>0</v>
          </cell>
          <cell r="FV89">
            <v>0</v>
          </cell>
          <cell r="FW89">
            <v>0</v>
          </cell>
          <cell r="FX89">
            <v>0</v>
          </cell>
          <cell r="FY89">
            <v>0</v>
          </cell>
          <cell r="FZ89">
            <v>0</v>
          </cell>
          <cell r="GA89">
            <v>56114.61</v>
          </cell>
          <cell r="GB89">
            <v>61950</v>
          </cell>
          <cell r="GC89">
            <v>203615</v>
          </cell>
          <cell r="GD89">
            <v>420958</v>
          </cell>
          <cell r="GE89">
            <v>0</v>
          </cell>
          <cell r="GF89">
            <v>0</v>
          </cell>
          <cell r="GG89">
            <v>0</v>
          </cell>
          <cell r="GH89">
            <v>0</v>
          </cell>
          <cell r="GI89">
            <v>0</v>
          </cell>
          <cell r="GJ89">
            <v>0</v>
          </cell>
          <cell r="GK89">
            <v>0</v>
          </cell>
          <cell r="GL89">
            <v>0</v>
          </cell>
          <cell r="GM89">
            <v>0</v>
          </cell>
          <cell r="GN89">
            <v>0</v>
          </cell>
          <cell r="GO89">
            <v>0</v>
          </cell>
          <cell r="GP89">
            <v>0</v>
          </cell>
          <cell r="GQ89">
            <v>0</v>
          </cell>
          <cell r="GR89">
            <v>0</v>
          </cell>
          <cell r="GS89">
            <v>0</v>
          </cell>
          <cell r="GT89">
            <v>0</v>
          </cell>
          <cell r="GU89">
            <v>0</v>
          </cell>
          <cell r="GV89">
            <v>0</v>
          </cell>
          <cell r="GX89">
            <v>0</v>
          </cell>
          <cell r="GY89">
            <v>0</v>
          </cell>
          <cell r="GZ89">
            <v>0</v>
          </cell>
          <cell r="HA89">
            <v>0</v>
          </cell>
          <cell r="HB89">
            <v>0</v>
          </cell>
          <cell r="HC89">
            <v>0</v>
          </cell>
          <cell r="HD89">
            <v>0</v>
          </cell>
          <cell r="HE89">
            <v>0</v>
          </cell>
          <cell r="HF89">
            <v>0</v>
          </cell>
          <cell r="HG89">
            <v>0</v>
          </cell>
          <cell r="HH89">
            <v>0</v>
          </cell>
          <cell r="HI89">
            <v>0</v>
          </cell>
          <cell r="HJ89">
            <v>0</v>
          </cell>
          <cell r="HK89">
            <v>0</v>
          </cell>
          <cell r="HL89">
            <v>0</v>
          </cell>
          <cell r="HM89">
            <v>0</v>
          </cell>
          <cell r="HN89">
            <v>0</v>
          </cell>
          <cell r="HO89">
            <v>0</v>
          </cell>
          <cell r="HP89">
            <v>0</v>
          </cell>
          <cell r="HQ89">
            <v>0</v>
          </cell>
          <cell r="HR89">
            <v>0</v>
          </cell>
          <cell r="HS89">
            <v>0</v>
          </cell>
          <cell r="HT89">
            <v>0</v>
          </cell>
          <cell r="HU89">
            <v>0</v>
          </cell>
          <cell r="HV89">
            <v>0</v>
          </cell>
          <cell r="HW89">
            <v>0</v>
          </cell>
          <cell r="HX89">
            <v>0</v>
          </cell>
          <cell r="HY89">
            <v>0</v>
          </cell>
          <cell r="HZ89">
            <v>0</v>
          </cell>
          <cell r="IA89">
            <v>0</v>
          </cell>
          <cell r="IB89">
            <v>0</v>
          </cell>
          <cell r="IC89">
            <v>0</v>
          </cell>
          <cell r="ID89">
            <v>0</v>
          </cell>
          <cell r="IE89">
            <v>0</v>
          </cell>
          <cell r="IF89">
            <v>0</v>
          </cell>
          <cell r="IG89">
            <v>0</v>
          </cell>
          <cell r="IH89">
            <v>0</v>
          </cell>
          <cell r="II89">
            <v>0</v>
          </cell>
          <cell r="IJ89">
            <v>0</v>
          </cell>
          <cell r="IK89">
            <v>0</v>
          </cell>
          <cell r="IL89">
            <v>0</v>
          </cell>
          <cell r="IM89">
            <v>0</v>
          </cell>
          <cell r="IN89">
            <v>0</v>
          </cell>
          <cell r="IO89">
            <v>0</v>
          </cell>
          <cell r="IP89">
            <v>0</v>
          </cell>
          <cell r="IQ89">
            <v>0</v>
          </cell>
          <cell r="IR89">
            <v>0</v>
          </cell>
          <cell r="IS89">
            <v>0</v>
          </cell>
          <cell r="IT89">
            <v>0</v>
          </cell>
          <cell r="IU89">
            <v>0</v>
          </cell>
          <cell r="IV89">
            <v>0</v>
          </cell>
          <cell r="IW89">
            <v>0</v>
          </cell>
          <cell r="IX89">
            <v>0</v>
          </cell>
          <cell r="IY89">
            <v>0</v>
          </cell>
          <cell r="IZ89">
            <v>0</v>
          </cell>
          <cell r="JA89">
            <v>0</v>
          </cell>
          <cell r="JB89">
            <v>0</v>
          </cell>
          <cell r="JC89">
            <v>0</v>
          </cell>
          <cell r="JD89">
            <v>0</v>
          </cell>
          <cell r="JE89">
            <v>0</v>
          </cell>
          <cell r="JF89">
            <v>0</v>
          </cell>
          <cell r="JG89">
            <v>0</v>
          </cell>
          <cell r="JH89">
            <v>0</v>
          </cell>
        </row>
      </sheetData>
      <sheetData sheetId="5"/>
      <sheetData sheetId="6"/>
      <sheetData sheetId="7"/>
      <sheetData sheetId="8"/>
      <sheetData sheetId="9"/>
      <sheetData sheetId="10">
        <row r="12">
          <cell r="E12">
            <v>100779301.08</v>
          </cell>
        </row>
        <row r="32">
          <cell r="E32">
            <v>6892064.790000001</v>
          </cell>
        </row>
        <row r="39">
          <cell r="E39">
            <v>214750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9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2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4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5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"/>
  <sheetViews>
    <sheetView view="pageBreakPreview" topLeftCell="A21" zoomScale="118" zoomScaleNormal="150" zoomScaleSheetLayoutView="118" workbookViewId="0">
      <selection activeCell="B37" sqref="B37"/>
    </sheetView>
  </sheetViews>
  <sheetFormatPr baseColWidth="10" defaultColWidth="11.42578125" defaultRowHeight="15.75" x14ac:dyDescent="0.25"/>
  <cols>
    <col min="1" max="1" width="58.140625" style="8" customWidth="1"/>
    <col min="2" max="2" width="20.5703125" style="8" bestFit="1" customWidth="1"/>
    <col min="3" max="3" width="2.7109375" style="13" customWidth="1"/>
    <col min="4" max="4" width="24.7109375" style="8" hidden="1" customWidth="1"/>
    <col min="5" max="5" width="18.5703125" style="8" bestFit="1" customWidth="1"/>
    <col min="6" max="6" width="11.42578125" style="8"/>
    <col min="7" max="7" width="18.28515625" style="8" bestFit="1" customWidth="1"/>
    <col min="8" max="16384" width="11.42578125" style="8"/>
  </cols>
  <sheetData>
    <row r="1" spans="1:4" x14ac:dyDescent="0.25">
      <c r="A1" s="905" t="s">
        <v>188</v>
      </c>
      <c r="B1" s="905"/>
      <c r="C1" s="905"/>
      <c r="D1" s="905"/>
    </row>
    <row r="2" spans="1:4" x14ac:dyDescent="0.25">
      <c r="A2" s="905" t="s">
        <v>11</v>
      </c>
      <c r="B2" s="905"/>
      <c r="C2" s="905"/>
      <c r="D2" s="905"/>
    </row>
    <row r="3" spans="1:4" x14ac:dyDescent="0.25">
      <c r="A3" s="905" t="s">
        <v>4284</v>
      </c>
      <c r="B3" s="905"/>
      <c r="C3" s="905"/>
      <c r="D3" s="905"/>
    </row>
    <row r="4" spans="1:4" x14ac:dyDescent="0.25">
      <c r="A4" s="905" t="s">
        <v>12</v>
      </c>
      <c r="B4" s="905"/>
      <c r="C4" s="905"/>
      <c r="D4" s="905"/>
    </row>
    <row r="5" spans="1:4" x14ac:dyDescent="0.25">
      <c r="A5" s="905"/>
      <c r="B5" s="905"/>
      <c r="C5" s="652"/>
      <c r="D5" s="247"/>
    </row>
    <row r="6" spans="1:4" ht="12.75" customHeight="1" x14ac:dyDescent="0.25">
      <c r="A6" s="1"/>
      <c r="B6" s="570">
        <v>2025</v>
      </c>
      <c r="C6" s="659"/>
      <c r="D6" s="17">
        <v>2021</v>
      </c>
    </row>
    <row r="7" spans="1:4" x14ac:dyDescent="0.25">
      <c r="A7" s="4" t="s">
        <v>0</v>
      </c>
      <c r="B7" s="1"/>
      <c r="C7" s="28"/>
      <c r="D7" s="1"/>
    </row>
    <row r="8" spans="1:4" x14ac:dyDescent="0.25">
      <c r="A8" s="4" t="s">
        <v>1</v>
      </c>
      <c r="B8" s="1"/>
      <c r="C8" s="28"/>
      <c r="D8" s="1"/>
    </row>
    <row r="9" spans="1:4" x14ac:dyDescent="0.25">
      <c r="A9" s="18" t="s">
        <v>13</v>
      </c>
      <c r="B9" s="59">
        <f>+'NOTAS 7 AL19'!C12</f>
        <v>303926862.78999996</v>
      </c>
      <c r="C9" s="60"/>
      <c r="D9" s="59" t="e">
        <f>+'NOTAS 7 AL19'!#REF!</f>
        <v>#REF!</v>
      </c>
    </row>
    <row r="10" spans="1:4" x14ac:dyDescent="0.25">
      <c r="A10" s="18" t="s">
        <v>204</v>
      </c>
      <c r="B10" s="59">
        <f>+'NOTAS 7 AL19'!C24</f>
        <v>82148815.368999988</v>
      </c>
      <c r="C10" s="60"/>
      <c r="D10" s="59" t="e">
        <f>+'NOTAS 7 AL19'!#REF!</f>
        <v>#REF!</v>
      </c>
    </row>
    <row r="11" spans="1:4" x14ac:dyDescent="0.25">
      <c r="A11" s="18" t="s">
        <v>205</v>
      </c>
      <c r="B11" s="59">
        <f>+'NOTAS 7 AL19'!C32</f>
        <v>92426425.370000005</v>
      </c>
      <c r="C11" s="60"/>
      <c r="D11" s="59" t="e">
        <f>+'NOTAS 7 AL19'!#REF!</f>
        <v>#REF!</v>
      </c>
    </row>
    <row r="12" spans="1:4" x14ac:dyDescent="0.25">
      <c r="A12" s="4" t="s">
        <v>2</v>
      </c>
      <c r="B12" s="588">
        <f>SUM(B9:B11)</f>
        <v>478502103.52899992</v>
      </c>
      <c r="C12" s="63"/>
      <c r="D12" s="62" t="e">
        <f>SUM(D9:D11)</f>
        <v>#REF!</v>
      </c>
    </row>
    <row r="13" spans="1:4" ht="6.75" customHeight="1" x14ac:dyDescent="0.25">
      <c r="A13" s="4"/>
      <c r="B13" s="62"/>
      <c r="C13" s="63"/>
      <c r="D13" s="62"/>
    </row>
    <row r="14" spans="1:4" x14ac:dyDescent="0.25">
      <c r="A14" s="4" t="s">
        <v>3</v>
      </c>
      <c r="B14" s="64"/>
      <c r="C14" s="65"/>
      <c r="D14" s="64"/>
    </row>
    <row r="15" spans="1:4" x14ac:dyDescent="0.25">
      <c r="A15" s="18" t="s">
        <v>206</v>
      </c>
      <c r="B15" s="59">
        <f>+'NOTA 10'!I13</f>
        <v>165072261.13744789</v>
      </c>
      <c r="C15" s="60"/>
      <c r="D15" s="59">
        <f>3988531.33-566295.13</f>
        <v>3422236.2</v>
      </c>
    </row>
    <row r="16" spans="1:4" x14ac:dyDescent="0.25">
      <c r="A16" s="4" t="s">
        <v>4</v>
      </c>
      <c r="B16" s="588">
        <f>SUM(B15:B15)</f>
        <v>165072261.13744789</v>
      </c>
      <c r="C16" s="63"/>
      <c r="D16" s="62">
        <f>SUM(D15:D15)</f>
        <v>3422236.2</v>
      </c>
    </row>
    <row r="17" spans="1:4" ht="9" customHeight="1" x14ac:dyDescent="0.25">
      <c r="A17" s="4"/>
      <c r="B17" s="62"/>
      <c r="C17" s="63"/>
      <c r="D17" s="62"/>
    </row>
    <row r="18" spans="1:4" ht="16.5" thickBot="1" x14ac:dyDescent="0.3">
      <c r="A18" s="4" t="s">
        <v>5</v>
      </c>
      <c r="B18" s="66">
        <f>+B12+B16</f>
        <v>643574364.66644788</v>
      </c>
      <c r="C18" s="63"/>
      <c r="D18" s="66" t="e">
        <f>+D12+D16</f>
        <v>#REF!</v>
      </c>
    </row>
    <row r="19" spans="1:4" ht="16.5" thickTop="1" x14ac:dyDescent="0.25">
      <c r="A19" s="908" t="s">
        <v>59</v>
      </c>
      <c r="B19" s="67"/>
      <c r="C19" s="68"/>
      <c r="D19" s="67"/>
    </row>
    <row r="20" spans="1:4" x14ac:dyDescent="0.25">
      <c r="A20" s="908"/>
      <c r="B20" s="69"/>
      <c r="C20" s="70"/>
      <c r="D20" s="69"/>
    </row>
    <row r="21" spans="1:4" x14ac:dyDescent="0.25">
      <c r="A21" s="18" t="s">
        <v>207</v>
      </c>
      <c r="B21" s="59">
        <f>+'NOTAS 7 AL19'!C38</f>
        <v>21432969.339999996</v>
      </c>
      <c r="C21" s="60"/>
      <c r="D21" s="59" t="e">
        <f>+'NOTAS 7 AL19'!#REF!</f>
        <v>#REF!</v>
      </c>
    </row>
    <row r="22" spans="1:4" x14ac:dyDescent="0.25">
      <c r="A22" s="18" t="s">
        <v>208</v>
      </c>
      <c r="B22" s="59">
        <f>+'NOTAS 7 AL19'!C46</f>
        <v>12190724.109999999</v>
      </c>
      <c r="C22" s="60"/>
      <c r="D22" s="59" t="e">
        <f>+'NOTAS 7 AL19'!#REF!</f>
        <v>#REF!</v>
      </c>
    </row>
    <row r="23" spans="1:4" x14ac:dyDescent="0.25">
      <c r="A23" s="18" t="s">
        <v>209</v>
      </c>
      <c r="B23" s="59">
        <f>+'NOTAS 7 AL19'!C52</f>
        <v>1251715.8050000006</v>
      </c>
      <c r="C23" s="60"/>
      <c r="D23" s="59" t="e">
        <f>+'NOTAS 7 AL19'!#REF!</f>
        <v>#REF!</v>
      </c>
    </row>
    <row r="24" spans="1:4" x14ac:dyDescent="0.25">
      <c r="A24" s="4" t="s">
        <v>6</v>
      </c>
      <c r="B24" s="588">
        <f>SUM(B21:B23)</f>
        <v>34875409.254999995</v>
      </c>
      <c r="C24" s="63"/>
      <c r="D24" s="62" t="e">
        <f>SUM(D21:D23)</f>
        <v>#REF!</v>
      </c>
    </row>
    <row r="25" spans="1:4" ht="8.25" customHeight="1" x14ac:dyDescent="0.25">
      <c r="A25" s="4"/>
      <c r="B25" s="62"/>
      <c r="C25" s="63"/>
      <c r="D25" s="62"/>
    </row>
    <row r="26" spans="1:4" x14ac:dyDescent="0.25">
      <c r="A26" s="4" t="s">
        <v>7</v>
      </c>
      <c r="B26" s="67"/>
      <c r="C26" s="68"/>
      <c r="D26" s="67"/>
    </row>
    <row r="27" spans="1:4" x14ac:dyDescent="0.25">
      <c r="A27" s="4" t="s">
        <v>8</v>
      </c>
      <c r="B27" s="62">
        <v>0</v>
      </c>
      <c r="C27" s="63"/>
      <c r="D27" s="62">
        <v>0</v>
      </c>
    </row>
    <row r="28" spans="1:4" ht="10.5" customHeight="1" x14ac:dyDescent="0.25">
      <c r="A28" s="4"/>
      <c r="B28" s="62"/>
      <c r="C28" s="63"/>
      <c r="D28" s="62"/>
    </row>
    <row r="29" spans="1:4" x14ac:dyDescent="0.25">
      <c r="A29" s="4" t="s">
        <v>9</v>
      </c>
      <c r="B29" s="71">
        <f>+B24+B27</f>
        <v>34875409.254999995</v>
      </c>
      <c r="C29" s="63"/>
      <c r="D29" s="71" t="e">
        <f>+D24+D27</f>
        <v>#REF!</v>
      </c>
    </row>
    <row r="30" spans="1:4" ht="9" customHeight="1" x14ac:dyDescent="0.25">
      <c r="A30" s="4"/>
      <c r="B30" s="62"/>
      <c r="C30" s="63"/>
      <c r="D30" s="62"/>
    </row>
    <row r="31" spans="1:4" x14ac:dyDescent="0.25">
      <c r="A31" s="4" t="s">
        <v>3701</v>
      </c>
      <c r="B31" s="67"/>
      <c r="C31" s="68"/>
      <c r="D31" s="67"/>
    </row>
    <row r="32" spans="1:4" ht="12.75" customHeight="1" x14ac:dyDescent="0.25">
      <c r="A32" s="18" t="s">
        <v>10</v>
      </c>
      <c r="B32" s="59">
        <v>341960581.44</v>
      </c>
      <c r="C32" s="60"/>
      <c r="D32" s="59">
        <v>64803453.310000002</v>
      </c>
    </row>
    <row r="33" spans="1:5" x14ac:dyDescent="0.25">
      <c r="A33" s="18" t="s">
        <v>57</v>
      </c>
      <c r="B33" s="59">
        <f>+'Est. de Rendimiento Fin'!B24</f>
        <v>149702525.16432285</v>
      </c>
      <c r="C33" s="60"/>
      <c r="D33" s="59" t="e">
        <f>+'Est. de Rendimiento Fin'!#REF!</f>
        <v>#REF!</v>
      </c>
    </row>
    <row r="34" spans="1:5" x14ac:dyDescent="0.25">
      <c r="A34" s="18" t="s">
        <v>56</v>
      </c>
      <c r="B34" s="59">
        <f>+'cambio en el patr.'!E13+'cambio en el patr.'!E8</f>
        <v>117035848.81</v>
      </c>
      <c r="C34" s="60"/>
      <c r="D34" s="59"/>
      <c r="E34" s="86"/>
    </row>
    <row r="35" spans="1:5" s="20" customFormat="1" x14ac:dyDescent="0.25">
      <c r="A35" s="29" t="s">
        <v>58</v>
      </c>
      <c r="B35" s="71">
        <f>SUM(B32:B34)</f>
        <v>608698955.41432285</v>
      </c>
      <c r="C35" s="63"/>
      <c r="D35" s="62" t="e">
        <f>SUM(D32:D34)</f>
        <v>#REF!</v>
      </c>
    </row>
    <row r="36" spans="1:5" x14ac:dyDescent="0.25">
      <c r="A36" s="4" t="s">
        <v>61</v>
      </c>
      <c r="B36" s="71">
        <f>SUM(B29+B35)</f>
        <v>643574364.66932285</v>
      </c>
      <c r="C36" s="63"/>
      <c r="D36" s="71" t="e">
        <f>SUM(D32:D34)</f>
        <v>#REF!</v>
      </c>
      <c r="E36" s="86"/>
    </row>
    <row r="37" spans="1:5" x14ac:dyDescent="0.25">
      <c r="B37" s="11"/>
      <c r="C37" s="72"/>
      <c r="D37" s="11" t="e">
        <f>+D36-D18</f>
        <v>#REF!</v>
      </c>
    </row>
    <row r="38" spans="1:5" x14ac:dyDescent="0.25">
      <c r="B38" s="11"/>
      <c r="C38" s="72"/>
      <c r="D38" s="11"/>
    </row>
    <row r="39" spans="1:5" x14ac:dyDescent="0.25">
      <c r="B39" s="11"/>
      <c r="C39" s="72"/>
      <c r="D39" s="11"/>
    </row>
    <row r="40" spans="1:5" x14ac:dyDescent="0.25">
      <c r="B40" s="11"/>
      <c r="C40" s="72"/>
      <c r="D40" s="11"/>
    </row>
    <row r="41" spans="1:5" x14ac:dyDescent="0.25">
      <c r="B41" s="11"/>
      <c r="C41" s="72"/>
      <c r="D41" s="11"/>
    </row>
    <row r="42" spans="1:5" x14ac:dyDescent="0.25">
      <c r="B42" s="11"/>
      <c r="C42" s="72"/>
      <c r="D42" s="11"/>
    </row>
    <row r="43" spans="1:5" x14ac:dyDescent="0.25">
      <c r="B43" s="11"/>
      <c r="C43" s="72"/>
      <c r="D43" s="11"/>
    </row>
    <row r="44" spans="1:5" x14ac:dyDescent="0.25">
      <c r="B44" s="11"/>
      <c r="C44" s="72"/>
      <c r="D44" s="11"/>
    </row>
    <row r="45" spans="1:5" x14ac:dyDescent="0.25">
      <c r="B45" s="11"/>
      <c r="C45" s="72"/>
      <c r="D45" s="11"/>
    </row>
    <row r="46" spans="1:5" x14ac:dyDescent="0.25">
      <c r="B46" s="11"/>
      <c r="C46" s="72"/>
      <c r="D46" s="11"/>
    </row>
    <row r="47" spans="1:5" x14ac:dyDescent="0.25">
      <c r="B47" s="11"/>
      <c r="C47" s="72"/>
      <c r="D47" s="11"/>
    </row>
    <row r="48" spans="1:5" x14ac:dyDescent="0.25">
      <c r="A48" s="166" t="s">
        <v>60</v>
      </c>
      <c r="B48" s="57"/>
      <c r="C48" s="72"/>
      <c r="D48" s="57"/>
    </row>
    <row r="49" spans="1:4" x14ac:dyDescent="0.25">
      <c r="A49" s="165" t="s">
        <v>211</v>
      </c>
      <c r="B49" s="907" t="s">
        <v>426</v>
      </c>
      <c r="C49" s="907"/>
      <c r="D49" s="907"/>
    </row>
    <row r="50" spans="1:4" x14ac:dyDescent="0.25">
      <c r="A50" s="165" t="s">
        <v>212</v>
      </c>
      <c r="B50" s="906" t="s">
        <v>214</v>
      </c>
      <c r="C50" s="906"/>
      <c r="D50" s="906"/>
    </row>
    <row r="56" spans="1:4" x14ac:dyDescent="0.25">
      <c r="A56" s="909" t="s">
        <v>944</v>
      </c>
      <c r="B56" s="909"/>
      <c r="C56" s="909"/>
    </row>
    <row r="57" spans="1:4" x14ac:dyDescent="0.25">
      <c r="A57" s="906" t="s">
        <v>216</v>
      </c>
      <c r="B57" s="906"/>
      <c r="C57" s="906"/>
    </row>
    <row r="58" spans="1:4" hidden="1" x14ac:dyDescent="0.25">
      <c r="A58" s="906" t="s">
        <v>215</v>
      </c>
      <c r="B58" s="906"/>
      <c r="C58" s="906"/>
    </row>
    <row r="59" spans="1:4" hidden="1" x14ac:dyDescent="0.25">
      <c r="A59" s="906" t="s">
        <v>216</v>
      </c>
      <c r="B59" s="906"/>
      <c r="C59" s="906"/>
    </row>
    <row r="60" spans="1:4" x14ac:dyDescent="0.25">
      <c r="B60" s="11"/>
      <c r="C60" s="72"/>
    </row>
  </sheetData>
  <mergeCells count="12">
    <mergeCell ref="A58:C58"/>
    <mergeCell ref="A59:C59"/>
    <mergeCell ref="B49:D49"/>
    <mergeCell ref="A19:A20"/>
    <mergeCell ref="A5:B5"/>
    <mergeCell ref="A56:C56"/>
    <mergeCell ref="A57:C57"/>
    <mergeCell ref="A1:D1"/>
    <mergeCell ref="A2:D2"/>
    <mergeCell ref="A3:D3"/>
    <mergeCell ref="A4:D4"/>
    <mergeCell ref="B50:D50"/>
  </mergeCells>
  <pageMargins left="0.70866141732283472" right="0.70866141732283472" top="0.74803149606299213" bottom="0.74803149606299213" header="0.31496062992125984" footer="0.31496062992125984"/>
  <pageSetup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view="pageBreakPreview" topLeftCell="A10" zoomScale="98" zoomScaleNormal="130" zoomScaleSheetLayoutView="98" workbookViewId="0">
      <selection activeCell="B20" sqref="B20"/>
    </sheetView>
  </sheetViews>
  <sheetFormatPr baseColWidth="10" defaultColWidth="54.42578125" defaultRowHeight="15.75" x14ac:dyDescent="0.25"/>
  <cols>
    <col min="1" max="1" width="54.42578125" style="8"/>
    <col min="2" max="2" width="34.140625" style="8" customWidth="1"/>
    <col min="3" max="3" width="3.5703125" style="13" customWidth="1"/>
    <col min="4" max="16384" width="54.42578125" style="8"/>
  </cols>
  <sheetData>
    <row r="1" spans="1:7" ht="18.75" x14ac:dyDescent="0.25">
      <c r="A1" s="905" t="s">
        <v>188</v>
      </c>
      <c r="B1" s="905"/>
      <c r="C1" s="905"/>
      <c r="D1" s="30"/>
    </row>
    <row r="2" spans="1:7" x14ac:dyDescent="0.25">
      <c r="A2" s="911" t="s">
        <v>14</v>
      </c>
      <c r="B2" s="911"/>
      <c r="C2" s="911"/>
    </row>
    <row r="3" spans="1:7" x14ac:dyDescent="0.25">
      <c r="A3" s="905" t="s">
        <v>4284</v>
      </c>
      <c r="B3" s="905"/>
      <c r="C3" s="905"/>
    </row>
    <row r="4" spans="1:7" x14ac:dyDescent="0.25">
      <c r="A4" s="911" t="s">
        <v>28</v>
      </c>
      <c r="B4" s="911"/>
      <c r="C4" s="911"/>
    </row>
    <row r="5" spans="1:7" x14ac:dyDescent="0.25">
      <c r="A5" s="905"/>
      <c r="B5" s="905"/>
      <c r="C5" s="652"/>
    </row>
    <row r="6" spans="1:7" x14ac:dyDescent="0.25">
      <c r="B6" s="16">
        <v>2025</v>
      </c>
      <c r="C6" s="660"/>
    </row>
    <row r="7" spans="1:7" x14ac:dyDescent="0.25">
      <c r="A7" s="9" t="s">
        <v>3702</v>
      </c>
    </row>
    <row r="8" spans="1:7" x14ac:dyDescent="0.25">
      <c r="A8" s="10" t="s">
        <v>15</v>
      </c>
      <c r="B8" s="51">
        <v>0</v>
      </c>
      <c r="C8" s="661"/>
    </row>
    <row r="9" spans="1:7" x14ac:dyDescent="0.25">
      <c r="A9" s="10" t="s">
        <v>16</v>
      </c>
      <c r="B9" s="51">
        <f>+'NOTAS 7 AL19'!C67</f>
        <v>24062966.799999997</v>
      </c>
      <c r="C9" s="661"/>
      <c r="E9" s="11"/>
      <c r="F9" s="11"/>
      <c r="G9" s="11"/>
    </row>
    <row r="10" spans="1:7" x14ac:dyDescent="0.25">
      <c r="A10" s="10" t="s">
        <v>3691</v>
      </c>
      <c r="B10" s="51">
        <f>+'NOTAS 7 AL19'!C71</f>
        <v>505753111.52999997</v>
      </c>
      <c r="C10" s="661"/>
      <c r="E10" s="11"/>
      <c r="F10" s="11"/>
      <c r="G10" s="11"/>
    </row>
    <row r="11" spans="1:7" x14ac:dyDescent="0.25">
      <c r="A11" s="10" t="s">
        <v>17</v>
      </c>
      <c r="B11" s="51">
        <f>+'NOTAS 7 AL19'!C75</f>
        <v>1182489.4300000002</v>
      </c>
      <c r="C11" s="661"/>
      <c r="E11" s="11"/>
      <c r="F11" s="11"/>
      <c r="G11" s="11"/>
    </row>
    <row r="12" spans="1:7" ht="16.5" thickBot="1" x14ac:dyDescent="0.3">
      <c r="A12" s="9" t="s">
        <v>18</v>
      </c>
      <c r="B12" s="53">
        <f>SUM(B8:B11)</f>
        <v>530998567.75999999</v>
      </c>
      <c r="C12" s="662"/>
      <c r="E12" s="11"/>
      <c r="F12" s="11"/>
      <c r="G12" s="11"/>
    </row>
    <row r="13" spans="1:7" ht="16.5" thickTop="1" x14ac:dyDescent="0.25">
      <c r="A13" s="12"/>
      <c r="B13" s="13"/>
      <c r="E13" s="11"/>
      <c r="F13" s="11"/>
      <c r="G13" s="11"/>
    </row>
    <row r="14" spans="1:7" x14ac:dyDescent="0.25">
      <c r="A14" s="26" t="s">
        <v>3703</v>
      </c>
    </row>
    <row r="15" spans="1:7" x14ac:dyDescent="0.25">
      <c r="A15" s="10" t="s">
        <v>19</v>
      </c>
      <c r="B15" s="51">
        <f>+'NOTAS 7 AL19'!C95</f>
        <v>270348444.95000005</v>
      </c>
      <c r="C15" s="661"/>
    </row>
    <row r="16" spans="1:7" x14ac:dyDescent="0.25">
      <c r="A16" s="10" t="s">
        <v>20</v>
      </c>
      <c r="B16" s="51">
        <f>+'NOTAS 7 AL19'!C99</f>
        <v>912359.7</v>
      </c>
      <c r="C16" s="661"/>
    </row>
    <row r="17" spans="1:4" x14ac:dyDescent="0.25">
      <c r="A17" s="10" t="s">
        <v>21</v>
      </c>
      <c r="B17" s="51">
        <f>+'NOTAS 7 AL19'!C112</f>
        <v>76810203.300000012</v>
      </c>
      <c r="C17" s="661"/>
    </row>
    <row r="18" spans="1:4" x14ac:dyDescent="0.25">
      <c r="A18" s="10" t="s">
        <v>22</v>
      </c>
      <c r="B18" s="51">
        <f>+'NOTAS 7 AL19'!C120</f>
        <v>14142738.815677084</v>
      </c>
      <c r="C18" s="661"/>
    </row>
    <row r="19" spans="1:4" x14ac:dyDescent="0.25">
      <c r="A19" s="10" t="s">
        <v>23</v>
      </c>
      <c r="B19" s="51">
        <f>+'NOTAS 7 AL19'!C133</f>
        <v>19032241.689999998</v>
      </c>
      <c r="C19" s="661"/>
      <c r="D19" s="86"/>
    </row>
    <row r="20" spans="1:4" x14ac:dyDescent="0.25">
      <c r="A20" s="10" t="s">
        <v>24</v>
      </c>
      <c r="B20" s="51">
        <f>+'NOTAS 7 AL19'!C139</f>
        <v>50054.14</v>
      </c>
      <c r="C20" s="661"/>
    </row>
    <row r="21" spans="1:4" x14ac:dyDescent="0.25">
      <c r="A21" s="9" t="s">
        <v>25</v>
      </c>
      <c r="B21" s="52">
        <f>SUM(B15:B20)</f>
        <v>381296042.59567714</v>
      </c>
      <c r="C21" s="662"/>
      <c r="D21" s="11"/>
    </row>
    <row r="22" spans="1:4" x14ac:dyDescent="0.25">
      <c r="A22" s="12"/>
      <c r="B22" s="657"/>
      <c r="C22" s="657"/>
      <c r="D22" s="86"/>
    </row>
    <row r="23" spans="1:4" x14ac:dyDescent="0.25">
      <c r="A23" s="12"/>
      <c r="B23" s="11"/>
      <c r="C23" s="72"/>
    </row>
    <row r="24" spans="1:4" x14ac:dyDescent="0.25">
      <c r="A24" s="9" t="s">
        <v>26</v>
      </c>
      <c r="B24" s="52">
        <f>+B12-B21</f>
        <v>149702525.16432285</v>
      </c>
      <c r="C24" s="662"/>
    </row>
    <row r="25" spans="1:4" x14ac:dyDescent="0.25">
      <c r="A25" s="12"/>
      <c r="B25" s="13"/>
    </row>
    <row r="26" spans="1:4" x14ac:dyDescent="0.25">
      <c r="A26" s="12"/>
    </row>
    <row r="27" spans="1:4" x14ac:dyDescent="0.25">
      <c r="A27" s="14" t="s">
        <v>217</v>
      </c>
    </row>
    <row r="28" spans="1:4" x14ac:dyDescent="0.25">
      <c r="A28" s="14"/>
    </row>
    <row r="29" spans="1:4" x14ac:dyDescent="0.25">
      <c r="B29" s="11"/>
      <c r="C29" s="72"/>
    </row>
    <row r="30" spans="1:4" x14ac:dyDescent="0.25">
      <c r="A30" s="166"/>
      <c r="B30" s="11"/>
      <c r="C30" s="72"/>
    </row>
    <row r="31" spans="1:4" x14ac:dyDescent="0.25">
      <c r="B31" s="11"/>
      <c r="C31" s="72"/>
    </row>
    <row r="32" spans="1:4" x14ac:dyDescent="0.25">
      <c r="B32" s="72"/>
      <c r="C32" s="72"/>
    </row>
    <row r="33" spans="1:3" x14ac:dyDescent="0.25">
      <c r="A33" s="578" t="s">
        <v>211</v>
      </c>
      <c r="B33" s="912" t="s">
        <v>426</v>
      </c>
      <c r="C33" s="912"/>
    </row>
    <row r="34" spans="1:3" x14ac:dyDescent="0.25">
      <c r="A34" s="165" t="s">
        <v>212</v>
      </c>
      <c r="B34" s="906" t="s">
        <v>214</v>
      </c>
      <c r="C34" s="906"/>
    </row>
    <row r="38" spans="1:3" x14ac:dyDescent="0.25">
      <c r="A38" s="8" t="s">
        <v>427</v>
      </c>
    </row>
    <row r="40" spans="1:3" x14ac:dyDescent="0.25">
      <c r="A40" s="910" t="s">
        <v>944</v>
      </c>
      <c r="B40" s="910"/>
      <c r="C40" s="910"/>
    </row>
    <row r="41" spans="1:3" x14ac:dyDescent="0.25">
      <c r="A41" s="906" t="s">
        <v>216</v>
      </c>
      <c r="B41" s="906"/>
      <c r="C41" s="906"/>
    </row>
    <row r="42" spans="1:3" hidden="1" x14ac:dyDescent="0.25">
      <c r="A42" s="906" t="s">
        <v>215</v>
      </c>
      <c r="B42" s="906"/>
      <c r="C42" s="653"/>
    </row>
    <row r="43" spans="1:3" hidden="1" x14ac:dyDescent="0.25">
      <c r="A43" s="906" t="s">
        <v>216</v>
      </c>
      <c r="B43" s="906"/>
      <c r="C43" s="653"/>
    </row>
    <row r="44" spans="1:3" hidden="1" x14ac:dyDescent="0.25">
      <c r="B44" s="11"/>
      <c r="C44" s="72"/>
    </row>
  </sheetData>
  <mergeCells count="11">
    <mergeCell ref="A1:C1"/>
    <mergeCell ref="A2:C2"/>
    <mergeCell ref="A3:C3"/>
    <mergeCell ref="A4:C4"/>
    <mergeCell ref="B33:C33"/>
    <mergeCell ref="A42:B42"/>
    <mergeCell ref="A43:B43"/>
    <mergeCell ref="A5:B5"/>
    <mergeCell ref="B34:C34"/>
    <mergeCell ref="A40:C40"/>
    <mergeCell ref="A41:C41"/>
  </mergeCells>
  <pageMargins left="0.7" right="0.7" top="0.75" bottom="0.75" header="0.3" footer="0.3"/>
  <pageSetup scale="8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43"/>
  <sheetViews>
    <sheetView view="pageBreakPreview" zoomScale="60" zoomScaleNormal="100" workbookViewId="0">
      <selection activeCell="A3" sqref="A3:F3"/>
    </sheetView>
  </sheetViews>
  <sheetFormatPr baseColWidth="10" defaultColWidth="11.42578125" defaultRowHeight="15.75" x14ac:dyDescent="0.25"/>
  <cols>
    <col min="1" max="1" width="43.42578125" style="8" customWidth="1"/>
    <col min="2" max="2" width="26.5703125" style="8" bestFit="1" customWidth="1"/>
    <col min="3" max="3" width="18.42578125" style="8" customWidth="1"/>
    <col min="4" max="4" width="19.85546875" style="8" bestFit="1" customWidth="1"/>
    <col min="5" max="5" width="34.42578125" style="8" bestFit="1" customWidth="1"/>
    <col min="6" max="6" width="35.5703125" style="11" customWidth="1"/>
    <col min="7" max="7" width="22" style="8" bestFit="1" customWidth="1"/>
    <col min="8" max="16384" width="11.42578125" style="8"/>
  </cols>
  <sheetData>
    <row r="1" spans="1:8" s="31" customFormat="1" ht="18.75" x14ac:dyDescent="0.3">
      <c r="A1" s="913" t="s">
        <v>188</v>
      </c>
      <c r="B1" s="913"/>
      <c r="C1" s="913"/>
      <c r="D1" s="913"/>
      <c r="E1" s="913"/>
      <c r="F1" s="913"/>
    </row>
    <row r="2" spans="1:8" ht="20.25" x14ac:dyDescent="0.25">
      <c r="A2" s="914" t="s">
        <v>27</v>
      </c>
      <c r="B2" s="914"/>
      <c r="C2" s="914"/>
      <c r="D2" s="914"/>
      <c r="E2" s="914"/>
      <c r="F2" s="914"/>
      <c r="G2" s="8" t="s">
        <v>2184</v>
      </c>
    </row>
    <row r="3" spans="1:8" x14ac:dyDescent="0.25">
      <c r="A3" s="905" t="s">
        <v>2183</v>
      </c>
      <c r="B3" s="905"/>
      <c r="C3" s="905"/>
      <c r="D3" s="905"/>
      <c r="E3" s="905"/>
      <c r="F3" s="905"/>
    </row>
    <row r="4" spans="1:8" ht="20.25" x14ac:dyDescent="0.25">
      <c r="A4" s="914" t="s">
        <v>28</v>
      </c>
      <c r="B4" s="914"/>
      <c r="C4" s="914"/>
      <c r="D4" s="914"/>
      <c r="E4" s="914"/>
      <c r="F4" s="914"/>
    </row>
    <row r="5" spans="1:8" x14ac:dyDescent="0.25">
      <c r="A5" s="915"/>
      <c r="B5" s="915"/>
      <c r="C5" s="915"/>
      <c r="D5" s="915"/>
      <c r="E5" s="915"/>
      <c r="F5" s="915"/>
    </row>
    <row r="6" spans="1:8" ht="58.5" customHeight="1" x14ac:dyDescent="0.25">
      <c r="A6" s="22"/>
      <c r="B6" s="23" t="s">
        <v>29</v>
      </c>
      <c r="C6" s="23" t="s">
        <v>30</v>
      </c>
      <c r="D6" s="23" t="s">
        <v>31</v>
      </c>
      <c r="E6" s="23" t="s">
        <v>32</v>
      </c>
      <c r="F6" s="99" t="s">
        <v>36</v>
      </c>
      <c r="H6" s="8" t="s">
        <v>3668</v>
      </c>
    </row>
    <row r="7" spans="1:8" x14ac:dyDescent="0.25">
      <c r="A7" s="1"/>
      <c r="B7" s="19"/>
      <c r="C7" s="2"/>
      <c r="E7" s="19"/>
      <c r="F7" s="100"/>
    </row>
    <row r="8" spans="1:8" x14ac:dyDescent="0.25">
      <c r="A8" s="4" t="s">
        <v>454</v>
      </c>
      <c r="B8" s="62">
        <f>+'Estado de Situación'!B32</f>
        <v>341960581.44</v>
      </c>
      <c r="C8" s="17"/>
      <c r="D8" s="17"/>
      <c r="E8" s="59">
        <f>+'Estado de Situación'!B34</f>
        <v>117035848.81</v>
      </c>
      <c r="F8" s="95">
        <f>+B8+C8+D8+E8</f>
        <v>458996430.25</v>
      </c>
    </row>
    <row r="9" spans="1:8" x14ac:dyDescent="0.25">
      <c r="A9" s="7" t="s">
        <v>48</v>
      </c>
      <c r="B9" s="19"/>
      <c r="C9" s="6"/>
      <c r="D9" s="1"/>
      <c r="E9" s="1"/>
      <c r="F9" s="95">
        <f>+B9+C9+D9+E9</f>
        <v>0</v>
      </c>
    </row>
    <row r="10" spans="1:8" x14ac:dyDescent="0.25">
      <c r="A10" s="7" t="s">
        <v>49</v>
      </c>
      <c r="B10" s="19"/>
      <c r="C10" s="19"/>
      <c r="D10" s="1"/>
      <c r="E10" s="6"/>
      <c r="F10" s="95">
        <f>+B10+C10+D10+E10</f>
        <v>0</v>
      </c>
    </row>
    <row r="11" spans="1:8" x14ac:dyDescent="0.25">
      <c r="A11" s="3" t="s">
        <v>33</v>
      </c>
      <c r="B11" s="19"/>
      <c r="C11" s="19"/>
      <c r="D11" s="1"/>
      <c r="E11" s="6"/>
      <c r="F11" s="95">
        <f>+B11+C11+D11+E11</f>
        <v>0</v>
      </c>
    </row>
    <row r="13" spans="1:8" x14ac:dyDescent="0.25">
      <c r="A13" s="3" t="s">
        <v>34</v>
      </c>
      <c r="B13" s="24"/>
      <c r="C13" s="24"/>
      <c r="D13" s="24"/>
      <c r="E13" s="60"/>
      <c r="F13" s="95">
        <f>+F8+E13</f>
        <v>458996430.25</v>
      </c>
    </row>
    <row r="14" spans="1:8" s="20" customFormat="1" ht="16.5" thickBot="1" x14ac:dyDescent="0.3">
      <c r="A14" s="560" t="s">
        <v>1108</v>
      </c>
      <c r="B14" s="66"/>
      <c r="C14" s="66">
        <f>SUM(C7:C13)</f>
        <v>0</v>
      </c>
      <c r="D14" s="66">
        <f>SUM(D7:D13)</f>
        <v>0</v>
      </c>
      <c r="E14" s="66"/>
      <c r="F14" s="561">
        <f>+B14+C14+D14+E14+F13</f>
        <v>458996430.25</v>
      </c>
    </row>
    <row r="15" spans="1:8" s="20" customFormat="1" ht="16.5" thickTop="1" x14ac:dyDescent="0.25">
      <c r="A15" s="559"/>
      <c r="B15" s="63"/>
      <c r="C15" s="63"/>
      <c r="D15" s="63"/>
      <c r="E15" s="63"/>
      <c r="F15" s="558"/>
    </row>
    <row r="16" spans="1:8" x14ac:dyDescent="0.25">
      <c r="A16" s="3" t="s">
        <v>48</v>
      </c>
      <c r="B16" s="6"/>
      <c r="C16" s="6"/>
      <c r="D16" s="6"/>
      <c r="E16" s="6"/>
      <c r="F16" s="98">
        <f>+B16+C16+D16+E16</f>
        <v>0</v>
      </c>
    </row>
    <row r="17" spans="1:7" x14ac:dyDescent="0.25">
      <c r="A17" s="3" t="s">
        <v>49</v>
      </c>
      <c r="B17" s="6"/>
      <c r="C17" s="6"/>
      <c r="D17" s="6"/>
      <c r="E17" s="6"/>
      <c r="F17" s="98">
        <f>+B17+C17+D17+E17</f>
        <v>0</v>
      </c>
    </row>
    <row r="18" spans="1:7" ht="31.5" x14ac:dyDescent="0.25">
      <c r="A18" s="3" t="s">
        <v>35</v>
      </c>
      <c r="B18" s="6"/>
      <c r="C18" s="6"/>
      <c r="D18" s="6"/>
      <c r="E18" s="6"/>
      <c r="F18" s="98">
        <f>+B18+C18+D18+E18</f>
        <v>0</v>
      </c>
    </row>
    <row r="19" spans="1:7" x14ac:dyDescent="0.25">
      <c r="A19" s="3" t="s">
        <v>33</v>
      </c>
      <c r="B19" s="6"/>
      <c r="C19" s="6"/>
      <c r="D19" s="59"/>
      <c r="E19" s="164"/>
      <c r="F19" s="98">
        <f>+B19+C19+D19+E19</f>
        <v>0</v>
      </c>
    </row>
    <row r="20" spans="1:7" x14ac:dyDescent="0.25">
      <c r="A20" s="3" t="s">
        <v>34</v>
      </c>
      <c r="B20" s="6"/>
      <c r="C20" s="25"/>
      <c r="D20" s="6"/>
      <c r="E20" s="59">
        <f>+'Estado de Situación'!B33</f>
        <v>149702525.16432285</v>
      </c>
      <c r="F20" s="98">
        <f>+B20+C20+D20+E20</f>
        <v>149702525.16432285</v>
      </c>
    </row>
    <row r="21" spans="1:7" ht="16.5" thickBot="1" x14ac:dyDescent="0.3">
      <c r="A21" s="4"/>
      <c r="B21" s="94"/>
      <c r="C21" s="21"/>
      <c r="D21" s="21"/>
      <c r="E21" s="21"/>
      <c r="F21" s="94">
        <f>+F18+F19+F20+F14</f>
        <v>608698955.41432285</v>
      </c>
      <c r="G21" s="11"/>
    </row>
    <row r="22" spans="1:7" x14ac:dyDescent="0.25">
      <c r="A22" s="4"/>
      <c r="B22" s="17"/>
      <c r="C22" s="17"/>
      <c r="D22" s="17"/>
      <c r="E22" s="17"/>
      <c r="F22" s="62"/>
    </row>
    <row r="23" spans="1:7" x14ac:dyDescent="0.25">
      <c r="A23" s="4"/>
      <c r="B23" s="5"/>
      <c r="C23" s="5"/>
      <c r="D23" s="5"/>
      <c r="E23" s="5"/>
      <c r="F23" s="64"/>
    </row>
    <row r="24" spans="1:7" x14ac:dyDescent="0.25">
      <c r="A24" s="15"/>
    </row>
    <row r="25" spans="1:7" x14ac:dyDescent="0.25">
      <c r="A25" s="14" t="s">
        <v>217</v>
      </c>
    </row>
    <row r="26" spans="1:7" x14ac:dyDescent="0.25">
      <c r="A26" s="14"/>
    </row>
    <row r="27" spans="1:7" x14ac:dyDescent="0.25">
      <c r="A27" s="14"/>
    </row>
    <row r="28" spans="1:7" x14ac:dyDescent="0.25">
      <c r="B28" s="11"/>
      <c r="C28" s="72"/>
      <c r="D28" s="11"/>
    </row>
    <row r="29" spans="1:7" x14ac:dyDescent="0.25">
      <c r="B29" s="11"/>
      <c r="C29" s="72"/>
      <c r="D29" s="11"/>
    </row>
    <row r="30" spans="1:7" x14ac:dyDescent="0.25">
      <c r="B30" s="11"/>
      <c r="C30" s="72"/>
      <c r="D30" s="11"/>
    </row>
    <row r="31" spans="1:7" x14ac:dyDescent="0.25">
      <c r="B31" s="11"/>
      <c r="C31" s="72"/>
      <c r="D31" s="11"/>
    </row>
    <row r="32" spans="1:7" x14ac:dyDescent="0.25">
      <c r="B32" s="11"/>
      <c r="C32" s="72"/>
      <c r="D32" s="11"/>
    </row>
    <row r="33" spans="1:4" x14ac:dyDescent="0.25">
      <c r="B33" s="11"/>
      <c r="C33" s="72"/>
      <c r="D33" s="11"/>
    </row>
    <row r="34" spans="1:4" x14ac:dyDescent="0.25">
      <c r="A34" s="73" t="s">
        <v>60</v>
      </c>
      <c r="B34" s="57"/>
      <c r="C34" s="57"/>
      <c r="D34" s="57"/>
    </row>
    <row r="35" spans="1:4" x14ac:dyDescent="0.25">
      <c r="A35" s="96" t="s">
        <v>211</v>
      </c>
      <c r="B35" s="907" t="s">
        <v>437</v>
      </c>
      <c r="C35" s="907"/>
      <c r="D35" s="907"/>
    </row>
    <row r="36" spans="1:4" x14ac:dyDescent="0.25">
      <c r="A36" s="96" t="s">
        <v>212</v>
      </c>
      <c r="B36" s="906" t="s">
        <v>214</v>
      </c>
      <c r="C36" s="906"/>
      <c r="D36" s="906"/>
    </row>
    <row r="37" spans="1:4" x14ac:dyDescent="0.25">
      <c r="C37" s="13"/>
    </row>
    <row r="38" spans="1:4" x14ac:dyDescent="0.25">
      <c r="C38" s="13"/>
    </row>
    <row r="39" spans="1:4" x14ac:dyDescent="0.25">
      <c r="C39" s="13"/>
    </row>
    <row r="40" spans="1:4" x14ac:dyDescent="0.25">
      <c r="C40" s="13"/>
    </row>
    <row r="42" spans="1:4" x14ac:dyDescent="0.25">
      <c r="A42" s="909" t="s">
        <v>944</v>
      </c>
      <c r="B42" s="909"/>
    </row>
    <row r="43" spans="1:4" x14ac:dyDescent="0.25">
      <c r="A43" s="906" t="s">
        <v>216</v>
      </c>
      <c r="B43" s="906"/>
    </row>
  </sheetData>
  <mergeCells count="9">
    <mergeCell ref="A42:B42"/>
    <mergeCell ref="A43:B43"/>
    <mergeCell ref="B36:D36"/>
    <mergeCell ref="A1:F1"/>
    <mergeCell ref="A2:F2"/>
    <mergeCell ref="A4:F4"/>
    <mergeCell ref="B35:D35"/>
    <mergeCell ref="A5:F5"/>
    <mergeCell ref="A3:F3"/>
  </mergeCells>
  <pageMargins left="0.70866141732283472" right="0.70866141732283472" top="0.74803149606299213" bottom="0.74803149606299213" header="0.31496062992125984" footer="0.31496062992125984"/>
  <pageSetup scale="63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view="pageBreakPreview" zoomScale="60" zoomScaleNormal="100" workbookViewId="0">
      <selection activeCell="F19" sqref="F19"/>
    </sheetView>
  </sheetViews>
  <sheetFormatPr baseColWidth="10" defaultColWidth="28.42578125" defaultRowHeight="15" x14ac:dyDescent="0.25"/>
  <cols>
    <col min="2" max="2" width="24.42578125" bestFit="1" customWidth="1"/>
    <col min="3" max="3" width="22.85546875" customWidth="1"/>
    <col min="4" max="4" width="18.85546875" customWidth="1"/>
    <col min="5" max="5" width="30.28515625" customWidth="1"/>
    <col min="6" max="6" width="40" customWidth="1"/>
  </cols>
  <sheetData>
    <row r="1" spans="1:7" ht="18.75" x14ac:dyDescent="0.25">
      <c r="A1" s="913" t="s">
        <v>188</v>
      </c>
      <c r="B1" s="913"/>
      <c r="C1" s="913"/>
      <c r="D1" s="913"/>
      <c r="E1" s="913"/>
      <c r="F1" s="913"/>
    </row>
    <row r="2" spans="1:7" ht="20.25" x14ac:dyDescent="0.25">
      <c r="A2" s="914" t="s">
        <v>27</v>
      </c>
      <c r="B2" s="914"/>
      <c r="C2" s="914"/>
      <c r="D2" s="914"/>
      <c r="E2" s="914"/>
      <c r="F2" s="914"/>
    </row>
    <row r="3" spans="1:7" ht="20.25" x14ac:dyDescent="0.25">
      <c r="A3" s="914" t="s">
        <v>4285</v>
      </c>
      <c r="B3" s="914"/>
      <c r="C3" s="914"/>
      <c r="D3" s="914"/>
      <c r="E3" s="914"/>
      <c r="F3" s="914"/>
    </row>
    <row r="4" spans="1:7" ht="20.25" x14ac:dyDescent="0.25">
      <c r="A4" s="914" t="s">
        <v>28</v>
      </c>
      <c r="B4" s="914"/>
      <c r="C4" s="914"/>
      <c r="D4" s="914"/>
      <c r="E4" s="914"/>
      <c r="F4" s="914"/>
    </row>
    <row r="5" spans="1:7" ht="15.75" x14ac:dyDescent="0.25">
      <c r="A5" s="915"/>
      <c r="B5" s="915"/>
      <c r="C5" s="915"/>
      <c r="D5" s="915"/>
      <c r="E5" s="915"/>
      <c r="F5" s="915"/>
    </row>
    <row r="6" spans="1:7" ht="31.5" x14ac:dyDescent="0.25">
      <c r="A6" s="22"/>
      <c r="B6" s="23" t="s">
        <v>29</v>
      </c>
      <c r="C6" s="23" t="s">
        <v>30</v>
      </c>
      <c r="D6" s="23" t="s">
        <v>31</v>
      </c>
      <c r="E6" s="23" t="s">
        <v>32</v>
      </c>
      <c r="F6" s="639" t="s">
        <v>36</v>
      </c>
    </row>
    <row r="7" spans="1:7" ht="15.75" x14ac:dyDescent="0.25">
      <c r="A7" s="1"/>
      <c r="B7" s="19"/>
      <c r="C7" s="2"/>
      <c r="D7" s="8"/>
      <c r="E7" s="19"/>
      <c r="F7" s="640"/>
    </row>
    <row r="8" spans="1:7" ht="31.5" x14ac:dyDescent="0.25">
      <c r="A8" s="4" t="s">
        <v>454</v>
      </c>
      <c r="B8" s="637">
        <f>+'[1]Estado de Situación'!B32</f>
        <v>341960581.44</v>
      </c>
      <c r="C8" s="17"/>
      <c r="D8" s="17"/>
      <c r="E8" s="567">
        <v>-111192335.49000001</v>
      </c>
      <c r="F8" s="638">
        <f>+B8+C8+D8+E8</f>
        <v>230768245.94999999</v>
      </c>
    </row>
    <row r="9" spans="1:7" ht="15.75" x14ac:dyDescent="0.25">
      <c r="A9" s="3" t="s">
        <v>33</v>
      </c>
      <c r="B9" s="19"/>
      <c r="C9" s="6"/>
      <c r="D9" s="1"/>
      <c r="E9" s="1"/>
      <c r="F9" s="638">
        <f>+B9+C9+D9+E9</f>
        <v>0</v>
      </c>
    </row>
    <row r="10" spans="1:7" ht="15.75" x14ac:dyDescent="0.25">
      <c r="A10" s="3" t="s">
        <v>34</v>
      </c>
      <c r="B10" s="8"/>
      <c r="C10" s="8"/>
      <c r="D10" s="8"/>
      <c r="E10" s="567">
        <v>0</v>
      </c>
      <c r="F10" s="567">
        <f>SUM(B10:E10)</f>
        <v>0</v>
      </c>
    </row>
    <row r="11" spans="1:7" ht="31.5" x14ac:dyDescent="0.25">
      <c r="A11" s="4" t="s">
        <v>3754</v>
      </c>
      <c r="B11" s="641">
        <f>SUM(B8:B10)</f>
        <v>341960581.44</v>
      </c>
      <c r="C11" s="641">
        <f>SUM(C7:C10)</f>
        <v>0</v>
      </c>
      <c r="D11" s="641">
        <f>SUM(D7:D10)</f>
        <v>0</v>
      </c>
      <c r="E11" s="641">
        <f>SUM(E7:E10)</f>
        <v>-111192335.49000001</v>
      </c>
      <c r="F11" s="642">
        <f>SUM(F8:F10)</f>
        <v>230768245.94999999</v>
      </c>
    </row>
    <row r="12" spans="1:7" ht="15.75" x14ac:dyDescent="0.25">
      <c r="A12" s="3"/>
      <c r="B12" s="6"/>
      <c r="C12" s="6"/>
      <c r="D12" s="6"/>
      <c r="E12" s="643"/>
      <c r="F12" s="644"/>
    </row>
    <row r="13" spans="1:7" ht="15.75" x14ac:dyDescent="0.25">
      <c r="A13" s="3" t="s">
        <v>33</v>
      </c>
      <c r="B13" s="6"/>
      <c r="C13" s="6"/>
      <c r="D13" s="6"/>
      <c r="E13" s="587">
        <v>228228184.30000001</v>
      </c>
      <c r="F13" s="644">
        <f>+E13</f>
        <v>228228184.30000001</v>
      </c>
    </row>
    <row r="14" spans="1:7" ht="15.75" x14ac:dyDescent="0.25">
      <c r="A14" s="3" t="s">
        <v>34</v>
      </c>
      <c r="B14" s="24"/>
      <c r="C14" s="24"/>
      <c r="D14" s="24"/>
      <c r="E14" s="650">
        <f>+'Est. de Rendimiento Fin'!B24</f>
        <v>149702525.16432285</v>
      </c>
      <c r="F14" s="645">
        <f>+E14</f>
        <v>149702525.16432285</v>
      </c>
    </row>
    <row r="15" spans="1:7" ht="31.5" x14ac:dyDescent="0.25">
      <c r="A15" s="4" t="s">
        <v>1108</v>
      </c>
      <c r="B15" s="592">
        <f>SUM(B11)</f>
        <v>341960581.44</v>
      </c>
      <c r="C15" s="6"/>
      <c r="D15" s="643"/>
      <c r="E15" s="646">
        <f>SUM(E11:E14)</f>
        <v>266738373.97432286</v>
      </c>
      <c r="F15" s="638">
        <f>SUM(F11:F14)</f>
        <v>608698955.41432285</v>
      </c>
      <c r="G15" s="469"/>
    </row>
    <row r="16" spans="1:7" x14ac:dyDescent="0.25">
      <c r="G16" s="295"/>
    </row>
    <row r="17" spans="1:7" ht="15.75" x14ac:dyDescent="0.25">
      <c r="E17" s="11"/>
      <c r="F17" s="469"/>
      <c r="G17" s="295"/>
    </row>
    <row r="18" spans="1:7" x14ac:dyDescent="0.25">
      <c r="F18" s="469"/>
    </row>
    <row r="19" spans="1:7" x14ac:dyDescent="0.25">
      <c r="F19" s="295"/>
    </row>
    <row r="21" spans="1:7" ht="15.75" x14ac:dyDescent="0.25">
      <c r="A21" s="654"/>
      <c r="B21" s="11"/>
      <c r="C21" s="8"/>
    </row>
    <row r="22" spans="1:7" ht="15.75" x14ac:dyDescent="0.25">
      <c r="A22" s="8"/>
      <c r="B22" s="11"/>
      <c r="C22" s="8"/>
    </row>
    <row r="23" spans="1:7" ht="15.75" x14ac:dyDescent="0.25">
      <c r="A23" s="8"/>
      <c r="B23" s="72"/>
      <c r="C23" s="8"/>
      <c r="F23" s="301"/>
    </row>
    <row r="24" spans="1:7" ht="15.75" x14ac:dyDescent="0.25">
      <c r="A24" s="909" t="s">
        <v>211</v>
      </c>
      <c r="B24" s="909"/>
      <c r="E24" s="916" t="s">
        <v>426</v>
      </c>
      <c r="F24" s="916"/>
    </row>
    <row r="25" spans="1:7" ht="15.75" x14ac:dyDescent="0.25">
      <c r="A25" s="906" t="s">
        <v>212</v>
      </c>
      <c r="B25" s="906"/>
      <c r="E25" s="910" t="s">
        <v>214</v>
      </c>
      <c r="F25" s="910"/>
    </row>
    <row r="26" spans="1:7" ht="15.75" x14ac:dyDescent="0.25">
      <c r="A26" s="8"/>
      <c r="E26" s="8"/>
      <c r="F26" s="8"/>
    </row>
    <row r="27" spans="1:7" ht="15.75" x14ac:dyDescent="0.25">
      <c r="A27" s="8"/>
      <c r="B27" s="8"/>
      <c r="C27" s="8"/>
    </row>
    <row r="28" spans="1:7" ht="15.75" x14ac:dyDescent="0.25">
      <c r="A28" s="8"/>
      <c r="B28" s="8"/>
      <c r="C28" s="8"/>
    </row>
    <row r="29" spans="1:7" ht="15.75" x14ac:dyDescent="0.25">
      <c r="A29" s="8" t="s">
        <v>427</v>
      </c>
      <c r="B29" s="8"/>
      <c r="C29" s="8"/>
    </row>
    <row r="30" spans="1:7" ht="15.75" x14ac:dyDescent="0.25">
      <c r="A30" s="8"/>
      <c r="B30" s="8"/>
      <c r="C30" s="8"/>
    </row>
    <row r="31" spans="1:7" ht="15.75" x14ac:dyDescent="0.25">
      <c r="B31" s="909" t="s">
        <v>944</v>
      </c>
      <c r="C31" s="909"/>
      <c r="D31" s="909"/>
    </row>
    <row r="32" spans="1:7" ht="15.75" x14ac:dyDescent="0.25">
      <c r="B32" s="906" t="s">
        <v>216</v>
      </c>
      <c r="C32" s="906"/>
      <c r="D32" s="906"/>
    </row>
  </sheetData>
  <mergeCells count="11">
    <mergeCell ref="A1:F1"/>
    <mergeCell ref="A2:F2"/>
    <mergeCell ref="A3:F3"/>
    <mergeCell ref="A4:F4"/>
    <mergeCell ref="A5:F5"/>
    <mergeCell ref="B31:D31"/>
    <mergeCell ref="B32:D32"/>
    <mergeCell ref="E24:F24"/>
    <mergeCell ref="E25:F25"/>
    <mergeCell ref="A24:B24"/>
    <mergeCell ref="A25:B25"/>
  </mergeCells>
  <pageMargins left="0.70866141732283472" right="0.70866141732283472" top="0.74803149606299213" bottom="0.74803149606299213" header="0.31496062992125984" footer="0.31496062992125984"/>
  <pageSetup scale="6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2"/>
  <sheetViews>
    <sheetView view="pageBreakPreview" topLeftCell="A13" zoomScale="87" zoomScaleNormal="130" zoomScaleSheetLayoutView="87" workbookViewId="0">
      <selection activeCell="D20" sqref="D20"/>
    </sheetView>
  </sheetViews>
  <sheetFormatPr baseColWidth="10" defaultColWidth="11.42578125" defaultRowHeight="15.75" x14ac:dyDescent="0.25"/>
  <cols>
    <col min="1" max="1" width="63.5703125" style="8" customWidth="1"/>
    <col min="2" max="2" width="29.42578125" style="8" customWidth="1"/>
    <col min="3" max="3" width="18.7109375" style="13" bestFit="1" customWidth="1"/>
    <col min="4" max="4" width="20.7109375" style="8" bestFit="1" customWidth="1"/>
    <col min="5" max="5" width="17.5703125" style="8" bestFit="1" customWidth="1"/>
    <col min="6" max="6" width="11.42578125" style="8"/>
    <col min="7" max="7" width="16.5703125" style="8" bestFit="1" customWidth="1"/>
    <col min="8" max="8" width="16.7109375" style="8" bestFit="1" customWidth="1"/>
    <col min="9" max="16384" width="11.42578125" style="8"/>
  </cols>
  <sheetData>
    <row r="1" spans="1:9" s="31" customFormat="1" ht="18.75" x14ac:dyDescent="0.3">
      <c r="A1" s="905" t="s">
        <v>188</v>
      </c>
      <c r="B1" s="905"/>
      <c r="C1" s="905"/>
      <c r="D1" s="30"/>
    </row>
    <row r="2" spans="1:9" x14ac:dyDescent="0.25">
      <c r="A2" s="911" t="s">
        <v>37</v>
      </c>
      <c r="B2" s="911"/>
      <c r="C2" s="911"/>
    </row>
    <row r="3" spans="1:9" x14ac:dyDescent="0.25">
      <c r="A3" s="905" t="s">
        <v>4284</v>
      </c>
      <c r="B3" s="905"/>
      <c r="C3" s="905"/>
      <c r="D3" s="353"/>
      <c r="E3" s="353"/>
    </row>
    <row r="4" spans="1:9" x14ac:dyDescent="0.25">
      <c r="A4" s="911" t="s">
        <v>28</v>
      </c>
      <c r="B4" s="911"/>
      <c r="C4" s="911"/>
    </row>
    <row r="5" spans="1:9" x14ac:dyDescent="0.25">
      <c r="A5" s="911" t="s">
        <v>38</v>
      </c>
      <c r="B5" s="911"/>
      <c r="C5" s="911"/>
    </row>
    <row r="6" spans="1:9" x14ac:dyDescent="0.25">
      <c r="A6" s="915"/>
      <c r="B6" s="915"/>
      <c r="C6" s="915"/>
      <c r="D6" s="678"/>
      <c r="E6" s="678"/>
      <c r="F6" s="678"/>
    </row>
    <row r="7" spans="1:9" x14ac:dyDescent="0.25">
      <c r="B7" s="562">
        <v>2025</v>
      </c>
      <c r="C7" s="660"/>
    </row>
    <row r="8" spans="1:9" x14ac:dyDescent="0.25">
      <c r="B8" s="59"/>
      <c r="C8" s="60"/>
    </row>
    <row r="9" spans="1:9" x14ac:dyDescent="0.25">
      <c r="A9" s="3" t="s">
        <v>50</v>
      </c>
      <c r="B9" s="59">
        <f>+'NOTAS 7 AL19'!C67</f>
        <v>24062966.799999997</v>
      </c>
      <c r="C9" s="60"/>
      <c r="D9" s="11"/>
    </row>
    <row r="10" spans="1:9" x14ac:dyDescent="0.25">
      <c r="A10" s="3" t="s">
        <v>3692</v>
      </c>
      <c r="B10" s="59">
        <f>+'NOTAS 7 AL19'!C72</f>
        <v>505753111.52999997</v>
      </c>
      <c r="C10" s="60"/>
      <c r="D10" s="11"/>
    </row>
    <row r="11" spans="1:9" x14ac:dyDescent="0.25">
      <c r="A11" s="3" t="s">
        <v>3693</v>
      </c>
      <c r="B11" s="59">
        <f>+'NOTAS 7 AL19'!C75</f>
        <v>1182489.4300000002</v>
      </c>
      <c r="C11" s="60"/>
      <c r="D11" s="11"/>
    </row>
    <row r="12" spans="1:9" x14ac:dyDescent="0.25">
      <c r="A12" s="3" t="s">
        <v>51</v>
      </c>
      <c r="B12" s="59">
        <v>-236927218.78</v>
      </c>
      <c r="C12" s="60"/>
      <c r="D12" s="11"/>
      <c r="F12" s="13"/>
      <c r="G12" s="13"/>
      <c r="H12" s="13"/>
      <c r="I12" s="13"/>
    </row>
    <row r="13" spans="1:9" x14ac:dyDescent="0.25">
      <c r="A13" s="3" t="s">
        <v>52</v>
      </c>
      <c r="B13" s="59">
        <f>-'NOTAS 7 AL19'!C87-'NOTAS 7 AL19'!C88-'NOTAS 7 AL19'!C89</f>
        <v>-33421226.170000002</v>
      </c>
      <c r="C13" s="60"/>
      <c r="D13" s="11"/>
      <c r="E13" s="86"/>
      <c r="F13" s="13"/>
      <c r="G13" s="13"/>
      <c r="H13" s="13"/>
      <c r="I13" s="13"/>
    </row>
    <row r="14" spans="1:9" x14ac:dyDescent="0.25">
      <c r="A14" s="3" t="s">
        <v>39</v>
      </c>
      <c r="B14" s="59">
        <v>-95147077.480000004</v>
      </c>
      <c r="C14" s="60"/>
      <c r="D14" s="11"/>
      <c r="E14" s="494"/>
      <c r="F14" s="13"/>
      <c r="G14" s="13"/>
      <c r="H14" s="13"/>
      <c r="I14" s="13"/>
    </row>
    <row r="15" spans="1:9" x14ac:dyDescent="0.25">
      <c r="A15" s="3" t="s">
        <v>40</v>
      </c>
      <c r="B15" s="61">
        <f>-'NOTAS 7 AL19'!C99</f>
        <v>-912359.7</v>
      </c>
      <c r="C15" s="60"/>
      <c r="F15" s="13"/>
      <c r="G15" s="72"/>
      <c r="H15" s="13"/>
      <c r="I15" s="13"/>
    </row>
    <row r="16" spans="1:9" x14ac:dyDescent="0.25">
      <c r="A16" s="4" t="s">
        <v>41</v>
      </c>
      <c r="B16" s="71">
        <f>SUM(B9:B15)</f>
        <v>164590685.63</v>
      </c>
      <c r="C16" s="63"/>
      <c r="F16" s="13"/>
      <c r="G16" s="72"/>
      <c r="H16" s="13"/>
      <c r="I16" s="13"/>
    </row>
    <row r="17" spans="1:9" x14ac:dyDescent="0.25">
      <c r="A17" s="19"/>
      <c r="B17" s="67"/>
      <c r="C17" s="68"/>
      <c r="D17" s="86"/>
      <c r="F17" s="13"/>
      <c r="G17" s="844"/>
      <c r="H17" s="845"/>
      <c r="I17" s="13"/>
    </row>
    <row r="18" spans="1:9" x14ac:dyDescent="0.25">
      <c r="A18" s="27" t="s">
        <v>42</v>
      </c>
      <c r="B18" s="85"/>
      <c r="C18" s="663"/>
      <c r="D18" s="86"/>
      <c r="F18" s="13"/>
      <c r="G18" s="13"/>
      <c r="H18" s="13"/>
      <c r="I18" s="13"/>
    </row>
    <row r="19" spans="1:9" x14ac:dyDescent="0.25">
      <c r="A19" s="3" t="s">
        <v>43</v>
      </c>
      <c r="B19" s="61">
        <f>-'NOTA 10'!E7</f>
        <v>-27598952.219999999</v>
      </c>
      <c r="C19" s="60"/>
      <c r="D19" s="494"/>
      <c r="F19" s="13"/>
      <c r="G19" s="664"/>
      <c r="H19" s="13"/>
      <c r="I19" s="13"/>
    </row>
    <row r="20" spans="1:9" x14ac:dyDescent="0.25">
      <c r="A20" s="27" t="s">
        <v>44</v>
      </c>
      <c r="B20" s="63">
        <f>+B19</f>
        <v>-27598952.219999999</v>
      </c>
      <c r="C20" s="63"/>
      <c r="D20" s="86"/>
      <c r="F20" s="13"/>
      <c r="G20" s="13"/>
      <c r="H20" s="13"/>
      <c r="I20" s="13"/>
    </row>
    <row r="21" spans="1:9" x14ac:dyDescent="0.25">
      <c r="A21" s="19"/>
      <c r="B21" s="67"/>
      <c r="C21" s="68"/>
      <c r="D21" s="86"/>
      <c r="F21" s="13"/>
      <c r="G21" s="13"/>
      <c r="H21" s="13"/>
      <c r="I21" s="13"/>
    </row>
    <row r="22" spans="1:9" x14ac:dyDescent="0.25">
      <c r="A22" s="19"/>
      <c r="B22" s="11"/>
      <c r="C22" s="72"/>
      <c r="D22" s="86"/>
    </row>
    <row r="23" spans="1:9" ht="28.5" customHeight="1" x14ac:dyDescent="0.25">
      <c r="A23" s="3" t="s">
        <v>3694</v>
      </c>
      <c r="B23" s="62">
        <f>+B16+B20</f>
        <v>136991733.41</v>
      </c>
      <c r="C23" s="63"/>
      <c r="D23" s="86"/>
    </row>
    <row r="24" spans="1:9" x14ac:dyDescent="0.25">
      <c r="A24" s="3" t="s">
        <v>180</v>
      </c>
      <c r="B24" s="61">
        <v>166935129.38</v>
      </c>
      <c r="C24" s="60"/>
      <c r="D24" s="86"/>
    </row>
    <row r="25" spans="1:9" x14ac:dyDescent="0.25">
      <c r="A25" s="4" t="s">
        <v>45</v>
      </c>
      <c r="B25" s="71">
        <f>+B23+B24</f>
        <v>303926862.78999996</v>
      </c>
      <c r="C25" s="63"/>
      <c r="D25" s="86"/>
    </row>
    <row r="26" spans="1:9" x14ac:dyDescent="0.25">
      <c r="B26" s="11"/>
      <c r="C26" s="72"/>
      <c r="D26" s="494"/>
    </row>
    <row r="27" spans="1:9" x14ac:dyDescent="0.25">
      <c r="B27" s="11"/>
      <c r="C27" s="72"/>
      <c r="D27" s="11"/>
    </row>
    <row r="28" spans="1:9" x14ac:dyDescent="0.25">
      <c r="A28" s="14" t="s">
        <v>217</v>
      </c>
      <c r="B28" s="86"/>
      <c r="C28" s="664"/>
    </row>
    <row r="29" spans="1:9" x14ac:dyDescent="0.25">
      <c r="A29" s="14"/>
      <c r="B29" s="86"/>
      <c r="C29" s="664"/>
      <c r="D29" s="86"/>
    </row>
    <row r="30" spans="1:9" x14ac:dyDescent="0.25">
      <c r="A30" s="14"/>
      <c r="B30" s="86"/>
      <c r="C30" s="664"/>
    </row>
    <row r="31" spans="1:9" ht="29.25" customHeight="1" x14ac:dyDescent="0.25">
      <c r="A31" s="918"/>
      <c r="B31" s="918"/>
      <c r="C31" s="918"/>
    </row>
    <row r="32" spans="1:9" x14ac:dyDescent="0.25">
      <c r="B32" s="11"/>
      <c r="C32" s="72"/>
    </row>
    <row r="33" spans="1:3" x14ac:dyDescent="0.25">
      <c r="B33" s="11"/>
      <c r="C33" s="72"/>
    </row>
    <row r="34" spans="1:3" x14ac:dyDescent="0.25">
      <c r="B34" s="11"/>
      <c r="C34" s="72"/>
    </row>
    <row r="35" spans="1:3" x14ac:dyDescent="0.25">
      <c r="A35" s="919"/>
      <c r="B35" s="919"/>
      <c r="C35" s="655"/>
    </row>
    <row r="36" spans="1:3" x14ac:dyDescent="0.25">
      <c r="A36" s="166"/>
      <c r="B36" s="11"/>
      <c r="C36" s="72"/>
    </row>
    <row r="37" spans="1:3" x14ac:dyDescent="0.25">
      <c r="B37" s="72"/>
      <c r="C37" s="72"/>
    </row>
    <row r="38" spans="1:3" x14ac:dyDescent="0.25">
      <c r="A38" s="589" t="s">
        <v>211</v>
      </c>
      <c r="B38" s="912" t="s">
        <v>426</v>
      </c>
      <c r="C38" s="912"/>
    </row>
    <row r="39" spans="1:3" x14ac:dyDescent="0.25">
      <c r="A39" s="165" t="s">
        <v>212</v>
      </c>
      <c r="B39" s="906" t="s">
        <v>214</v>
      </c>
      <c r="C39" s="906"/>
    </row>
    <row r="44" spans="1:3" hidden="1" x14ac:dyDescent="0.25">
      <c r="A44" s="909" t="s">
        <v>944</v>
      </c>
      <c r="B44" s="909"/>
      <c r="C44" s="653"/>
    </row>
    <row r="45" spans="1:3" hidden="1" x14ac:dyDescent="0.25">
      <c r="A45" s="906" t="s">
        <v>216</v>
      </c>
      <c r="B45" s="906"/>
      <c r="C45" s="653"/>
    </row>
    <row r="46" spans="1:3" hidden="1" x14ac:dyDescent="0.25"/>
    <row r="47" spans="1:3" hidden="1" x14ac:dyDescent="0.25">
      <c r="A47" s="909" t="s">
        <v>215</v>
      </c>
      <c r="B47" s="909"/>
      <c r="C47" s="653"/>
    </row>
    <row r="48" spans="1:3" hidden="1" x14ac:dyDescent="0.25">
      <c r="A48" s="906" t="s">
        <v>216</v>
      </c>
      <c r="B48" s="906"/>
      <c r="C48" s="653"/>
    </row>
    <row r="49" spans="1:3" hidden="1" x14ac:dyDescent="0.25">
      <c r="B49" s="11"/>
      <c r="C49" s="72"/>
    </row>
    <row r="50" spans="1:3" x14ac:dyDescent="0.25">
      <c r="A50" s="906" t="s">
        <v>944</v>
      </c>
      <c r="B50" s="906"/>
      <c r="C50" s="906"/>
    </row>
    <row r="51" spans="1:3" x14ac:dyDescent="0.25">
      <c r="A51" s="906" t="s">
        <v>216</v>
      </c>
      <c r="B51" s="906"/>
      <c r="C51" s="906"/>
    </row>
    <row r="52" spans="1:3" x14ac:dyDescent="0.25">
      <c r="A52" s="917"/>
      <c r="B52" s="917"/>
      <c r="C52" s="917"/>
    </row>
  </sheetData>
  <mergeCells count="17">
    <mergeCell ref="A6:C6"/>
    <mergeCell ref="B38:C38"/>
    <mergeCell ref="B39:C39"/>
    <mergeCell ref="A44:B44"/>
    <mergeCell ref="A52:C52"/>
    <mergeCell ref="A31:C31"/>
    <mergeCell ref="A47:B47"/>
    <mergeCell ref="A48:B48"/>
    <mergeCell ref="A35:B35"/>
    <mergeCell ref="A45:B45"/>
    <mergeCell ref="A51:C51"/>
    <mergeCell ref="A50:C50"/>
    <mergeCell ref="A3:C3"/>
    <mergeCell ref="A2:C2"/>
    <mergeCell ref="A1:C1"/>
    <mergeCell ref="A5:C5"/>
    <mergeCell ref="A4:C4"/>
  </mergeCells>
  <pageMargins left="0.70866141732283472" right="0.70866141732283472" top="0.74803149606299213" bottom="0.74803149606299213" header="0.31496062992125984" footer="0.31496062992125984"/>
  <pageSetup scale="7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4"/>
  <sheetViews>
    <sheetView topLeftCell="A7" zoomScale="91" zoomScaleNormal="91" zoomScaleSheetLayoutView="48" workbookViewId="0">
      <selection activeCell="D13" sqref="D13"/>
    </sheetView>
  </sheetViews>
  <sheetFormatPr baseColWidth="10" defaultColWidth="11.42578125" defaultRowHeight="18.75" x14ac:dyDescent="0.3"/>
  <cols>
    <col min="1" max="1" width="5.28515625" style="31" customWidth="1"/>
    <col min="2" max="2" width="45" style="31" customWidth="1"/>
    <col min="3" max="3" width="32.7109375" style="31" customWidth="1"/>
    <col min="4" max="4" width="27.140625" style="31" customWidth="1"/>
    <col min="5" max="5" width="23.140625" style="84" customWidth="1"/>
    <col min="6" max="6" width="31.42578125" style="566" bestFit="1" customWidth="1"/>
    <col min="7" max="7" width="21" style="31" bestFit="1" customWidth="1"/>
    <col min="8" max="16384" width="11.42578125" style="31"/>
  </cols>
  <sheetData>
    <row r="1" spans="1:8" x14ac:dyDescent="0.3">
      <c r="A1" s="913" t="s">
        <v>188</v>
      </c>
      <c r="B1" s="913"/>
      <c r="C1" s="913"/>
      <c r="D1" s="913"/>
      <c r="E1" s="913"/>
      <c r="F1" s="913"/>
    </row>
    <row r="2" spans="1:8" x14ac:dyDescent="0.3">
      <c r="A2" s="913" t="s">
        <v>54</v>
      </c>
      <c r="B2" s="913"/>
      <c r="C2" s="913"/>
      <c r="D2" s="913"/>
      <c r="E2" s="913"/>
      <c r="F2" s="913"/>
      <c r="G2" s="30"/>
      <c r="H2" s="30"/>
    </row>
    <row r="3" spans="1:8" s="8" customFormat="1" x14ac:dyDescent="0.25">
      <c r="A3" s="913" t="s">
        <v>4284</v>
      </c>
      <c r="B3" s="913"/>
      <c r="C3" s="913"/>
      <c r="D3" s="913"/>
      <c r="E3" s="913"/>
      <c r="F3" s="913"/>
    </row>
    <row r="4" spans="1:8" x14ac:dyDescent="0.3">
      <c r="A4" s="913" t="s">
        <v>46</v>
      </c>
      <c r="B4" s="913"/>
      <c r="C4" s="913"/>
      <c r="D4" s="913"/>
      <c r="E4" s="913"/>
      <c r="F4" s="913"/>
      <c r="G4" s="30"/>
      <c r="H4" s="30"/>
    </row>
    <row r="5" spans="1:8" x14ac:dyDescent="0.3">
      <c r="A5" s="922" t="s">
        <v>47</v>
      </c>
      <c r="B5" s="922"/>
      <c r="C5" s="922"/>
      <c r="D5" s="922"/>
      <c r="E5" s="922"/>
      <c r="F5" s="922"/>
      <c r="G5" s="32"/>
      <c r="H5" s="32"/>
    </row>
    <row r="6" spans="1:8" x14ac:dyDescent="0.3">
      <c r="A6" s="905"/>
      <c r="B6" s="905"/>
      <c r="C6" s="905"/>
      <c r="D6" s="905"/>
      <c r="E6" s="905"/>
      <c r="F6" s="905"/>
      <c r="G6" s="32"/>
      <c r="H6" s="32"/>
    </row>
    <row r="7" spans="1:8" ht="56.25" x14ac:dyDescent="0.3">
      <c r="A7" s="923" t="s">
        <v>62</v>
      </c>
      <c r="B7" s="923"/>
      <c r="C7" s="33" t="s">
        <v>63</v>
      </c>
      <c r="D7" s="33" t="s">
        <v>64</v>
      </c>
      <c r="E7" s="82" t="s">
        <v>55</v>
      </c>
      <c r="F7" s="563" t="s">
        <v>53</v>
      </c>
    </row>
    <row r="8" spans="1:8" x14ac:dyDescent="0.3">
      <c r="A8" s="34">
        <v>1</v>
      </c>
      <c r="B8" s="35" t="s">
        <v>65</v>
      </c>
      <c r="C8" s="563">
        <f>SUM(C9:C12)</f>
        <v>1504012021.3</v>
      </c>
      <c r="D8" s="563">
        <f>SUM(D9:D12)</f>
        <v>530998567.75999999</v>
      </c>
      <c r="E8" s="597">
        <f>+D8/C8</f>
        <v>0.35305473642493151</v>
      </c>
      <c r="F8" s="563">
        <f t="shared" ref="F8:F20" si="0">+C8-D8</f>
        <v>973013453.53999996</v>
      </c>
    </row>
    <row r="9" spans="1:8" x14ac:dyDescent="0.3">
      <c r="A9" s="36">
        <v>1.4</v>
      </c>
      <c r="B9" s="37" t="s">
        <v>3695</v>
      </c>
      <c r="C9" s="564">
        <f>1247948781</f>
        <v>1247948781</v>
      </c>
      <c r="D9" s="564">
        <f>+'NOTAS 7 AL19'!C71</f>
        <v>505753111.52999997</v>
      </c>
      <c r="E9" s="583">
        <f>+D9/C9</f>
        <v>0.40526752317890197</v>
      </c>
      <c r="F9" s="564">
        <f t="shared" si="0"/>
        <v>742195669.47000003</v>
      </c>
    </row>
    <row r="10" spans="1:8" x14ac:dyDescent="0.3">
      <c r="A10" s="36">
        <v>1.5</v>
      </c>
      <c r="B10" s="37" t="s">
        <v>66</v>
      </c>
      <c r="C10" s="564">
        <v>92836447</v>
      </c>
      <c r="D10" s="564">
        <f>+'NOTAS 7 AL19'!C67</f>
        <v>24062966.799999997</v>
      </c>
      <c r="E10" s="583">
        <f>+D10/C10</f>
        <v>0.25919741198195573</v>
      </c>
      <c r="F10" s="564">
        <f t="shared" si="0"/>
        <v>68773480.200000003</v>
      </c>
    </row>
    <row r="11" spans="1:8" x14ac:dyDescent="0.3">
      <c r="A11" s="36">
        <v>1.6</v>
      </c>
      <c r="B11" s="37" t="s">
        <v>67</v>
      </c>
      <c r="C11" s="564">
        <v>0</v>
      </c>
      <c r="D11" s="564">
        <f>+'NOTAS 7 AL19'!C75</f>
        <v>1182489.4300000002</v>
      </c>
      <c r="E11" s="583">
        <v>0</v>
      </c>
      <c r="F11" s="564">
        <f t="shared" si="0"/>
        <v>-1182489.4300000002</v>
      </c>
    </row>
    <row r="12" spans="1:8" x14ac:dyDescent="0.3">
      <c r="A12" s="36">
        <v>3.1</v>
      </c>
      <c r="B12" s="37" t="s">
        <v>3773</v>
      </c>
      <c r="C12" s="564">
        <v>163226793.30000001</v>
      </c>
      <c r="D12" s="564"/>
      <c r="E12" s="583"/>
      <c r="F12" s="564">
        <f>+C12-D12</f>
        <v>163226793.30000001</v>
      </c>
    </row>
    <row r="13" spans="1:8" x14ac:dyDescent="0.3">
      <c r="A13" s="34">
        <v>2</v>
      </c>
      <c r="B13" s="35" t="s">
        <v>68</v>
      </c>
      <c r="C13" s="563">
        <f>SUM(C14:C19)</f>
        <v>1504012021.3000002</v>
      </c>
      <c r="D13" s="563">
        <f>SUM(D14:D19)</f>
        <v>394752255.99000001</v>
      </c>
      <c r="E13" s="82">
        <f t="shared" ref="E13:E18" si="1">+D13/C13</f>
        <v>0.26246615745051954</v>
      </c>
      <c r="F13" s="563">
        <f t="shared" si="0"/>
        <v>1109259765.3100002</v>
      </c>
      <c r="G13" s="259"/>
    </row>
    <row r="14" spans="1:8" x14ac:dyDescent="0.3">
      <c r="A14" s="36">
        <v>2.1</v>
      </c>
      <c r="B14" s="37" t="s">
        <v>69</v>
      </c>
      <c r="C14" s="564">
        <f>844859288.58-5+10878647.92</f>
        <v>855737931.5</v>
      </c>
      <c r="D14" s="564">
        <f>+'NOTAS 7 AL19'!C95-0.01</f>
        <v>270348444.94000006</v>
      </c>
      <c r="E14" s="583">
        <f>+D14/C14</f>
        <v>0.31592434434466815</v>
      </c>
      <c r="F14" s="564">
        <f t="shared" si="0"/>
        <v>585389486.55999994</v>
      </c>
    </row>
    <row r="15" spans="1:8" x14ac:dyDescent="0.3">
      <c r="A15" s="36">
        <v>2.2000000000000002</v>
      </c>
      <c r="B15" s="37" t="s">
        <v>70</v>
      </c>
      <c r="C15" s="564">
        <f>50217379.13+18830480.56+14501912.25</f>
        <v>83549771.939999998</v>
      </c>
      <c r="D15" s="564">
        <f>+'NOTAS 7 AL19'!C133+'NOTAS 7 AL19'!C139</f>
        <v>19082295.829999998</v>
      </c>
      <c r="E15" s="583">
        <f>+D15/C15</f>
        <v>0.22839434970215908</v>
      </c>
      <c r="F15" s="564">
        <f t="shared" si="0"/>
        <v>64467476.109999999</v>
      </c>
    </row>
    <row r="16" spans="1:8" x14ac:dyDescent="0.3">
      <c r="A16" s="36">
        <v>2.2999999999999998</v>
      </c>
      <c r="B16" s="37" t="s">
        <v>71</v>
      </c>
      <c r="C16" s="564">
        <f>399408759.41+14501912.25</f>
        <v>413910671.66000003</v>
      </c>
      <c r="D16" s="564">
        <f>+'NOTAS 7 AL19'!C112</f>
        <v>76810203.300000012</v>
      </c>
      <c r="E16" s="583">
        <f>+D16/C16</f>
        <v>0.18557193268767533</v>
      </c>
      <c r="F16" s="564">
        <f t="shared" si="0"/>
        <v>337100468.36000001</v>
      </c>
    </row>
    <row r="17" spans="1:6" x14ac:dyDescent="0.3">
      <c r="A17" s="36">
        <v>2.4</v>
      </c>
      <c r="B17" s="37" t="s">
        <v>72</v>
      </c>
      <c r="C17" s="564">
        <v>685000</v>
      </c>
      <c r="D17" s="564">
        <f>+'NOTAS 7 AL19'!C99</f>
        <v>912359.7</v>
      </c>
      <c r="E17" s="583">
        <f t="shared" si="1"/>
        <v>1.3319119708029197</v>
      </c>
      <c r="F17" s="564">
        <f t="shared" si="0"/>
        <v>-227359.69999999995</v>
      </c>
    </row>
    <row r="18" spans="1:6" x14ac:dyDescent="0.3">
      <c r="A18" s="36">
        <v>2.6</v>
      </c>
      <c r="B18" s="37" t="s">
        <v>73</v>
      </c>
      <c r="C18" s="564">
        <f>135626733.94+14501912.26</f>
        <v>150128646.19999999</v>
      </c>
      <c r="D18" s="564">
        <f>+'NOTA 10'!E7</f>
        <v>27598952.219999999</v>
      </c>
      <c r="E18" s="583">
        <f t="shared" si="1"/>
        <v>0.18383535000530765</v>
      </c>
      <c r="F18" s="564">
        <f t="shared" si="0"/>
        <v>122529693.97999999</v>
      </c>
    </row>
    <row r="19" spans="1:6" x14ac:dyDescent="0.3">
      <c r="A19" s="36">
        <v>2.9</v>
      </c>
      <c r="B19" s="37" t="s">
        <v>24</v>
      </c>
      <c r="C19" s="564">
        <v>0</v>
      </c>
      <c r="D19" s="564">
        <v>0</v>
      </c>
      <c r="E19" s="583">
        <v>0</v>
      </c>
      <c r="F19" s="563">
        <f t="shared" si="0"/>
        <v>0</v>
      </c>
    </row>
    <row r="20" spans="1:6" ht="19.5" thickBot="1" x14ac:dyDescent="0.35">
      <c r="A20" s="38"/>
      <c r="B20" s="557" t="s">
        <v>74</v>
      </c>
      <c r="C20" s="634">
        <f>SUM(C8-C13)</f>
        <v>-2.384185791015625E-7</v>
      </c>
      <c r="D20" s="635">
        <f>+D8-D13</f>
        <v>136246311.76999998</v>
      </c>
      <c r="E20" s="636"/>
      <c r="F20" s="635">
        <f t="shared" si="0"/>
        <v>-136246311.77000022</v>
      </c>
    </row>
    <row r="21" spans="1:6" ht="19.5" thickTop="1" x14ac:dyDescent="0.3">
      <c r="A21" s="38"/>
      <c r="B21" s="557"/>
      <c r="C21" s="260"/>
      <c r="D21" s="260">
        <f>+D13-394752255.99</f>
        <v>0</v>
      </c>
      <c r="E21" s="83"/>
      <c r="F21" s="565"/>
    </row>
    <row r="22" spans="1:6" x14ac:dyDescent="0.3">
      <c r="A22" s="38"/>
      <c r="B22" s="557"/>
      <c r="C22" s="790"/>
      <c r="D22" s="56"/>
      <c r="E22" s="83"/>
      <c r="F22" s="565"/>
    </row>
    <row r="23" spans="1:6" ht="18.75" customHeight="1" x14ac:dyDescent="0.3">
      <c r="A23" s="924" t="s">
        <v>4120</v>
      </c>
      <c r="B23" s="924"/>
      <c r="C23" s="924"/>
      <c r="D23" s="924"/>
      <c r="E23" s="924"/>
      <c r="F23" s="924"/>
    </row>
    <row r="24" spans="1:6" x14ac:dyDescent="0.3">
      <c r="A24" s="924"/>
      <c r="B24" s="924"/>
      <c r="C24" s="924"/>
      <c r="D24" s="924"/>
      <c r="E24" s="924"/>
      <c r="F24" s="924"/>
    </row>
    <row r="25" spans="1:6" ht="12" customHeight="1" x14ac:dyDescent="0.3">
      <c r="A25" s="924"/>
      <c r="B25" s="924"/>
      <c r="C25" s="924"/>
      <c r="D25" s="924"/>
      <c r="E25" s="924"/>
      <c r="F25" s="924"/>
    </row>
    <row r="26" spans="1:6" s="8" customFormat="1" ht="15.75" hidden="1" x14ac:dyDescent="0.25">
      <c r="A26" s="924"/>
      <c r="B26" s="924"/>
      <c r="C26" s="924"/>
      <c r="D26" s="924"/>
      <c r="E26" s="924"/>
      <c r="F26" s="924"/>
    </row>
    <row r="27" spans="1:6" s="8" customFormat="1" ht="15.75" x14ac:dyDescent="0.25">
      <c r="A27" s="14"/>
      <c r="D27" s="86"/>
    </row>
    <row r="28" spans="1:6" s="8" customFormat="1" ht="15.75" x14ac:dyDescent="0.25">
      <c r="A28" s="14"/>
    </row>
    <row r="29" spans="1:6" s="8" customFormat="1" ht="15.75" hidden="1" x14ac:dyDescent="0.25">
      <c r="B29" s="567"/>
      <c r="C29" s="568"/>
      <c r="D29" s="567"/>
    </row>
    <row r="30" spans="1:6" s="8" customFormat="1" ht="15.75" hidden="1" x14ac:dyDescent="0.25">
      <c r="B30" s="567"/>
      <c r="C30" s="568"/>
      <c r="D30" s="567"/>
    </row>
    <row r="31" spans="1:6" s="8" customFormat="1" ht="15.75" hidden="1" x14ac:dyDescent="0.25">
      <c r="B31" s="567"/>
      <c r="C31" s="568"/>
      <c r="D31" s="567"/>
    </row>
    <row r="32" spans="1:6" s="8" customFormat="1" ht="15.75" hidden="1" x14ac:dyDescent="0.25">
      <c r="B32" s="567"/>
      <c r="C32" s="568"/>
      <c r="D32" s="567"/>
    </row>
    <row r="33" spans="1:6" s="8" customFormat="1" ht="15.75" hidden="1" x14ac:dyDescent="0.25">
      <c r="A33" s="919"/>
      <c r="B33" s="919"/>
      <c r="C33" s="919"/>
      <c r="D33" s="568"/>
    </row>
    <row r="34" spans="1:6" s="8" customFormat="1" ht="15.75" hidden="1" x14ac:dyDescent="0.25">
      <c r="A34" s="906"/>
      <c r="B34" s="906"/>
      <c r="C34" s="906"/>
      <c r="D34" s="97"/>
    </row>
    <row r="35" spans="1:6" s="8" customFormat="1" ht="15.75" hidden="1" x14ac:dyDescent="0.25">
      <c r="A35" s="906"/>
      <c r="B35" s="906"/>
      <c r="C35" s="906"/>
      <c r="D35" s="567"/>
    </row>
    <row r="36" spans="1:6" s="8" customFormat="1" ht="15.75" hidden="1" x14ac:dyDescent="0.25">
      <c r="B36" s="567"/>
      <c r="C36" s="568"/>
      <c r="D36" s="567"/>
    </row>
    <row r="37" spans="1:6" s="8" customFormat="1" ht="15.75" hidden="1" x14ac:dyDescent="0.25">
      <c r="B37" s="567"/>
      <c r="C37" s="568"/>
      <c r="D37" s="567"/>
    </row>
    <row r="38" spans="1:6" s="8" customFormat="1" ht="15.75" hidden="1" x14ac:dyDescent="0.25">
      <c r="B38" s="567"/>
      <c r="C38" s="568"/>
      <c r="D38" s="567"/>
    </row>
    <row r="39" spans="1:6" s="8" customFormat="1" ht="15.75" hidden="1" x14ac:dyDescent="0.25">
      <c r="B39" s="567"/>
      <c r="C39" s="568"/>
      <c r="D39" s="567"/>
    </row>
    <row r="40" spans="1:6" s="8" customFormat="1" ht="15.75" hidden="1" x14ac:dyDescent="0.25">
      <c r="B40" s="567"/>
      <c r="C40" s="568"/>
      <c r="D40" s="567"/>
    </row>
    <row r="41" spans="1:6" s="8" customFormat="1" ht="15.75" hidden="1" x14ac:dyDescent="0.25">
      <c r="A41" s="556"/>
      <c r="B41" s="568"/>
      <c r="C41" s="569"/>
      <c r="D41" s="569"/>
    </row>
    <row r="42" spans="1:6" s="8" customFormat="1" ht="15.75" hidden="1" x14ac:dyDescent="0.25">
      <c r="A42" s="909"/>
      <c r="B42" s="909"/>
      <c r="C42" s="920"/>
      <c r="D42" s="920"/>
    </row>
    <row r="43" spans="1:6" s="8" customFormat="1" ht="15.75" hidden="1" x14ac:dyDescent="0.25">
      <c r="A43" s="906"/>
      <c r="B43" s="906"/>
      <c r="C43" s="906"/>
      <c r="D43" s="906"/>
    </row>
    <row r="44" spans="1:6" x14ac:dyDescent="0.3">
      <c r="D44" s="259"/>
      <c r="F44" s="58"/>
    </row>
    <row r="45" spans="1:6" x14ac:dyDescent="0.3">
      <c r="F45" s="58"/>
    </row>
    <row r="46" spans="1:6" x14ac:dyDescent="0.3">
      <c r="A46" s="14"/>
      <c r="B46" s="8"/>
      <c r="C46" s="13"/>
      <c r="D46" s="13"/>
      <c r="E46" s="13"/>
      <c r="F46" s="13"/>
    </row>
    <row r="47" spans="1:6" x14ac:dyDescent="0.3">
      <c r="C47" s="675"/>
      <c r="D47" s="675"/>
      <c r="E47" s="676"/>
      <c r="F47" s="677"/>
    </row>
    <row r="48" spans="1:6" s="8" customFormat="1" ht="15.75" x14ac:dyDescent="0.25">
      <c r="A48" s="581"/>
      <c r="B48" s="57"/>
      <c r="C48" s="72"/>
      <c r="D48" s="13"/>
      <c r="E48" s="13"/>
      <c r="F48" s="13"/>
    </row>
    <row r="49" spans="1:6" s="8" customFormat="1" ht="15.75" x14ac:dyDescent="0.25">
      <c r="A49" s="909" t="s">
        <v>211</v>
      </c>
      <c r="B49" s="909"/>
      <c r="C49" s="846"/>
      <c r="D49" s="846"/>
      <c r="E49" s="848" t="s">
        <v>426</v>
      </c>
      <c r="F49" s="848"/>
    </row>
    <row r="50" spans="1:6" s="8" customFormat="1" ht="28.5" customHeight="1" x14ac:dyDescent="0.25">
      <c r="A50" s="921" t="s">
        <v>212</v>
      </c>
      <c r="B50" s="921"/>
      <c r="E50" s="906" t="s">
        <v>214</v>
      </c>
      <c r="F50" s="906"/>
    </row>
    <row r="51" spans="1:6" s="8" customFormat="1" ht="15.75" x14ac:dyDescent="0.25">
      <c r="E51" s="847"/>
      <c r="F51" s="847"/>
    </row>
    <row r="52" spans="1:6" s="8" customFormat="1" ht="15.75" x14ac:dyDescent="0.25"/>
    <row r="53" spans="1:6" s="8" customFormat="1" ht="15.75" x14ac:dyDescent="0.25"/>
    <row r="54" spans="1:6" s="8" customFormat="1" ht="15.75" x14ac:dyDescent="0.25"/>
    <row r="55" spans="1:6" s="8" customFormat="1" ht="15.75" hidden="1" x14ac:dyDescent="0.25">
      <c r="A55" s="909" t="s">
        <v>944</v>
      </c>
      <c r="B55" s="909"/>
    </row>
    <row r="56" spans="1:6" s="8" customFormat="1" ht="15.75" hidden="1" x14ac:dyDescent="0.25">
      <c r="A56" s="906" t="s">
        <v>216</v>
      </c>
      <c r="B56" s="906"/>
    </row>
    <row r="57" spans="1:6" s="8" customFormat="1" ht="15.75" hidden="1" x14ac:dyDescent="0.25"/>
    <row r="58" spans="1:6" s="8" customFormat="1" ht="15.75" hidden="1" x14ac:dyDescent="0.25">
      <c r="A58" s="909" t="s">
        <v>215</v>
      </c>
      <c r="B58" s="909"/>
    </row>
    <row r="59" spans="1:6" s="8" customFormat="1" ht="15.75" hidden="1" x14ac:dyDescent="0.25">
      <c r="A59" s="906" t="s">
        <v>216</v>
      </c>
      <c r="B59" s="906"/>
    </row>
    <row r="60" spans="1:6" s="8" customFormat="1" ht="15.75" hidden="1" x14ac:dyDescent="0.25">
      <c r="B60" s="11"/>
    </row>
    <row r="61" spans="1:6" s="8" customFormat="1" ht="15.75" x14ac:dyDescent="0.25">
      <c r="A61" s="906" t="s">
        <v>944</v>
      </c>
      <c r="B61" s="906"/>
      <c r="C61" s="906"/>
      <c r="D61" s="906"/>
      <c r="E61" s="906"/>
      <c r="F61" s="906"/>
    </row>
    <row r="62" spans="1:6" s="8" customFormat="1" ht="15.75" x14ac:dyDescent="0.25">
      <c r="A62" s="906" t="s">
        <v>216</v>
      </c>
      <c r="B62" s="906"/>
      <c r="C62" s="906"/>
      <c r="D62" s="906"/>
      <c r="E62" s="906"/>
      <c r="F62" s="906"/>
    </row>
    <row r="63" spans="1:6" s="8" customFormat="1" ht="15.75" x14ac:dyDescent="0.25">
      <c r="A63" s="917"/>
      <c r="B63" s="917"/>
      <c r="C63" s="917"/>
    </row>
    <row r="64" spans="1:6" s="8" customFormat="1" ht="15.75" x14ac:dyDescent="0.25"/>
  </sheetData>
  <mergeCells count="25">
    <mergeCell ref="A6:F6"/>
    <mergeCell ref="A7:B7"/>
    <mergeCell ref="A33:C33"/>
    <mergeCell ref="A34:C34"/>
    <mergeCell ref="A35:C35"/>
    <mergeCell ref="A23:F26"/>
    <mergeCell ref="A1:F1"/>
    <mergeCell ref="A2:F2"/>
    <mergeCell ref="A3:F3"/>
    <mergeCell ref="A4:F4"/>
    <mergeCell ref="A5:F5"/>
    <mergeCell ref="A59:B59"/>
    <mergeCell ref="A63:C63"/>
    <mergeCell ref="A55:B55"/>
    <mergeCell ref="A56:B56"/>
    <mergeCell ref="A58:B58"/>
    <mergeCell ref="A61:F61"/>
    <mergeCell ref="A62:F62"/>
    <mergeCell ref="A49:B49"/>
    <mergeCell ref="A43:B43"/>
    <mergeCell ref="C43:D43"/>
    <mergeCell ref="E50:F50"/>
    <mergeCell ref="A42:B42"/>
    <mergeCell ref="C42:D42"/>
    <mergeCell ref="A50:B50"/>
  </mergeCells>
  <pageMargins left="0.70866141732283472" right="0.70866141732283472" top="0.74803149606299213" bottom="0.74803149606299213" header="0.31496062992125984" footer="0.31496062992125984"/>
  <pageSetup scale="5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43"/>
  <sheetViews>
    <sheetView topLeftCell="B10" zoomScale="120" zoomScaleNormal="120" workbookViewId="0">
      <selection activeCell="B1" sqref="A1:XFD1048576"/>
    </sheetView>
  </sheetViews>
  <sheetFormatPr baseColWidth="10" defaultColWidth="11.42578125" defaultRowHeight="18.75" x14ac:dyDescent="0.3"/>
  <cols>
    <col min="1" max="1" width="11.5703125" style="31" customWidth="1"/>
    <col min="2" max="2" width="56.5703125" style="31" customWidth="1"/>
    <col min="3" max="3" width="23" style="31" customWidth="1"/>
    <col min="4" max="4" width="22.28515625" style="31" bestFit="1" customWidth="1"/>
    <col min="5" max="5" width="28.5703125" style="84" bestFit="1" customWidth="1"/>
    <col min="6" max="6" width="22.28515625" style="58" bestFit="1" customWidth="1"/>
    <col min="7" max="16384" width="11.42578125" style="31"/>
  </cols>
  <sheetData>
    <row r="1" spans="1:8" x14ac:dyDescent="0.3">
      <c r="A1" s="913" t="s">
        <v>188</v>
      </c>
      <c r="B1" s="913"/>
      <c r="C1" s="913"/>
      <c r="D1" s="913"/>
      <c r="E1" s="913"/>
      <c r="F1" s="913"/>
    </row>
    <row r="2" spans="1:8" x14ac:dyDescent="0.3">
      <c r="A2" s="913" t="s">
        <v>54</v>
      </c>
      <c r="B2" s="913"/>
      <c r="C2" s="913"/>
      <c r="D2" s="913"/>
      <c r="E2" s="913"/>
      <c r="F2" s="913"/>
      <c r="G2" s="30"/>
      <c r="H2" s="30"/>
    </row>
    <row r="3" spans="1:8" s="8" customFormat="1" x14ac:dyDescent="0.25">
      <c r="A3" s="913" t="s">
        <v>436</v>
      </c>
      <c r="B3" s="913"/>
      <c r="C3" s="913"/>
      <c r="D3" s="913"/>
      <c r="E3" s="913"/>
      <c r="F3" s="913"/>
    </row>
    <row r="4" spans="1:8" x14ac:dyDescent="0.3">
      <c r="A4" s="913" t="s">
        <v>46</v>
      </c>
      <c r="B4" s="913"/>
      <c r="C4" s="913"/>
      <c r="D4" s="913"/>
      <c r="E4" s="913"/>
      <c r="F4" s="913"/>
      <c r="G4" s="30"/>
      <c r="H4" s="30"/>
    </row>
    <row r="5" spans="1:8" x14ac:dyDescent="0.3">
      <c r="A5" s="922" t="s">
        <v>47</v>
      </c>
      <c r="B5" s="922"/>
      <c r="C5" s="922"/>
      <c r="D5" s="922"/>
      <c r="E5" s="922"/>
      <c r="F5" s="922"/>
      <c r="G5" s="32"/>
      <c r="H5" s="32"/>
    </row>
    <row r="6" spans="1:8" ht="37.5" x14ac:dyDescent="0.3">
      <c r="A6" s="923" t="s">
        <v>62</v>
      </c>
      <c r="B6" s="923"/>
      <c r="C6" s="33" t="s">
        <v>63</v>
      </c>
      <c r="D6" s="33" t="s">
        <v>64</v>
      </c>
      <c r="E6" s="82" t="s">
        <v>55</v>
      </c>
      <c r="F6" s="54" t="s">
        <v>53</v>
      </c>
    </row>
    <row r="7" spans="1:8" x14ac:dyDescent="0.3">
      <c r="A7" s="34">
        <v>1</v>
      </c>
      <c r="B7" s="35" t="s">
        <v>65</v>
      </c>
      <c r="C7" s="54">
        <f>SUM(C8:C9)</f>
        <v>382324178.90999997</v>
      </c>
      <c r="D7" s="54">
        <f>SUM(D8:D9)</f>
        <v>25245456.229999997</v>
      </c>
      <c r="E7" s="82">
        <f>+D7/C7</f>
        <v>6.6031545014951398E-2</v>
      </c>
      <c r="F7" s="54">
        <f>+C7-D7</f>
        <v>357078722.67999995</v>
      </c>
    </row>
    <row r="8" spans="1:8" x14ac:dyDescent="0.3">
      <c r="A8" s="36">
        <v>1.5</v>
      </c>
      <c r="B8" s="37" t="s">
        <v>66</v>
      </c>
      <c r="C8" s="55">
        <f>130171600+3720000</f>
        <v>133891600</v>
      </c>
      <c r="D8" s="55">
        <f>+'NOTAS 7 AL19'!C67+'NOTAS 7 AL19'!C79</f>
        <v>24062966.799999997</v>
      </c>
      <c r="E8" s="82">
        <f t="shared" ref="E8:E15" si="0">+D8/C8</f>
        <v>0.17971976434668044</v>
      </c>
      <c r="F8" s="55">
        <f>+C8-D8</f>
        <v>109828633.2</v>
      </c>
    </row>
    <row r="9" spans="1:8" x14ac:dyDescent="0.3">
      <c r="A9" s="36">
        <v>1.6</v>
      </c>
      <c r="B9" s="37" t="s">
        <v>67</v>
      </c>
      <c r="C9" s="55">
        <v>248432578.91</v>
      </c>
      <c r="D9" s="55">
        <f>+'NOTAS 7 AL19'!C75</f>
        <v>1182489.4300000002</v>
      </c>
      <c r="E9" s="82">
        <f t="shared" si="0"/>
        <v>4.759800164649026E-3</v>
      </c>
      <c r="F9" s="55">
        <f>+C9-D9</f>
        <v>247250089.47999999</v>
      </c>
    </row>
    <row r="10" spans="1:8" x14ac:dyDescent="0.3">
      <c r="A10" s="34">
        <v>2</v>
      </c>
      <c r="B10" s="35" t="s">
        <v>68</v>
      </c>
      <c r="C10" s="54">
        <f>SUM(C11:C16)</f>
        <v>326777663.94</v>
      </c>
      <c r="D10" s="54" t="e">
        <f>SUM(D11:D16)</f>
        <v>#REF!</v>
      </c>
      <c r="E10" s="82" t="e">
        <f t="shared" si="0"/>
        <v>#REF!</v>
      </c>
      <c r="F10" s="54" t="e">
        <f>SUM(F11:F16)</f>
        <v>#REF!</v>
      </c>
    </row>
    <row r="11" spans="1:8" x14ac:dyDescent="0.3">
      <c r="A11" s="36">
        <v>2.1</v>
      </c>
      <c r="B11" s="37" t="s">
        <v>69</v>
      </c>
      <c r="C11" s="55">
        <v>13017160</v>
      </c>
      <c r="D11" s="55">
        <f>+'NOTAS 7 AL19'!C95</f>
        <v>270348444.95000005</v>
      </c>
      <c r="E11" s="82">
        <f>+D11/C11</f>
        <v>20.768619648986419</v>
      </c>
      <c r="F11" s="55">
        <f t="shared" ref="F11:F16" si="1">+C11-D11</f>
        <v>-257331284.95000005</v>
      </c>
    </row>
    <row r="12" spans="1:8" x14ac:dyDescent="0.3">
      <c r="A12" s="36">
        <v>2.2000000000000002</v>
      </c>
      <c r="B12" s="37" t="s">
        <v>70</v>
      </c>
      <c r="C12" s="55">
        <f>199200+16959031.71</f>
        <v>17158231.710000001</v>
      </c>
      <c r="D12" s="55" t="e">
        <f>+'NOTAS 7 AL19'!C133-'NOTAS 7 AL19'!#REF!</f>
        <v>#REF!</v>
      </c>
      <c r="E12" s="82" t="e">
        <f>+D12/C12</f>
        <v>#REF!</v>
      </c>
      <c r="F12" s="55" t="e">
        <f t="shared" si="1"/>
        <v>#REF!</v>
      </c>
    </row>
    <row r="13" spans="1:8" x14ac:dyDescent="0.3">
      <c r="A13" s="36">
        <v>2.2999999999999998</v>
      </c>
      <c r="B13" s="37" t="s">
        <v>71</v>
      </c>
      <c r="C13" s="55">
        <f>37000800+195705730</f>
        <v>232706530</v>
      </c>
      <c r="D13" s="55">
        <f>+'NOTAS 7 AL19'!C112</f>
        <v>76810203.300000012</v>
      </c>
      <c r="E13" s="82">
        <f>+D13/C13</f>
        <v>0.33007326137345616</v>
      </c>
      <c r="F13" s="55">
        <f t="shared" si="1"/>
        <v>155896326.69999999</v>
      </c>
    </row>
    <row r="14" spans="1:8" x14ac:dyDescent="0.3">
      <c r="A14" s="36">
        <v>2.4</v>
      </c>
      <c r="B14" s="37" t="s">
        <v>72</v>
      </c>
      <c r="C14" s="55">
        <v>36000</v>
      </c>
      <c r="D14" s="55" t="e">
        <f>+'NOTAS 7 AL19'!#REF!</f>
        <v>#REF!</v>
      </c>
      <c r="E14" s="82" t="e">
        <f t="shared" si="0"/>
        <v>#REF!</v>
      </c>
      <c r="F14" s="55" t="e">
        <f t="shared" si="1"/>
        <v>#REF!</v>
      </c>
    </row>
    <row r="15" spans="1:8" x14ac:dyDescent="0.3">
      <c r="A15" s="36">
        <v>2.6</v>
      </c>
      <c r="B15" s="37" t="s">
        <v>73</v>
      </c>
      <c r="C15" s="55">
        <v>63859742.229999997</v>
      </c>
      <c r="D15" s="55">
        <f>+'NOTA 10'!E7+'NOTA 10'!F7</f>
        <v>27598952.219999999</v>
      </c>
      <c r="E15" s="82">
        <f t="shared" si="0"/>
        <v>0.43218076453547877</v>
      </c>
      <c r="F15" s="55">
        <f t="shared" si="1"/>
        <v>36260790.009999998</v>
      </c>
    </row>
    <row r="16" spans="1:8" x14ac:dyDescent="0.3">
      <c r="A16" s="36">
        <v>2.9</v>
      </c>
      <c r="B16" s="37" t="s">
        <v>24</v>
      </c>
      <c r="C16" s="55">
        <v>0</v>
      </c>
      <c r="D16" s="55">
        <f>+'NOTAS 7 AL19'!C139</f>
        <v>50054.14</v>
      </c>
      <c r="E16" s="82">
        <v>0</v>
      </c>
      <c r="F16" s="55">
        <f t="shared" si="1"/>
        <v>-50054.14</v>
      </c>
    </row>
    <row r="17" spans="1:6" x14ac:dyDescent="0.3">
      <c r="A17" s="38"/>
      <c r="B17" s="105" t="s">
        <v>74</v>
      </c>
      <c r="C17" s="56">
        <f>SUM(C7-C10)</f>
        <v>55546514.969999969</v>
      </c>
      <c r="D17" s="56" t="e">
        <f>+D7-D10</f>
        <v>#REF!</v>
      </c>
      <c r="E17" s="82"/>
      <c r="F17" s="56" t="e">
        <f>SUM(F7-F10)</f>
        <v>#REF!</v>
      </c>
    </row>
    <row r="18" spans="1:6" x14ac:dyDescent="0.3">
      <c r="A18" s="38"/>
      <c r="B18" s="105"/>
      <c r="C18" s="39"/>
      <c r="D18" s="260"/>
      <c r="E18" s="83"/>
      <c r="F18" s="56"/>
    </row>
    <row r="19" spans="1:6" x14ac:dyDescent="0.3">
      <c r="A19" s="38"/>
      <c r="B19" s="105"/>
      <c r="C19" s="39"/>
      <c r="D19" s="39"/>
      <c r="E19" s="83"/>
      <c r="F19" s="56"/>
    </row>
    <row r="20" spans="1:6" x14ac:dyDescent="0.3">
      <c r="A20" s="38"/>
      <c r="B20" s="105"/>
      <c r="C20" s="39"/>
      <c r="D20" s="39"/>
      <c r="E20" s="83"/>
      <c r="F20" s="56"/>
    </row>
    <row r="21" spans="1:6" x14ac:dyDescent="0.3">
      <c r="D21" s="259"/>
    </row>
    <row r="23" spans="1:6" s="8" customFormat="1" ht="15.75" x14ac:dyDescent="0.25">
      <c r="A23" s="14" t="s">
        <v>217</v>
      </c>
    </row>
    <row r="24" spans="1:6" s="8" customFormat="1" ht="15.75" x14ac:dyDescent="0.25">
      <c r="A24" s="14"/>
    </row>
    <row r="25" spans="1:6" s="8" customFormat="1" ht="15.75" x14ac:dyDescent="0.25">
      <c r="A25" s="14"/>
    </row>
    <row r="26" spans="1:6" s="8" customFormat="1" ht="15.75" hidden="1" x14ac:dyDescent="0.25">
      <c r="B26" s="11"/>
      <c r="C26" s="72"/>
      <c r="D26" s="11"/>
    </row>
    <row r="27" spans="1:6" s="8" customFormat="1" ht="15.75" hidden="1" x14ac:dyDescent="0.25">
      <c r="B27" s="11"/>
      <c r="C27" s="72"/>
      <c r="D27" s="11"/>
    </row>
    <row r="28" spans="1:6" s="8" customFormat="1" ht="15.75" hidden="1" x14ac:dyDescent="0.25">
      <c r="B28" s="11"/>
      <c r="C28" s="72"/>
      <c r="D28" s="11"/>
    </row>
    <row r="29" spans="1:6" s="8" customFormat="1" ht="15.75" hidden="1" x14ac:dyDescent="0.25">
      <c r="B29" s="11"/>
      <c r="C29" s="72"/>
      <c r="D29" s="11"/>
    </row>
    <row r="30" spans="1:6" s="8" customFormat="1" ht="15.75" hidden="1" x14ac:dyDescent="0.25">
      <c r="A30" s="919"/>
      <c r="B30" s="919"/>
      <c r="C30" s="919"/>
      <c r="D30" s="72"/>
    </row>
    <row r="31" spans="1:6" s="8" customFormat="1" ht="15.75" hidden="1" x14ac:dyDescent="0.25">
      <c r="A31" s="906"/>
      <c r="B31" s="906"/>
      <c r="C31" s="906"/>
      <c r="D31" s="97"/>
    </row>
    <row r="32" spans="1:6" s="8" customFormat="1" ht="15.75" hidden="1" x14ac:dyDescent="0.25">
      <c r="A32" s="906"/>
      <c r="B32" s="906"/>
      <c r="C32" s="906"/>
      <c r="D32" s="11"/>
    </row>
    <row r="33" spans="1:4" s="8" customFormat="1" ht="15.75" hidden="1" x14ac:dyDescent="0.25">
      <c r="B33" s="11"/>
      <c r="C33" s="72"/>
      <c r="D33" s="11"/>
    </row>
    <row r="34" spans="1:4" s="8" customFormat="1" ht="15.75" hidden="1" x14ac:dyDescent="0.25">
      <c r="B34" s="11"/>
      <c r="C34" s="72"/>
      <c r="D34" s="11"/>
    </row>
    <row r="35" spans="1:4" s="8" customFormat="1" ht="15.75" hidden="1" x14ac:dyDescent="0.25">
      <c r="B35" s="11"/>
      <c r="C35" s="72"/>
      <c r="D35" s="11"/>
    </row>
    <row r="36" spans="1:4" s="8" customFormat="1" ht="15.75" hidden="1" x14ac:dyDescent="0.25">
      <c r="B36" s="11"/>
      <c r="C36" s="72"/>
      <c r="D36" s="11"/>
    </row>
    <row r="37" spans="1:4" s="8" customFormat="1" ht="15.75" hidden="1" x14ac:dyDescent="0.25">
      <c r="B37" s="11"/>
      <c r="C37" s="72"/>
      <c r="D37" s="11"/>
    </row>
    <row r="38" spans="1:4" s="8" customFormat="1" ht="15.75" hidden="1" x14ac:dyDescent="0.25">
      <c r="A38" s="104"/>
      <c r="B38" s="72"/>
      <c r="C38" s="57"/>
      <c r="D38" s="57"/>
    </row>
    <row r="39" spans="1:4" s="8" customFormat="1" ht="15.75" hidden="1" x14ac:dyDescent="0.25">
      <c r="A39" s="909"/>
      <c r="B39" s="909"/>
      <c r="C39" s="912"/>
      <c r="D39" s="912"/>
    </row>
    <row r="40" spans="1:4" s="8" customFormat="1" ht="15.75" hidden="1" x14ac:dyDescent="0.25">
      <c r="A40" s="906"/>
      <c r="B40" s="906"/>
      <c r="C40" s="906"/>
      <c r="D40" s="906"/>
    </row>
    <row r="41" spans="1:4" s="8" customFormat="1" ht="15.75" x14ac:dyDescent="0.25">
      <c r="C41" s="13"/>
    </row>
    <row r="42" spans="1:4" s="8" customFormat="1" ht="15.75" x14ac:dyDescent="0.25"/>
    <row r="43" spans="1:4" s="8" customFormat="1" ht="15.75" x14ac:dyDescent="0.25"/>
  </sheetData>
  <mergeCells count="13">
    <mergeCell ref="A39:B39"/>
    <mergeCell ref="A40:B40"/>
    <mergeCell ref="C39:D39"/>
    <mergeCell ref="C40:D40"/>
    <mergeCell ref="A1:F1"/>
    <mergeCell ref="A30:C30"/>
    <mergeCell ref="A31:C31"/>
    <mergeCell ref="A32:C32"/>
    <mergeCell ref="A2:F2"/>
    <mergeCell ref="A3:F3"/>
    <mergeCell ref="A4:F4"/>
    <mergeCell ref="A5:F5"/>
    <mergeCell ref="A6:B6"/>
  </mergeCells>
  <pageMargins left="0.70866141732283472" right="0.70866141732283472" top="0.74803149606299213" bottom="0.74803149606299213" header="0.31496062992125984" footer="0.31496062992125984"/>
  <pageSetup scale="48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622"/>
  <sheetViews>
    <sheetView topLeftCell="AB1066" workbookViewId="0">
      <selection activeCell="AG1088" sqref="AG1088"/>
    </sheetView>
  </sheetViews>
  <sheetFormatPr baseColWidth="10" defaultColWidth="10.7109375" defaultRowHeight="15" x14ac:dyDescent="0.25"/>
  <cols>
    <col min="28" max="28" width="20.85546875" customWidth="1"/>
    <col min="30" max="30" width="40.7109375" customWidth="1"/>
    <col min="32" max="32" width="17.42578125" customWidth="1"/>
    <col min="33" max="33" width="23.85546875" customWidth="1"/>
    <col min="34" max="34" width="20.7109375" customWidth="1"/>
    <col min="35" max="35" width="16.7109375" style="469" bestFit="1" customWidth="1"/>
  </cols>
  <sheetData>
    <row r="1" spans="1:34" ht="15.75" x14ac:dyDescent="0.25">
      <c r="A1" s="571" t="s">
        <v>2185</v>
      </c>
      <c r="B1" s="571" t="s">
        <v>2186</v>
      </c>
      <c r="C1" s="571" t="s">
        <v>2187</v>
      </c>
      <c r="D1" s="571" t="s">
        <v>2188</v>
      </c>
      <c r="E1" s="571" t="s">
        <v>2189</v>
      </c>
      <c r="F1" s="571" t="s">
        <v>2190</v>
      </c>
      <c r="G1" s="571" t="s">
        <v>2191</v>
      </c>
      <c r="H1" s="571" t="s">
        <v>2192</v>
      </c>
      <c r="I1" s="571" t="s">
        <v>2193</v>
      </c>
      <c r="J1" s="571" t="s">
        <v>2194</v>
      </c>
      <c r="K1" s="571" t="s">
        <v>2195</v>
      </c>
      <c r="L1" s="571" t="s">
        <v>2196</v>
      </c>
      <c r="M1" s="571" t="s">
        <v>2197</v>
      </c>
      <c r="N1" s="571" t="s">
        <v>2198</v>
      </c>
      <c r="O1" s="571" t="s">
        <v>2199</v>
      </c>
      <c r="P1" s="571" t="s">
        <v>2200</v>
      </c>
      <c r="Q1" s="571" t="s">
        <v>2201</v>
      </c>
      <c r="R1" s="571" t="s">
        <v>2202</v>
      </c>
      <c r="S1" s="571" t="s">
        <v>2203</v>
      </c>
      <c r="T1" s="571" t="s">
        <v>2204</v>
      </c>
      <c r="U1" s="571" t="s">
        <v>2205</v>
      </c>
      <c r="V1" s="571" t="s">
        <v>2206</v>
      </c>
      <c r="W1" s="571" t="s">
        <v>2207</v>
      </c>
      <c r="X1" s="571" t="s">
        <v>2208</v>
      </c>
      <c r="Y1" s="571" t="s">
        <v>2209</v>
      </c>
      <c r="Z1" s="571" t="s">
        <v>2210</v>
      </c>
      <c r="AA1" s="571" t="s">
        <v>2211</v>
      </c>
      <c r="AB1" s="571" t="s">
        <v>2212</v>
      </c>
      <c r="AC1" s="572" t="s">
        <v>2213</v>
      </c>
      <c r="AD1" s="571" t="s">
        <v>2214</v>
      </c>
      <c r="AE1" s="571" t="s">
        <v>2215</v>
      </c>
      <c r="AF1" s="571" t="s">
        <v>2216</v>
      </c>
      <c r="AG1" s="573" t="s">
        <v>2217</v>
      </c>
      <c r="AH1" s="573" t="s">
        <v>2218</v>
      </c>
    </row>
    <row r="2" spans="1:34" x14ac:dyDescent="0.25">
      <c r="A2" s="574" t="s">
        <v>2219</v>
      </c>
      <c r="B2" s="574" t="s">
        <v>2220</v>
      </c>
      <c r="C2" s="574" t="s">
        <v>2221</v>
      </c>
      <c r="D2" s="574" t="s">
        <v>2220</v>
      </c>
      <c r="E2" s="574" t="s">
        <v>2222</v>
      </c>
      <c r="F2" s="574" t="s">
        <v>2223</v>
      </c>
      <c r="G2" s="574" t="s">
        <v>2224</v>
      </c>
      <c r="H2" s="574" t="s">
        <v>2225</v>
      </c>
      <c r="I2" s="574" t="s">
        <v>2226</v>
      </c>
      <c r="J2" s="574" t="s">
        <v>2227</v>
      </c>
      <c r="K2" s="574" t="s">
        <v>2228</v>
      </c>
      <c r="L2" s="574" t="s">
        <v>2229</v>
      </c>
      <c r="M2" s="574" t="s">
        <v>2230</v>
      </c>
      <c r="N2" s="574" t="s">
        <v>2231</v>
      </c>
      <c r="O2" s="574" t="s">
        <v>2232</v>
      </c>
      <c r="P2" s="574" t="s">
        <v>2233</v>
      </c>
      <c r="Q2" s="574" t="s">
        <v>2234</v>
      </c>
      <c r="R2" s="574" t="s">
        <v>2225</v>
      </c>
      <c r="S2" s="574" t="s">
        <v>2235</v>
      </c>
      <c r="T2" s="574" t="s">
        <v>2236</v>
      </c>
      <c r="U2" s="574" t="s">
        <v>2237</v>
      </c>
      <c r="V2" s="574" t="s">
        <v>2238</v>
      </c>
      <c r="W2" s="574" t="s">
        <v>2239</v>
      </c>
      <c r="X2" s="574" t="s">
        <v>2240</v>
      </c>
      <c r="Y2" s="575" t="s">
        <v>2241</v>
      </c>
      <c r="Z2" s="575" t="s">
        <v>2241</v>
      </c>
      <c r="AA2" s="574" t="s">
        <v>2242</v>
      </c>
      <c r="AB2" s="574" t="s">
        <v>2243</v>
      </c>
      <c r="AC2" s="574" t="s">
        <v>2244</v>
      </c>
      <c r="AD2" s="574" t="s">
        <v>2245</v>
      </c>
      <c r="AE2" s="574" t="s">
        <v>2246</v>
      </c>
      <c r="AF2" s="574" t="s">
        <v>2247</v>
      </c>
      <c r="AG2" s="576">
        <v>0</v>
      </c>
      <c r="AH2" s="576">
        <v>47719055.439999998</v>
      </c>
    </row>
    <row r="3" spans="1:34" x14ac:dyDescent="0.25">
      <c r="A3" s="574" t="s">
        <v>2219</v>
      </c>
      <c r="B3" s="574" t="s">
        <v>2220</v>
      </c>
      <c r="C3" s="574" t="s">
        <v>2221</v>
      </c>
      <c r="D3" s="574" t="s">
        <v>2220</v>
      </c>
      <c r="E3" s="574" t="s">
        <v>2222</v>
      </c>
      <c r="F3" s="574" t="s">
        <v>2223</v>
      </c>
      <c r="G3" s="574" t="s">
        <v>2224</v>
      </c>
      <c r="H3" s="574" t="s">
        <v>2225</v>
      </c>
      <c r="I3" s="574" t="s">
        <v>2226</v>
      </c>
      <c r="J3" s="574" t="s">
        <v>2227</v>
      </c>
      <c r="K3" s="574" t="s">
        <v>2228</v>
      </c>
      <c r="L3" s="574" t="s">
        <v>2229</v>
      </c>
      <c r="M3" s="574" t="s">
        <v>2230</v>
      </c>
      <c r="N3" s="574" t="s">
        <v>2231</v>
      </c>
      <c r="O3" s="574" t="s">
        <v>2232</v>
      </c>
      <c r="P3" s="574" t="s">
        <v>2233</v>
      </c>
      <c r="Q3" s="574" t="s">
        <v>2234</v>
      </c>
      <c r="R3" s="574" t="s">
        <v>2225</v>
      </c>
      <c r="S3" s="574" t="s">
        <v>2235</v>
      </c>
      <c r="T3" s="574" t="s">
        <v>2236</v>
      </c>
      <c r="U3" s="574" t="s">
        <v>2237</v>
      </c>
      <c r="V3" s="574" t="s">
        <v>2238</v>
      </c>
      <c r="W3" s="574" t="s">
        <v>2239</v>
      </c>
      <c r="X3" s="574" t="s">
        <v>2240</v>
      </c>
      <c r="Y3" s="575" t="s">
        <v>2241</v>
      </c>
      <c r="Z3" s="575" t="s">
        <v>2241</v>
      </c>
      <c r="AA3" s="574" t="s">
        <v>2248</v>
      </c>
      <c r="AB3" s="574" t="s">
        <v>2249</v>
      </c>
      <c r="AC3" s="574" t="s">
        <v>2250</v>
      </c>
      <c r="AD3" s="574" t="s">
        <v>2251</v>
      </c>
      <c r="AE3" s="574" t="s">
        <v>2252</v>
      </c>
      <c r="AF3" s="574" t="s">
        <v>2251</v>
      </c>
      <c r="AG3" s="576">
        <v>0</v>
      </c>
      <c r="AH3" s="576">
        <v>2561925.41</v>
      </c>
    </row>
    <row r="4" spans="1:34" x14ac:dyDescent="0.25">
      <c r="A4" s="574" t="s">
        <v>2219</v>
      </c>
      <c r="B4" s="574" t="s">
        <v>2220</v>
      </c>
      <c r="C4" s="574" t="s">
        <v>2221</v>
      </c>
      <c r="D4" s="574" t="s">
        <v>2220</v>
      </c>
      <c r="E4" s="574" t="s">
        <v>2222</v>
      </c>
      <c r="F4" s="574" t="s">
        <v>2223</v>
      </c>
      <c r="G4" s="574" t="s">
        <v>2224</v>
      </c>
      <c r="H4" s="574" t="s">
        <v>2225</v>
      </c>
      <c r="I4" s="574" t="s">
        <v>2226</v>
      </c>
      <c r="J4" s="574" t="s">
        <v>2227</v>
      </c>
      <c r="K4" s="574" t="s">
        <v>2228</v>
      </c>
      <c r="L4" s="574" t="s">
        <v>2229</v>
      </c>
      <c r="M4" s="574" t="s">
        <v>2230</v>
      </c>
      <c r="N4" s="574" t="s">
        <v>2231</v>
      </c>
      <c r="O4" s="574" t="s">
        <v>2232</v>
      </c>
      <c r="P4" s="574" t="s">
        <v>2233</v>
      </c>
      <c r="Q4" s="574" t="s">
        <v>2234</v>
      </c>
      <c r="R4" s="574" t="s">
        <v>2225</v>
      </c>
      <c r="S4" s="574" t="s">
        <v>2235</v>
      </c>
      <c r="T4" s="574" t="s">
        <v>2236</v>
      </c>
      <c r="U4" s="574" t="s">
        <v>2237</v>
      </c>
      <c r="V4" s="574" t="s">
        <v>2238</v>
      </c>
      <c r="W4" s="574" t="s">
        <v>2239</v>
      </c>
      <c r="X4" s="574" t="s">
        <v>2240</v>
      </c>
      <c r="Y4" s="575" t="s">
        <v>2241</v>
      </c>
      <c r="Z4" s="575" t="s">
        <v>2241</v>
      </c>
      <c r="AA4" s="574" t="s">
        <v>2248</v>
      </c>
      <c r="AB4" s="574" t="s">
        <v>2249</v>
      </c>
      <c r="AC4" s="574" t="s">
        <v>2253</v>
      </c>
      <c r="AD4" s="574" t="s">
        <v>2254</v>
      </c>
      <c r="AE4" s="574" t="s">
        <v>2255</v>
      </c>
      <c r="AF4" s="574" t="s">
        <v>2256</v>
      </c>
      <c r="AG4" s="576">
        <v>0</v>
      </c>
      <c r="AH4" s="576">
        <v>396000</v>
      </c>
    </row>
    <row r="5" spans="1:34" x14ac:dyDescent="0.25">
      <c r="A5" s="574" t="s">
        <v>2219</v>
      </c>
      <c r="B5" s="574" t="s">
        <v>2220</v>
      </c>
      <c r="C5" s="574" t="s">
        <v>2221</v>
      </c>
      <c r="D5" s="574" t="s">
        <v>2220</v>
      </c>
      <c r="E5" s="574" t="s">
        <v>2222</v>
      </c>
      <c r="F5" s="574" t="s">
        <v>2223</v>
      </c>
      <c r="G5" s="574" t="s">
        <v>2224</v>
      </c>
      <c r="H5" s="574" t="s">
        <v>2225</v>
      </c>
      <c r="I5" s="574" t="s">
        <v>2226</v>
      </c>
      <c r="J5" s="574" t="s">
        <v>2227</v>
      </c>
      <c r="K5" s="574" t="s">
        <v>2228</v>
      </c>
      <c r="L5" s="574" t="s">
        <v>2229</v>
      </c>
      <c r="M5" s="574" t="s">
        <v>2230</v>
      </c>
      <c r="N5" s="574" t="s">
        <v>2231</v>
      </c>
      <c r="O5" s="574" t="s">
        <v>2232</v>
      </c>
      <c r="P5" s="574" t="s">
        <v>2233</v>
      </c>
      <c r="Q5" s="574" t="s">
        <v>2234</v>
      </c>
      <c r="R5" s="574" t="s">
        <v>2225</v>
      </c>
      <c r="S5" s="574" t="s">
        <v>2235</v>
      </c>
      <c r="T5" s="574" t="s">
        <v>2236</v>
      </c>
      <c r="U5" s="574" t="s">
        <v>2237</v>
      </c>
      <c r="V5" s="574" t="s">
        <v>2238</v>
      </c>
      <c r="W5" s="574" t="s">
        <v>2239</v>
      </c>
      <c r="X5" s="574" t="s">
        <v>2240</v>
      </c>
      <c r="Y5" s="575" t="s">
        <v>2241</v>
      </c>
      <c r="Z5" s="575" t="s">
        <v>2241</v>
      </c>
      <c r="AA5" s="574" t="s">
        <v>2248</v>
      </c>
      <c r="AB5" s="574" t="s">
        <v>2249</v>
      </c>
      <c r="AC5" s="574" t="s">
        <v>2253</v>
      </c>
      <c r="AD5" s="574" t="s">
        <v>2254</v>
      </c>
      <c r="AE5" s="574" t="s">
        <v>2257</v>
      </c>
      <c r="AF5" s="574" t="s">
        <v>2258</v>
      </c>
      <c r="AG5" s="576">
        <v>0</v>
      </c>
      <c r="AH5" s="576">
        <v>10717.4</v>
      </c>
    </row>
    <row r="6" spans="1:34" x14ac:dyDescent="0.25">
      <c r="A6" s="574" t="s">
        <v>2219</v>
      </c>
      <c r="B6" s="574" t="s">
        <v>2220</v>
      </c>
      <c r="C6" s="574" t="s">
        <v>2221</v>
      </c>
      <c r="D6" s="574" t="s">
        <v>2220</v>
      </c>
      <c r="E6" s="574" t="s">
        <v>2222</v>
      </c>
      <c r="F6" s="574" t="s">
        <v>2223</v>
      </c>
      <c r="G6" s="574" t="s">
        <v>2224</v>
      </c>
      <c r="H6" s="574" t="s">
        <v>2225</v>
      </c>
      <c r="I6" s="574" t="s">
        <v>2226</v>
      </c>
      <c r="J6" s="574" t="s">
        <v>2227</v>
      </c>
      <c r="K6" s="574" t="s">
        <v>2228</v>
      </c>
      <c r="L6" s="574" t="s">
        <v>2229</v>
      </c>
      <c r="M6" s="574" t="s">
        <v>2230</v>
      </c>
      <c r="N6" s="574" t="s">
        <v>2231</v>
      </c>
      <c r="O6" s="574" t="s">
        <v>2232</v>
      </c>
      <c r="P6" s="574" t="s">
        <v>2233</v>
      </c>
      <c r="Q6" s="574" t="s">
        <v>2234</v>
      </c>
      <c r="R6" s="574" t="s">
        <v>2225</v>
      </c>
      <c r="S6" s="574" t="s">
        <v>2235</v>
      </c>
      <c r="T6" s="574" t="s">
        <v>2236</v>
      </c>
      <c r="U6" s="574" t="s">
        <v>2237</v>
      </c>
      <c r="V6" s="574" t="s">
        <v>2238</v>
      </c>
      <c r="W6" s="574" t="s">
        <v>2239</v>
      </c>
      <c r="X6" s="574" t="s">
        <v>2240</v>
      </c>
      <c r="Y6" s="575" t="s">
        <v>2241</v>
      </c>
      <c r="Z6" s="575" t="s">
        <v>2241</v>
      </c>
      <c r="AA6" s="574" t="s">
        <v>2248</v>
      </c>
      <c r="AB6" s="574" t="s">
        <v>2249</v>
      </c>
      <c r="AC6" s="574" t="s">
        <v>2253</v>
      </c>
      <c r="AD6" s="574" t="s">
        <v>2254</v>
      </c>
      <c r="AE6" s="574" t="s">
        <v>2259</v>
      </c>
      <c r="AF6" s="574" t="s">
        <v>2260</v>
      </c>
      <c r="AG6" s="576">
        <v>0</v>
      </c>
      <c r="AH6" s="576">
        <v>64304.4</v>
      </c>
    </row>
    <row r="7" spans="1:34" x14ac:dyDescent="0.25">
      <c r="A7" s="574" t="s">
        <v>2219</v>
      </c>
      <c r="B7" s="574" t="s">
        <v>2220</v>
      </c>
      <c r="C7" s="574" t="s">
        <v>2221</v>
      </c>
      <c r="D7" s="574" t="s">
        <v>2220</v>
      </c>
      <c r="E7" s="574" t="s">
        <v>2222</v>
      </c>
      <c r="F7" s="574" t="s">
        <v>2223</v>
      </c>
      <c r="G7" s="574" t="s">
        <v>2224</v>
      </c>
      <c r="H7" s="574" t="s">
        <v>2225</v>
      </c>
      <c r="I7" s="574" t="s">
        <v>2226</v>
      </c>
      <c r="J7" s="574" t="s">
        <v>2227</v>
      </c>
      <c r="K7" s="574" t="s">
        <v>2228</v>
      </c>
      <c r="L7" s="574" t="s">
        <v>2229</v>
      </c>
      <c r="M7" s="574" t="s">
        <v>2230</v>
      </c>
      <c r="N7" s="574" t="s">
        <v>2231</v>
      </c>
      <c r="O7" s="574" t="s">
        <v>2232</v>
      </c>
      <c r="P7" s="574" t="s">
        <v>2233</v>
      </c>
      <c r="Q7" s="574" t="s">
        <v>2234</v>
      </c>
      <c r="R7" s="574" t="s">
        <v>2225</v>
      </c>
      <c r="S7" s="574" t="s">
        <v>2235</v>
      </c>
      <c r="T7" s="574" t="s">
        <v>2236</v>
      </c>
      <c r="U7" s="574" t="s">
        <v>2237</v>
      </c>
      <c r="V7" s="574" t="s">
        <v>2238</v>
      </c>
      <c r="W7" s="574" t="s">
        <v>2239</v>
      </c>
      <c r="X7" s="574" t="s">
        <v>2240</v>
      </c>
      <c r="Y7" s="575" t="s">
        <v>2241</v>
      </c>
      <c r="Z7" s="575" t="s">
        <v>2241</v>
      </c>
      <c r="AA7" s="574" t="s">
        <v>2261</v>
      </c>
      <c r="AB7" s="574" t="s">
        <v>2262</v>
      </c>
      <c r="AC7" s="574" t="s">
        <v>2263</v>
      </c>
      <c r="AD7" s="574" t="s">
        <v>95</v>
      </c>
      <c r="AE7" s="574" t="s">
        <v>2264</v>
      </c>
      <c r="AF7" s="574" t="s">
        <v>95</v>
      </c>
      <c r="AG7" s="576">
        <v>0</v>
      </c>
      <c r="AH7" s="576">
        <v>3383280.05</v>
      </c>
    </row>
    <row r="8" spans="1:34" x14ac:dyDescent="0.25">
      <c r="A8" s="574" t="s">
        <v>2219</v>
      </c>
      <c r="B8" s="574" t="s">
        <v>2220</v>
      </c>
      <c r="C8" s="574" t="s">
        <v>2221</v>
      </c>
      <c r="D8" s="574" t="s">
        <v>2220</v>
      </c>
      <c r="E8" s="574" t="s">
        <v>2222</v>
      </c>
      <c r="F8" s="574" t="s">
        <v>2223</v>
      </c>
      <c r="G8" s="574" t="s">
        <v>2224</v>
      </c>
      <c r="H8" s="574" t="s">
        <v>2225</v>
      </c>
      <c r="I8" s="574" t="s">
        <v>2226</v>
      </c>
      <c r="J8" s="574" t="s">
        <v>2227</v>
      </c>
      <c r="K8" s="574" t="s">
        <v>2228</v>
      </c>
      <c r="L8" s="574" t="s">
        <v>2229</v>
      </c>
      <c r="M8" s="574" t="s">
        <v>2230</v>
      </c>
      <c r="N8" s="574" t="s">
        <v>2231</v>
      </c>
      <c r="O8" s="574" t="s">
        <v>2232</v>
      </c>
      <c r="P8" s="574" t="s">
        <v>2233</v>
      </c>
      <c r="Q8" s="574" t="s">
        <v>2234</v>
      </c>
      <c r="R8" s="574" t="s">
        <v>2225</v>
      </c>
      <c r="S8" s="574" t="s">
        <v>2235</v>
      </c>
      <c r="T8" s="574" t="s">
        <v>2236</v>
      </c>
      <c r="U8" s="574" t="s">
        <v>2237</v>
      </c>
      <c r="V8" s="574" t="s">
        <v>2238</v>
      </c>
      <c r="W8" s="574" t="s">
        <v>2239</v>
      </c>
      <c r="X8" s="574" t="s">
        <v>2240</v>
      </c>
      <c r="Y8" s="575" t="s">
        <v>2241</v>
      </c>
      <c r="Z8" s="575" t="s">
        <v>2241</v>
      </c>
      <c r="AA8" s="574" t="s">
        <v>2261</v>
      </c>
      <c r="AB8" s="574" t="s">
        <v>2262</v>
      </c>
      <c r="AC8" s="574" t="s">
        <v>2265</v>
      </c>
      <c r="AD8" s="574" t="s">
        <v>96</v>
      </c>
      <c r="AE8" s="574" t="s">
        <v>2266</v>
      </c>
      <c r="AF8" s="574" t="s">
        <v>96</v>
      </c>
      <c r="AG8" s="576">
        <v>0</v>
      </c>
      <c r="AH8" s="576">
        <v>3388052.38</v>
      </c>
    </row>
    <row r="9" spans="1:34" x14ac:dyDescent="0.25">
      <c r="A9" s="574" t="s">
        <v>2219</v>
      </c>
      <c r="B9" s="574" t="s">
        <v>2220</v>
      </c>
      <c r="C9" s="574" t="s">
        <v>2221</v>
      </c>
      <c r="D9" s="574" t="s">
        <v>2220</v>
      </c>
      <c r="E9" s="574" t="s">
        <v>2222</v>
      </c>
      <c r="F9" s="574" t="s">
        <v>2223</v>
      </c>
      <c r="G9" s="574" t="s">
        <v>2224</v>
      </c>
      <c r="H9" s="574" t="s">
        <v>2225</v>
      </c>
      <c r="I9" s="574" t="s">
        <v>2226</v>
      </c>
      <c r="J9" s="574" t="s">
        <v>2227</v>
      </c>
      <c r="K9" s="574" t="s">
        <v>2228</v>
      </c>
      <c r="L9" s="574" t="s">
        <v>2229</v>
      </c>
      <c r="M9" s="574" t="s">
        <v>2230</v>
      </c>
      <c r="N9" s="574" t="s">
        <v>2231</v>
      </c>
      <c r="O9" s="574" t="s">
        <v>2232</v>
      </c>
      <c r="P9" s="574" t="s">
        <v>2233</v>
      </c>
      <c r="Q9" s="574" t="s">
        <v>2234</v>
      </c>
      <c r="R9" s="574" t="s">
        <v>2225</v>
      </c>
      <c r="S9" s="574" t="s">
        <v>2235</v>
      </c>
      <c r="T9" s="574" t="s">
        <v>2236</v>
      </c>
      <c r="U9" s="574" t="s">
        <v>2237</v>
      </c>
      <c r="V9" s="574" t="s">
        <v>2238</v>
      </c>
      <c r="W9" s="574" t="s">
        <v>2239</v>
      </c>
      <c r="X9" s="574" t="s">
        <v>2240</v>
      </c>
      <c r="Y9" s="575" t="s">
        <v>2241</v>
      </c>
      <c r="Z9" s="575" t="s">
        <v>2241</v>
      </c>
      <c r="AA9" s="574" t="s">
        <v>2261</v>
      </c>
      <c r="AB9" s="574" t="s">
        <v>2262</v>
      </c>
      <c r="AC9" s="574" t="s">
        <v>2267</v>
      </c>
      <c r="AD9" s="574" t="s">
        <v>97</v>
      </c>
      <c r="AE9" s="574" t="s">
        <v>2268</v>
      </c>
      <c r="AF9" s="574" t="s">
        <v>97</v>
      </c>
      <c r="AG9" s="576">
        <v>0</v>
      </c>
      <c r="AH9" s="576">
        <v>571427.64</v>
      </c>
    </row>
    <row r="10" spans="1:34" x14ac:dyDescent="0.25">
      <c r="A10" s="574" t="s">
        <v>2219</v>
      </c>
      <c r="B10" s="574" t="s">
        <v>2220</v>
      </c>
      <c r="C10" s="574" t="s">
        <v>2221</v>
      </c>
      <c r="D10" s="574" t="s">
        <v>2220</v>
      </c>
      <c r="E10" s="574" t="s">
        <v>2222</v>
      </c>
      <c r="F10" s="574" t="s">
        <v>2223</v>
      </c>
      <c r="G10" s="574" t="s">
        <v>2224</v>
      </c>
      <c r="H10" s="574" t="s">
        <v>2225</v>
      </c>
      <c r="I10" s="574" t="s">
        <v>2226</v>
      </c>
      <c r="J10" s="574" t="s">
        <v>2227</v>
      </c>
      <c r="K10" s="574" t="s">
        <v>2228</v>
      </c>
      <c r="L10" s="574" t="s">
        <v>2229</v>
      </c>
      <c r="M10" s="574" t="s">
        <v>2230</v>
      </c>
      <c r="N10" s="574" t="s">
        <v>2231</v>
      </c>
      <c r="O10" s="574" t="s">
        <v>2232</v>
      </c>
      <c r="P10" s="574" t="s">
        <v>2233</v>
      </c>
      <c r="Q10" s="574" t="s">
        <v>2234</v>
      </c>
      <c r="R10" s="574" t="s">
        <v>2225</v>
      </c>
      <c r="S10" s="574" t="s">
        <v>2235</v>
      </c>
      <c r="T10" s="574" t="s">
        <v>2236</v>
      </c>
      <c r="U10" s="574" t="s">
        <v>2269</v>
      </c>
      <c r="V10" s="574" t="s">
        <v>2238</v>
      </c>
      <c r="W10" s="574" t="s">
        <v>2239</v>
      </c>
      <c r="X10" s="574" t="s">
        <v>2270</v>
      </c>
      <c r="Y10" s="575" t="s">
        <v>2241</v>
      </c>
      <c r="Z10" s="575" t="s">
        <v>2241</v>
      </c>
      <c r="AA10" s="574" t="s">
        <v>2242</v>
      </c>
      <c r="AB10" s="574" t="s">
        <v>2243</v>
      </c>
      <c r="AC10" s="574" t="s">
        <v>2271</v>
      </c>
      <c r="AD10" s="574" t="s">
        <v>181</v>
      </c>
      <c r="AE10" s="574" t="s">
        <v>2272</v>
      </c>
      <c r="AF10" s="574" t="s">
        <v>2273</v>
      </c>
      <c r="AG10" s="576">
        <v>0</v>
      </c>
      <c r="AH10" s="576">
        <v>686003.26</v>
      </c>
    </row>
    <row r="11" spans="1:34" x14ac:dyDescent="0.25">
      <c r="A11" s="574" t="s">
        <v>2219</v>
      </c>
      <c r="B11" s="574" t="s">
        <v>2220</v>
      </c>
      <c r="C11" s="574" t="s">
        <v>2221</v>
      </c>
      <c r="D11" s="574" t="s">
        <v>2220</v>
      </c>
      <c r="E11" s="574" t="s">
        <v>2222</v>
      </c>
      <c r="F11" s="574" t="s">
        <v>2223</v>
      </c>
      <c r="G11" s="574" t="s">
        <v>2224</v>
      </c>
      <c r="H11" s="574" t="s">
        <v>2225</v>
      </c>
      <c r="I11" s="574" t="s">
        <v>2226</v>
      </c>
      <c r="J11" s="574" t="s">
        <v>2227</v>
      </c>
      <c r="K11" s="574" t="s">
        <v>2228</v>
      </c>
      <c r="L11" s="574" t="s">
        <v>2229</v>
      </c>
      <c r="M11" s="574" t="s">
        <v>2230</v>
      </c>
      <c r="N11" s="574" t="s">
        <v>2231</v>
      </c>
      <c r="O11" s="574" t="s">
        <v>2232</v>
      </c>
      <c r="P11" s="574" t="s">
        <v>2233</v>
      </c>
      <c r="Q11" s="574" t="s">
        <v>2234</v>
      </c>
      <c r="R11" s="574" t="s">
        <v>2225</v>
      </c>
      <c r="S11" s="574" t="s">
        <v>2235</v>
      </c>
      <c r="T11" s="574" t="s">
        <v>2236</v>
      </c>
      <c r="U11" s="574" t="s">
        <v>2269</v>
      </c>
      <c r="V11" s="574" t="s">
        <v>2238</v>
      </c>
      <c r="W11" s="574" t="s">
        <v>2239</v>
      </c>
      <c r="X11" s="574" t="s">
        <v>2270</v>
      </c>
      <c r="Y11" s="575" t="s">
        <v>2241</v>
      </c>
      <c r="Z11" s="575" t="s">
        <v>2241</v>
      </c>
      <c r="AA11" s="574" t="s">
        <v>2261</v>
      </c>
      <c r="AB11" s="574" t="s">
        <v>2262</v>
      </c>
      <c r="AC11" s="574" t="s">
        <v>2263</v>
      </c>
      <c r="AD11" s="574" t="s">
        <v>95</v>
      </c>
      <c r="AE11" s="574" t="s">
        <v>2264</v>
      </c>
      <c r="AF11" s="574" t="s">
        <v>95</v>
      </c>
      <c r="AG11" s="576">
        <v>0</v>
      </c>
      <c r="AH11" s="576">
        <v>48637.63</v>
      </c>
    </row>
    <row r="12" spans="1:34" x14ac:dyDescent="0.25">
      <c r="A12" s="574" t="s">
        <v>2219</v>
      </c>
      <c r="B12" s="574" t="s">
        <v>2220</v>
      </c>
      <c r="C12" s="574" t="s">
        <v>2221</v>
      </c>
      <c r="D12" s="574" t="s">
        <v>2220</v>
      </c>
      <c r="E12" s="574" t="s">
        <v>2222</v>
      </c>
      <c r="F12" s="574" t="s">
        <v>2223</v>
      </c>
      <c r="G12" s="574" t="s">
        <v>2224</v>
      </c>
      <c r="H12" s="574" t="s">
        <v>2225</v>
      </c>
      <c r="I12" s="574" t="s">
        <v>2226</v>
      </c>
      <c r="J12" s="574" t="s">
        <v>2227</v>
      </c>
      <c r="K12" s="574" t="s">
        <v>2228</v>
      </c>
      <c r="L12" s="574" t="s">
        <v>2229</v>
      </c>
      <c r="M12" s="574" t="s">
        <v>2230</v>
      </c>
      <c r="N12" s="574" t="s">
        <v>2231</v>
      </c>
      <c r="O12" s="574" t="s">
        <v>2232</v>
      </c>
      <c r="P12" s="574" t="s">
        <v>2233</v>
      </c>
      <c r="Q12" s="574" t="s">
        <v>2234</v>
      </c>
      <c r="R12" s="574" t="s">
        <v>2225</v>
      </c>
      <c r="S12" s="574" t="s">
        <v>2235</v>
      </c>
      <c r="T12" s="574" t="s">
        <v>2236</v>
      </c>
      <c r="U12" s="574" t="s">
        <v>2269</v>
      </c>
      <c r="V12" s="574" t="s">
        <v>2238</v>
      </c>
      <c r="W12" s="574" t="s">
        <v>2239</v>
      </c>
      <c r="X12" s="574" t="s">
        <v>2270</v>
      </c>
      <c r="Y12" s="575" t="s">
        <v>2241</v>
      </c>
      <c r="Z12" s="575" t="s">
        <v>2241</v>
      </c>
      <c r="AA12" s="574" t="s">
        <v>2261</v>
      </c>
      <c r="AB12" s="574" t="s">
        <v>2262</v>
      </c>
      <c r="AC12" s="574" t="s">
        <v>2265</v>
      </c>
      <c r="AD12" s="574" t="s">
        <v>96</v>
      </c>
      <c r="AE12" s="574" t="s">
        <v>2266</v>
      </c>
      <c r="AF12" s="574" t="s">
        <v>96</v>
      </c>
      <c r="AG12" s="576">
        <v>0</v>
      </c>
      <c r="AH12" s="576">
        <v>48706.23</v>
      </c>
    </row>
    <row r="13" spans="1:34" x14ac:dyDescent="0.25">
      <c r="A13" s="574" t="s">
        <v>2219</v>
      </c>
      <c r="B13" s="574" t="s">
        <v>2220</v>
      </c>
      <c r="C13" s="574" t="s">
        <v>2221</v>
      </c>
      <c r="D13" s="574" t="s">
        <v>2220</v>
      </c>
      <c r="E13" s="574" t="s">
        <v>2222</v>
      </c>
      <c r="F13" s="574" t="s">
        <v>2223</v>
      </c>
      <c r="G13" s="574" t="s">
        <v>2224</v>
      </c>
      <c r="H13" s="574" t="s">
        <v>2225</v>
      </c>
      <c r="I13" s="574" t="s">
        <v>2226</v>
      </c>
      <c r="J13" s="574" t="s">
        <v>2227</v>
      </c>
      <c r="K13" s="574" t="s">
        <v>2228</v>
      </c>
      <c r="L13" s="574" t="s">
        <v>2229</v>
      </c>
      <c r="M13" s="574" t="s">
        <v>2230</v>
      </c>
      <c r="N13" s="574" t="s">
        <v>2231</v>
      </c>
      <c r="O13" s="574" t="s">
        <v>2232</v>
      </c>
      <c r="P13" s="574" t="s">
        <v>2233</v>
      </c>
      <c r="Q13" s="574" t="s">
        <v>2234</v>
      </c>
      <c r="R13" s="574" t="s">
        <v>2225</v>
      </c>
      <c r="S13" s="574" t="s">
        <v>2235</v>
      </c>
      <c r="T13" s="574" t="s">
        <v>2236</v>
      </c>
      <c r="U13" s="574" t="s">
        <v>2269</v>
      </c>
      <c r="V13" s="574" t="s">
        <v>2238</v>
      </c>
      <c r="W13" s="574" t="s">
        <v>2239</v>
      </c>
      <c r="X13" s="574" t="s">
        <v>2270</v>
      </c>
      <c r="Y13" s="575" t="s">
        <v>2241</v>
      </c>
      <c r="Z13" s="575" t="s">
        <v>2241</v>
      </c>
      <c r="AA13" s="574" t="s">
        <v>2261</v>
      </c>
      <c r="AB13" s="574" t="s">
        <v>2262</v>
      </c>
      <c r="AC13" s="574" t="s">
        <v>2267</v>
      </c>
      <c r="AD13" s="574" t="s">
        <v>97</v>
      </c>
      <c r="AE13" s="574" t="s">
        <v>2268</v>
      </c>
      <c r="AF13" s="574" t="s">
        <v>97</v>
      </c>
      <c r="AG13" s="576">
        <v>0</v>
      </c>
      <c r="AH13" s="576">
        <v>8109.74</v>
      </c>
    </row>
    <row r="14" spans="1:34" x14ac:dyDescent="0.25">
      <c r="A14" s="574" t="s">
        <v>2219</v>
      </c>
      <c r="B14" s="574" t="s">
        <v>2220</v>
      </c>
      <c r="C14" s="574" t="s">
        <v>2221</v>
      </c>
      <c r="D14" s="574" t="s">
        <v>2220</v>
      </c>
      <c r="E14" s="574" t="s">
        <v>2222</v>
      </c>
      <c r="F14" s="574" t="s">
        <v>2223</v>
      </c>
      <c r="G14" s="574" t="s">
        <v>2224</v>
      </c>
      <c r="H14" s="574" t="s">
        <v>2225</v>
      </c>
      <c r="I14" s="574" t="s">
        <v>2226</v>
      </c>
      <c r="J14" s="574" t="s">
        <v>2227</v>
      </c>
      <c r="K14" s="574" t="s">
        <v>2228</v>
      </c>
      <c r="L14" s="574" t="s">
        <v>2229</v>
      </c>
      <c r="M14" s="574" t="s">
        <v>2230</v>
      </c>
      <c r="N14" s="574" t="s">
        <v>2231</v>
      </c>
      <c r="O14" s="574" t="s">
        <v>2232</v>
      </c>
      <c r="P14" s="574" t="s">
        <v>2233</v>
      </c>
      <c r="Q14" s="574" t="s">
        <v>2234</v>
      </c>
      <c r="R14" s="574" t="s">
        <v>2225</v>
      </c>
      <c r="S14" s="574" t="s">
        <v>2235</v>
      </c>
      <c r="T14" s="574" t="s">
        <v>2236</v>
      </c>
      <c r="U14" s="574" t="s">
        <v>2274</v>
      </c>
      <c r="V14" s="574" t="s">
        <v>2238</v>
      </c>
      <c r="W14" s="574" t="s">
        <v>2239</v>
      </c>
      <c r="X14" s="574" t="s">
        <v>2275</v>
      </c>
      <c r="Y14" s="575" t="s">
        <v>2276</v>
      </c>
      <c r="Z14" s="575" t="s">
        <v>2276</v>
      </c>
      <c r="AA14" s="574" t="s">
        <v>2242</v>
      </c>
      <c r="AB14" s="574" t="s">
        <v>2243</v>
      </c>
      <c r="AC14" s="574" t="s">
        <v>2271</v>
      </c>
      <c r="AD14" s="574" t="s">
        <v>181</v>
      </c>
      <c r="AE14" s="574" t="s">
        <v>2272</v>
      </c>
      <c r="AF14" s="574" t="s">
        <v>2273</v>
      </c>
      <c r="AG14" s="576">
        <v>0</v>
      </c>
      <c r="AH14" s="576">
        <v>686003.26</v>
      </c>
    </row>
    <row r="15" spans="1:34" x14ac:dyDescent="0.25">
      <c r="A15" s="574" t="s">
        <v>2219</v>
      </c>
      <c r="B15" s="574" t="s">
        <v>2220</v>
      </c>
      <c r="C15" s="574" t="s">
        <v>2221</v>
      </c>
      <c r="D15" s="574" t="s">
        <v>2220</v>
      </c>
      <c r="E15" s="574" t="s">
        <v>2222</v>
      </c>
      <c r="F15" s="574" t="s">
        <v>2223</v>
      </c>
      <c r="G15" s="574" t="s">
        <v>2224</v>
      </c>
      <c r="H15" s="574" t="s">
        <v>2225</v>
      </c>
      <c r="I15" s="574" t="s">
        <v>2226</v>
      </c>
      <c r="J15" s="574" t="s">
        <v>2227</v>
      </c>
      <c r="K15" s="574" t="s">
        <v>2228</v>
      </c>
      <c r="L15" s="574" t="s">
        <v>2229</v>
      </c>
      <c r="M15" s="574" t="s">
        <v>2230</v>
      </c>
      <c r="N15" s="574" t="s">
        <v>2231</v>
      </c>
      <c r="O15" s="574" t="s">
        <v>2232</v>
      </c>
      <c r="P15" s="574" t="s">
        <v>2233</v>
      </c>
      <c r="Q15" s="574" t="s">
        <v>2234</v>
      </c>
      <c r="R15" s="574" t="s">
        <v>2225</v>
      </c>
      <c r="S15" s="574" t="s">
        <v>2235</v>
      </c>
      <c r="T15" s="574" t="s">
        <v>2236</v>
      </c>
      <c r="U15" s="574" t="s">
        <v>2274</v>
      </c>
      <c r="V15" s="574" t="s">
        <v>2238</v>
      </c>
      <c r="W15" s="574" t="s">
        <v>2239</v>
      </c>
      <c r="X15" s="574" t="s">
        <v>2275</v>
      </c>
      <c r="Y15" s="575" t="s">
        <v>2276</v>
      </c>
      <c r="Z15" s="575" t="s">
        <v>2276</v>
      </c>
      <c r="AA15" s="574" t="s">
        <v>2261</v>
      </c>
      <c r="AB15" s="574" t="s">
        <v>2262</v>
      </c>
      <c r="AC15" s="574" t="s">
        <v>2263</v>
      </c>
      <c r="AD15" s="574" t="s">
        <v>95</v>
      </c>
      <c r="AE15" s="574" t="s">
        <v>2264</v>
      </c>
      <c r="AF15" s="574" t="s">
        <v>95</v>
      </c>
      <c r="AG15" s="576">
        <v>0</v>
      </c>
      <c r="AH15" s="576">
        <v>48637.63</v>
      </c>
    </row>
    <row r="16" spans="1:34" x14ac:dyDescent="0.25">
      <c r="A16" s="574" t="s">
        <v>2219</v>
      </c>
      <c r="B16" s="574" t="s">
        <v>2220</v>
      </c>
      <c r="C16" s="574" t="s">
        <v>2221</v>
      </c>
      <c r="D16" s="574" t="s">
        <v>2220</v>
      </c>
      <c r="E16" s="574" t="s">
        <v>2222</v>
      </c>
      <c r="F16" s="574" t="s">
        <v>2223</v>
      </c>
      <c r="G16" s="574" t="s">
        <v>2224</v>
      </c>
      <c r="H16" s="574" t="s">
        <v>2225</v>
      </c>
      <c r="I16" s="574" t="s">
        <v>2226</v>
      </c>
      <c r="J16" s="574" t="s">
        <v>2227</v>
      </c>
      <c r="K16" s="574" t="s">
        <v>2228</v>
      </c>
      <c r="L16" s="574" t="s">
        <v>2229</v>
      </c>
      <c r="M16" s="574" t="s">
        <v>2230</v>
      </c>
      <c r="N16" s="574" t="s">
        <v>2231</v>
      </c>
      <c r="O16" s="574" t="s">
        <v>2232</v>
      </c>
      <c r="P16" s="574" t="s">
        <v>2233</v>
      </c>
      <c r="Q16" s="574" t="s">
        <v>2234</v>
      </c>
      <c r="R16" s="574" t="s">
        <v>2225</v>
      </c>
      <c r="S16" s="574" t="s">
        <v>2235</v>
      </c>
      <c r="T16" s="574" t="s">
        <v>2236</v>
      </c>
      <c r="U16" s="574" t="s">
        <v>2274</v>
      </c>
      <c r="V16" s="574" t="s">
        <v>2238</v>
      </c>
      <c r="W16" s="574" t="s">
        <v>2239</v>
      </c>
      <c r="X16" s="574" t="s">
        <v>2275</v>
      </c>
      <c r="Y16" s="575" t="s">
        <v>2276</v>
      </c>
      <c r="Z16" s="575" t="s">
        <v>2276</v>
      </c>
      <c r="AA16" s="574" t="s">
        <v>2261</v>
      </c>
      <c r="AB16" s="574" t="s">
        <v>2262</v>
      </c>
      <c r="AC16" s="574" t="s">
        <v>2265</v>
      </c>
      <c r="AD16" s="574" t="s">
        <v>96</v>
      </c>
      <c r="AE16" s="574" t="s">
        <v>2266</v>
      </c>
      <c r="AF16" s="574" t="s">
        <v>96</v>
      </c>
      <c r="AG16" s="576">
        <v>0</v>
      </c>
      <c r="AH16" s="576">
        <v>48706.23</v>
      </c>
    </row>
    <row r="17" spans="1:34" x14ac:dyDescent="0.25">
      <c r="A17" s="574" t="s">
        <v>2219</v>
      </c>
      <c r="B17" s="574" t="s">
        <v>2220</v>
      </c>
      <c r="C17" s="574" t="s">
        <v>2221</v>
      </c>
      <c r="D17" s="574" t="s">
        <v>2220</v>
      </c>
      <c r="E17" s="574" t="s">
        <v>2222</v>
      </c>
      <c r="F17" s="574" t="s">
        <v>2223</v>
      </c>
      <c r="G17" s="574" t="s">
        <v>2224</v>
      </c>
      <c r="H17" s="574" t="s">
        <v>2225</v>
      </c>
      <c r="I17" s="574" t="s">
        <v>2226</v>
      </c>
      <c r="J17" s="574" t="s">
        <v>2227</v>
      </c>
      <c r="K17" s="574" t="s">
        <v>2228</v>
      </c>
      <c r="L17" s="574" t="s">
        <v>2229</v>
      </c>
      <c r="M17" s="574" t="s">
        <v>2230</v>
      </c>
      <c r="N17" s="574" t="s">
        <v>2231</v>
      </c>
      <c r="O17" s="574" t="s">
        <v>2232</v>
      </c>
      <c r="P17" s="574" t="s">
        <v>2233</v>
      </c>
      <c r="Q17" s="574" t="s">
        <v>2234</v>
      </c>
      <c r="R17" s="574" t="s">
        <v>2225</v>
      </c>
      <c r="S17" s="574" t="s">
        <v>2235</v>
      </c>
      <c r="T17" s="574" t="s">
        <v>2236</v>
      </c>
      <c r="U17" s="574" t="s">
        <v>2274</v>
      </c>
      <c r="V17" s="574" t="s">
        <v>2238</v>
      </c>
      <c r="W17" s="574" t="s">
        <v>2239</v>
      </c>
      <c r="X17" s="574" t="s">
        <v>2275</v>
      </c>
      <c r="Y17" s="575" t="s">
        <v>2276</v>
      </c>
      <c r="Z17" s="575" t="s">
        <v>2276</v>
      </c>
      <c r="AA17" s="574" t="s">
        <v>2261</v>
      </c>
      <c r="AB17" s="574" t="s">
        <v>2262</v>
      </c>
      <c r="AC17" s="574" t="s">
        <v>2267</v>
      </c>
      <c r="AD17" s="574" t="s">
        <v>97</v>
      </c>
      <c r="AE17" s="574" t="s">
        <v>2268</v>
      </c>
      <c r="AF17" s="574" t="s">
        <v>97</v>
      </c>
      <c r="AG17" s="576">
        <v>0</v>
      </c>
      <c r="AH17" s="576">
        <v>8140.96</v>
      </c>
    </row>
    <row r="18" spans="1:34" x14ac:dyDescent="0.25">
      <c r="A18" s="574" t="s">
        <v>2219</v>
      </c>
      <c r="B18" s="574" t="s">
        <v>2220</v>
      </c>
      <c r="C18" s="574" t="s">
        <v>2221</v>
      </c>
      <c r="D18" s="574" t="s">
        <v>2220</v>
      </c>
      <c r="E18" s="574" t="s">
        <v>2222</v>
      </c>
      <c r="F18" s="574" t="s">
        <v>2223</v>
      </c>
      <c r="G18" s="574" t="s">
        <v>2224</v>
      </c>
      <c r="H18" s="574" t="s">
        <v>2225</v>
      </c>
      <c r="I18" s="574" t="s">
        <v>2226</v>
      </c>
      <c r="J18" s="574" t="s">
        <v>2227</v>
      </c>
      <c r="K18" s="574" t="s">
        <v>2228</v>
      </c>
      <c r="L18" s="574" t="s">
        <v>2229</v>
      </c>
      <c r="M18" s="574" t="s">
        <v>2230</v>
      </c>
      <c r="N18" s="574" t="s">
        <v>2231</v>
      </c>
      <c r="O18" s="574" t="s">
        <v>2232</v>
      </c>
      <c r="P18" s="574" t="s">
        <v>2233</v>
      </c>
      <c r="Q18" s="574" t="s">
        <v>2234</v>
      </c>
      <c r="R18" s="574" t="s">
        <v>2225</v>
      </c>
      <c r="S18" s="574" t="s">
        <v>2235</v>
      </c>
      <c r="T18" s="574" t="s">
        <v>2236</v>
      </c>
      <c r="U18" s="574" t="s">
        <v>2277</v>
      </c>
      <c r="V18" s="574" t="s">
        <v>2238</v>
      </c>
      <c r="W18" s="574" t="s">
        <v>2239</v>
      </c>
      <c r="X18" s="574" t="s">
        <v>2278</v>
      </c>
      <c r="Y18" s="575" t="s">
        <v>2276</v>
      </c>
      <c r="Z18" s="575" t="s">
        <v>2276</v>
      </c>
      <c r="AA18" s="574" t="s">
        <v>2242</v>
      </c>
      <c r="AB18" s="574" t="s">
        <v>2243</v>
      </c>
      <c r="AC18" s="574" t="s">
        <v>2244</v>
      </c>
      <c r="AD18" s="574" t="s">
        <v>2245</v>
      </c>
      <c r="AE18" s="574" t="s">
        <v>2246</v>
      </c>
      <c r="AF18" s="574" t="s">
        <v>2247</v>
      </c>
      <c r="AG18" s="576">
        <v>0</v>
      </c>
      <c r="AH18" s="576">
        <v>47302103.740000002</v>
      </c>
    </row>
    <row r="19" spans="1:34" x14ac:dyDescent="0.25">
      <c r="A19" s="574" t="s">
        <v>2219</v>
      </c>
      <c r="B19" s="574" t="s">
        <v>2220</v>
      </c>
      <c r="C19" s="574" t="s">
        <v>2221</v>
      </c>
      <c r="D19" s="574" t="s">
        <v>2220</v>
      </c>
      <c r="E19" s="574" t="s">
        <v>2222</v>
      </c>
      <c r="F19" s="574" t="s">
        <v>2223</v>
      </c>
      <c r="G19" s="574" t="s">
        <v>2224</v>
      </c>
      <c r="H19" s="574" t="s">
        <v>2225</v>
      </c>
      <c r="I19" s="574" t="s">
        <v>2226</v>
      </c>
      <c r="J19" s="574" t="s">
        <v>2227</v>
      </c>
      <c r="K19" s="574" t="s">
        <v>2228</v>
      </c>
      <c r="L19" s="574" t="s">
        <v>2229</v>
      </c>
      <c r="M19" s="574" t="s">
        <v>2230</v>
      </c>
      <c r="N19" s="574" t="s">
        <v>2231</v>
      </c>
      <c r="O19" s="574" t="s">
        <v>2232</v>
      </c>
      <c r="P19" s="574" t="s">
        <v>2233</v>
      </c>
      <c r="Q19" s="574" t="s">
        <v>2234</v>
      </c>
      <c r="R19" s="574" t="s">
        <v>2225</v>
      </c>
      <c r="S19" s="574" t="s">
        <v>2235</v>
      </c>
      <c r="T19" s="574" t="s">
        <v>2236</v>
      </c>
      <c r="U19" s="574" t="s">
        <v>2277</v>
      </c>
      <c r="V19" s="574" t="s">
        <v>2238</v>
      </c>
      <c r="W19" s="574" t="s">
        <v>2239</v>
      </c>
      <c r="X19" s="574" t="s">
        <v>2278</v>
      </c>
      <c r="Y19" s="575" t="s">
        <v>2276</v>
      </c>
      <c r="Z19" s="575" t="s">
        <v>2276</v>
      </c>
      <c r="AA19" s="574" t="s">
        <v>2248</v>
      </c>
      <c r="AB19" s="574" t="s">
        <v>2249</v>
      </c>
      <c r="AC19" s="574" t="s">
        <v>2250</v>
      </c>
      <c r="AD19" s="574" t="s">
        <v>2251</v>
      </c>
      <c r="AE19" s="574" t="s">
        <v>2252</v>
      </c>
      <c r="AF19" s="574" t="s">
        <v>2251</v>
      </c>
      <c r="AG19" s="576">
        <v>0</v>
      </c>
      <c r="AH19" s="576">
        <v>2451566.66</v>
      </c>
    </row>
    <row r="20" spans="1:34" x14ac:dyDescent="0.25">
      <c r="A20" s="574" t="s">
        <v>2219</v>
      </c>
      <c r="B20" s="574" t="s">
        <v>2220</v>
      </c>
      <c r="C20" s="574" t="s">
        <v>2221</v>
      </c>
      <c r="D20" s="574" t="s">
        <v>2220</v>
      </c>
      <c r="E20" s="574" t="s">
        <v>2222</v>
      </c>
      <c r="F20" s="574" t="s">
        <v>2223</v>
      </c>
      <c r="G20" s="574" t="s">
        <v>2224</v>
      </c>
      <c r="H20" s="574" t="s">
        <v>2225</v>
      </c>
      <c r="I20" s="574" t="s">
        <v>2226</v>
      </c>
      <c r="J20" s="574" t="s">
        <v>2227</v>
      </c>
      <c r="K20" s="574" t="s">
        <v>2228</v>
      </c>
      <c r="L20" s="574" t="s">
        <v>2229</v>
      </c>
      <c r="M20" s="574" t="s">
        <v>2230</v>
      </c>
      <c r="N20" s="574" t="s">
        <v>2231</v>
      </c>
      <c r="O20" s="574" t="s">
        <v>2232</v>
      </c>
      <c r="P20" s="574" t="s">
        <v>2233</v>
      </c>
      <c r="Q20" s="574" t="s">
        <v>2234</v>
      </c>
      <c r="R20" s="574" t="s">
        <v>2225</v>
      </c>
      <c r="S20" s="574" t="s">
        <v>2235</v>
      </c>
      <c r="T20" s="574" t="s">
        <v>2236</v>
      </c>
      <c r="U20" s="574" t="s">
        <v>2277</v>
      </c>
      <c r="V20" s="574" t="s">
        <v>2238</v>
      </c>
      <c r="W20" s="574" t="s">
        <v>2239</v>
      </c>
      <c r="X20" s="574" t="s">
        <v>2278</v>
      </c>
      <c r="Y20" s="575" t="s">
        <v>2276</v>
      </c>
      <c r="Z20" s="575" t="s">
        <v>2276</v>
      </c>
      <c r="AA20" s="574" t="s">
        <v>2248</v>
      </c>
      <c r="AB20" s="574" t="s">
        <v>2249</v>
      </c>
      <c r="AC20" s="574" t="s">
        <v>2253</v>
      </c>
      <c r="AD20" s="574" t="s">
        <v>2254</v>
      </c>
      <c r="AE20" s="574" t="s">
        <v>2255</v>
      </c>
      <c r="AF20" s="574" t="s">
        <v>2256</v>
      </c>
      <c r="AG20" s="576">
        <v>0</v>
      </c>
      <c r="AH20" s="576">
        <v>288600</v>
      </c>
    </row>
    <row r="21" spans="1:34" x14ac:dyDescent="0.25">
      <c r="A21" s="574" t="s">
        <v>2219</v>
      </c>
      <c r="B21" s="574" t="s">
        <v>2220</v>
      </c>
      <c r="C21" s="574" t="s">
        <v>2221</v>
      </c>
      <c r="D21" s="574" t="s">
        <v>2220</v>
      </c>
      <c r="E21" s="574" t="s">
        <v>2222</v>
      </c>
      <c r="F21" s="574" t="s">
        <v>2223</v>
      </c>
      <c r="G21" s="574" t="s">
        <v>2224</v>
      </c>
      <c r="H21" s="574" t="s">
        <v>2225</v>
      </c>
      <c r="I21" s="574" t="s">
        <v>2226</v>
      </c>
      <c r="J21" s="574" t="s">
        <v>2227</v>
      </c>
      <c r="K21" s="574" t="s">
        <v>2228</v>
      </c>
      <c r="L21" s="574" t="s">
        <v>2229</v>
      </c>
      <c r="M21" s="574" t="s">
        <v>2230</v>
      </c>
      <c r="N21" s="574" t="s">
        <v>2231</v>
      </c>
      <c r="O21" s="574" t="s">
        <v>2232</v>
      </c>
      <c r="P21" s="574" t="s">
        <v>2233</v>
      </c>
      <c r="Q21" s="574" t="s">
        <v>2234</v>
      </c>
      <c r="R21" s="574" t="s">
        <v>2225</v>
      </c>
      <c r="S21" s="574" t="s">
        <v>2235</v>
      </c>
      <c r="T21" s="574" t="s">
        <v>2236</v>
      </c>
      <c r="U21" s="574" t="s">
        <v>2277</v>
      </c>
      <c r="V21" s="574" t="s">
        <v>2238</v>
      </c>
      <c r="W21" s="574" t="s">
        <v>2239</v>
      </c>
      <c r="X21" s="574" t="s">
        <v>2278</v>
      </c>
      <c r="Y21" s="575" t="s">
        <v>2276</v>
      </c>
      <c r="Z21" s="575" t="s">
        <v>2276</v>
      </c>
      <c r="AA21" s="574" t="s">
        <v>2248</v>
      </c>
      <c r="AB21" s="574" t="s">
        <v>2249</v>
      </c>
      <c r="AC21" s="574" t="s">
        <v>2253</v>
      </c>
      <c r="AD21" s="574" t="s">
        <v>2254</v>
      </c>
      <c r="AE21" s="574" t="s">
        <v>2257</v>
      </c>
      <c r="AF21" s="574" t="s">
        <v>2258</v>
      </c>
      <c r="AG21" s="576">
        <v>0</v>
      </c>
      <c r="AH21" s="576">
        <v>10717.4</v>
      </c>
    </row>
    <row r="22" spans="1:34" x14ac:dyDescent="0.25">
      <c r="A22" s="574" t="s">
        <v>2219</v>
      </c>
      <c r="B22" s="574" t="s">
        <v>2220</v>
      </c>
      <c r="C22" s="574" t="s">
        <v>2221</v>
      </c>
      <c r="D22" s="574" t="s">
        <v>2220</v>
      </c>
      <c r="E22" s="574" t="s">
        <v>2222</v>
      </c>
      <c r="F22" s="574" t="s">
        <v>2223</v>
      </c>
      <c r="G22" s="574" t="s">
        <v>2224</v>
      </c>
      <c r="H22" s="574" t="s">
        <v>2225</v>
      </c>
      <c r="I22" s="574" t="s">
        <v>2226</v>
      </c>
      <c r="J22" s="574" t="s">
        <v>2227</v>
      </c>
      <c r="K22" s="574" t="s">
        <v>2228</v>
      </c>
      <c r="L22" s="574" t="s">
        <v>2229</v>
      </c>
      <c r="M22" s="574" t="s">
        <v>2230</v>
      </c>
      <c r="N22" s="574" t="s">
        <v>2231</v>
      </c>
      <c r="O22" s="574" t="s">
        <v>2232</v>
      </c>
      <c r="P22" s="574" t="s">
        <v>2233</v>
      </c>
      <c r="Q22" s="574" t="s">
        <v>2234</v>
      </c>
      <c r="R22" s="574" t="s">
        <v>2225</v>
      </c>
      <c r="S22" s="574" t="s">
        <v>2235</v>
      </c>
      <c r="T22" s="574" t="s">
        <v>2236</v>
      </c>
      <c r="U22" s="574" t="s">
        <v>2277</v>
      </c>
      <c r="V22" s="574" t="s">
        <v>2238</v>
      </c>
      <c r="W22" s="574" t="s">
        <v>2239</v>
      </c>
      <c r="X22" s="574" t="s">
        <v>2278</v>
      </c>
      <c r="Y22" s="575" t="s">
        <v>2276</v>
      </c>
      <c r="Z22" s="575" t="s">
        <v>2276</v>
      </c>
      <c r="AA22" s="574" t="s">
        <v>2248</v>
      </c>
      <c r="AB22" s="574" t="s">
        <v>2249</v>
      </c>
      <c r="AC22" s="574" t="s">
        <v>2253</v>
      </c>
      <c r="AD22" s="574" t="s">
        <v>2254</v>
      </c>
      <c r="AE22" s="574" t="s">
        <v>2259</v>
      </c>
      <c r="AF22" s="574" t="s">
        <v>2260</v>
      </c>
      <c r="AG22" s="576">
        <v>0</v>
      </c>
      <c r="AH22" s="576">
        <v>64304.4</v>
      </c>
    </row>
    <row r="23" spans="1:34" x14ac:dyDescent="0.25">
      <c r="A23" s="574" t="s">
        <v>2219</v>
      </c>
      <c r="B23" s="574" t="s">
        <v>2220</v>
      </c>
      <c r="C23" s="574" t="s">
        <v>2221</v>
      </c>
      <c r="D23" s="574" t="s">
        <v>2220</v>
      </c>
      <c r="E23" s="574" t="s">
        <v>2222</v>
      </c>
      <c r="F23" s="574" t="s">
        <v>2223</v>
      </c>
      <c r="G23" s="574" t="s">
        <v>2224</v>
      </c>
      <c r="H23" s="574" t="s">
        <v>2225</v>
      </c>
      <c r="I23" s="574" t="s">
        <v>2226</v>
      </c>
      <c r="J23" s="574" t="s">
        <v>2227</v>
      </c>
      <c r="K23" s="574" t="s">
        <v>2228</v>
      </c>
      <c r="L23" s="574" t="s">
        <v>2229</v>
      </c>
      <c r="M23" s="574" t="s">
        <v>2230</v>
      </c>
      <c r="N23" s="574" t="s">
        <v>2231</v>
      </c>
      <c r="O23" s="574" t="s">
        <v>2232</v>
      </c>
      <c r="P23" s="574" t="s">
        <v>2233</v>
      </c>
      <c r="Q23" s="574" t="s">
        <v>2234</v>
      </c>
      <c r="R23" s="574" t="s">
        <v>2225</v>
      </c>
      <c r="S23" s="574" t="s">
        <v>2235</v>
      </c>
      <c r="T23" s="574" t="s">
        <v>2236</v>
      </c>
      <c r="U23" s="574" t="s">
        <v>2277</v>
      </c>
      <c r="V23" s="574" t="s">
        <v>2238</v>
      </c>
      <c r="W23" s="574" t="s">
        <v>2239</v>
      </c>
      <c r="X23" s="574" t="s">
        <v>2278</v>
      </c>
      <c r="Y23" s="575" t="s">
        <v>2276</v>
      </c>
      <c r="Z23" s="575" t="s">
        <v>2276</v>
      </c>
      <c r="AA23" s="574" t="s">
        <v>2261</v>
      </c>
      <c r="AB23" s="574" t="s">
        <v>2262</v>
      </c>
      <c r="AC23" s="574" t="s">
        <v>2263</v>
      </c>
      <c r="AD23" s="574" t="s">
        <v>95</v>
      </c>
      <c r="AE23" s="574" t="s">
        <v>2264</v>
      </c>
      <c r="AF23" s="574" t="s">
        <v>95</v>
      </c>
      <c r="AG23" s="576">
        <v>0</v>
      </c>
      <c r="AH23" s="576">
        <v>3353718.17</v>
      </c>
    </row>
    <row r="24" spans="1:34" x14ac:dyDescent="0.25">
      <c r="A24" s="574" t="s">
        <v>2219</v>
      </c>
      <c r="B24" s="574" t="s">
        <v>2220</v>
      </c>
      <c r="C24" s="574" t="s">
        <v>2221</v>
      </c>
      <c r="D24" s="574" t="s">
        <v>2220</v>
      </c>
      <c r="E24" s="574" t="s">
        <v>2222</v>
      </c>
      <c r="F24" s="574" t="s">
        <v>2223</v>
      </c>
      <c r="G24" s="574" t="s">
        <v>2224</v>
      </c>
      <c r="H24" s="574" t="s">
        <v>2225</v>
      </c>
      <c r="I24" s="574" t="s">
        <v>2226</v>
      </c>
      <c r="J24" s="574" t="s">
        <v>2227</v>
      </c>
      <c r="K24" s="574" t="s">
        <v>2228</v>
      </c>
      <c r="L24" s="574" t="s">
        <v>2229</v>
      </c>
      <c r="M24" s="574" t="s">
        <v>2230</v>
      </c>
      <c r="N24" s="574" t="s">
        <v>2231</v>
      </c>
      <c r="O24" s="574" t="s">
        <v>2232</v>
      </c>
      <c r="P24" s="574" t="s">
        <v>2233</v>
      </c>
      <c r="Q24" s="574" t="s">
        <v>2234</v>
      </c>
      <c r="R24" s="574" t="s">
        <v>2225</v>
      </c>
      <c r="S24" s="574" t="s">
        <v>2235</v>
      </c>
      <c r="T24" s="574" t="s">
        <v>2236</v>
      </c>
      <c r="U24" s="574" t="s">
        <v>2277</v>
      </c>
      <c r="V24" s="574" t="s">
        <v>2238</v>
      </c>
      <c r="W24" s="574" t="s">
        <v>2239</v>
      </c>
      <c r="X24" s="574" t="s">
        <v>2278</v>
      </c>
      <c r="Y24" s="575" t="s">
        <v>2276</v>
      </c>
      <c r="Z24" s="575" t="s">
        <v>2276</v>
      </c>
      <c r="AA24" s="574" t="s">
        <v>2261</v>
      </c>
      <c r="AB24" s="574" t="s">
        <v>2262</v>
      </c>
      <c r="AC24" s="574" t="s">
        <v>2265</v>
      </c>
      <c r="AD24" s="574" t="s">
        <v>96</v>
      </c>
      <c r="AE24" s="574" t="s">
        <v>2266</v>
      </c>
      <c r="AF24" s="574" t="s">
        <v>96</v>
      </c>
      <c r="AG24" s="576">
        <v>0</v>
      </c>
      <c r="AH24" s="576">
        <v>3358448.81</v>
      </c>
    </row>
    <row r="25" spans="1:34" x14ac:dyDescent="0.25">
      <c r="A25" s="574" t="s">
        <v>2219</v>
      </c>
      <c r="B25" s="574" t="s">
        <v>2220</v>
      </c>
      <c r="C25" s="574" t="s">
        <v>2221</v>
      </c>
      <c r="D25" s="574" t="s">
        <v>2220</v>
      </c>
      <c r="E25" s="574" t="s">
        <v>2222</v>
      </c>
      <c r="F25" s="574" t="s">
        <v>2223</v>
      </c>
      <c r="G25" s="574" t="s">
        <v>2224</v>
      </c>
      <c r="H25" s="574" t="s">
        <v>2225</v>
      </c>
      <c r="I25" s="574" t="s">
        <v>2226</v>
      </c>
      <c r="J25" s="574" t="s">
        <v>2227</v>
      </c>
      <c r="K25" s="574" t="s">
        <v>2228</v>
      </c>
      <c r="L25" s="574" t="s">
        <v>2229</v>
      </c>
      <c r="M25" s="574" t="s">
        <v>2230</v>
      </c>
      <c r="N25" s="574" t="s">
        <v>2231</v>
      </c>
      <c r="O25" s="574" t="s">
        <v>2232</v>
      </c>
      <c r="P25" s="574" t="s">
        <v>2233</v>
      </c>
      <c r="Q25" s="574" t="s">
        <v>2234</v>
      </c>
      <c r="R25" s="574" t="s">
        <v>2225</v>
      </c>
      <c r="S25" s="574" t="s">
        <v>2235</v>
      </c>
      <c r="T25" s="574" t="s">
        <v>2236</v>
      </c>
      <c r="U25" s="574" t="s">
        <v>2277</v>
      </c>
      <c r="V25" s="574" t="s">
        <v>2238</v>
      </c>
      <c r="W25" s="574" t="s">
        <v>2239</v>
      </c>
      <c r="X25" s="574" t="s">
        <v>2278</v>
      </c>
      <c r="Y25" s="575" t="s">
        <v>2276</v>
      </c>
      <c r="Z25" s="575" t="s">
        <v>2276</v>
      </c>
      <c r="AA25" s="574" t="s">
        <v>2261</v>
      </c>
      <c r="AB25" s="574" t="s">
        <v>2262</v>
      </c>
      <c r="AC25" s="574" t="s">
        <v>2267</v>
      </c>
      <c r="AD25" s="574" t="s">
        <v>97</v>
      </c>
      <c r="AE25" s="574" t="s">
        <v>2268</v>
      </c>
      <c r="AF25" s="574" t="s">
        <v>97</v>
      </c>
      <c r="AG25" s="576">
        <v>0</v>
      </c>
      <c r="AH25" s="576">
        <v>566517.82999999996</v>
      </c>
    </row>
    <row r="26" spans="1:34" x14ac:dyDescent="0.25">
      <c r="A26" s="574" t="s">
        <v>2219</v>
      </c>
      <c r="B26" s="574" t="s">
        <v>2220</v>
      </c>
      <c r="C26" s="574" t="s">
        <v>2221</v>
      </c>
      <c r="D26" s="574" t="s">
        <v>2220</v>
      </c>
      <c r="E26" s="574" t="s">
        <v>2222</v>
      </c>
      <c r="F26" s="574" t="s">
        <v>2223</v>
      </c>
      <c r="G26" s="574" t="s">
        <v>2224</v>
      </c>
      <c r="H26" s="574" t="s">
        <v>2225</v>
      </c>
      <c r="I26" s="574" t="s">
        <v>2226</v>
      </c>
      <c r="J26" s="574" t="s">
        <v>2227</v>
      </c>
      <c r="K26" s="574" t="s">
        <v>2228</v>
      </c>
      <c r="L26" s="574" t="s">
        <v>2229</v>
      </c>
      <c r="M26" s="574" t="s">
        <v>2230</v>
      </c>
      <c r="N26" s="574" t="s">
        <v>2231</v>
      </c>
      <c r="O26" s="574" t="s">
        <v>2232</v>
      </c>
      <c r="P26" s="574" t="s">
        <v>2233</v>
      </c>
      <c r="Q26" s="574" t="s">
        <v>2234</v>
      </c>
      <c r="R26" s="574" t="s">
        <v>2225</v>
      </c>
      <c r="S26" s="574" t="s">
        <v>2235</v>
      </c>
      <c r="T26" s="574" t="s">
        <v>2236</v>
      </c>
      <c r="U26" s="574" t="s">
        <v>1730</v>
      </c>
      <c r="V26" s="574" t="s">
        <v>2238</v>
      </c>
      <c r="W26" s="574" t="s">
        <v>2239</v>
      </c>
      <c r="X26" s="574" t="s">
        <v>2279</v>
      </c>
      <c r="Y26" s="575" t="s">
        <v>2280</v>
      </c>
      <c r="Z26" s="575" t="s">
        <v>2280</v>
      </c>
      <c r="AA26" s="574" t="s">
        <v>2242</v>
      </c>
      <c r="AB26" s="574" t="s">
        <v>2243</v>
      </c>
      <c r="AC26" s="574" t="s">
        <v>2281</v>
      </c>
      <c r="AD26" s="574" t="s">
        <v>2282</v>
      </c>
      <c r="AE26" s="574" t="s">
        <v>2283</v>
      </c>
      <c r="AF26" s="574" t="s">
        <v>2284</v>
      </c>
      <c r="AG26" s="576">
        <v>0</v>
      </c>
      <c r="AH26" s="576">
        <v>156153.53</v>
      </c>
    </row>
    <row r="27" spans="1:34" x14ac:dyDescent="0.25">
      <c r="A27" s="574" t="s">
        <v>2219</v>
      </c>
      <c r="B27" s="574" t="s">
        <v>2220</v>
      </c>
      <c r="C27" s="574" t="s">
        <v>2221</v>
      </c>
      <c r="D27" s="574" t="s">
        <v>2220</v>
      </c>
      <c r="E27" s="574" t="s">
        <v>2222</v>
      </c>
      <c r="F27" s="574" t="s">
        <v>2223</v>
      </c>
      <c r="G27" s="574" t="s">
        <v>2224</v>
      </c>
      <c r="H27" s="574" t="s">
        <v>2225</v>
      </c>
      <c r="I27" s="574" t="s">
        <v>2226</v>
      </c>
      <c r="J27" s="574" t="s">
        <v>2227</v>
      </c>
      <c r="K27" s="574" t="s">
        <v>2228</v>
      </c>
      <c r="L27" s="574" t="s">
        <v>2229</v>
      </c>
      <c r="M27" s="574" t="s">
        <v>2230</v>
      </c>
      <c r="N27" s="574" t="s">
        <v>2231</v>
      </c>
      <c r="O27" s="574" t="s">
        <v>2232</v>
      </c>
      <c r="P27" s="574" t="s">
        <v>2233</v>
      </c>
      <c r="Q27" s="574" t="s">
        <v>2234</v>
      </c>
      <c r="R27" s="574" t="s">
        <v>2225</v>
      </c>
      <c r="S27" s="574" t="s">
        <v>2235</v>
      </c>
      <c r="T27" s="574" t="s">
        <v>2236</v>
      </c>
      <c r="U27" s="574" t="s">
        <v>2285</v>
      </c>
      <c r="V27" s="574" t="s">
        <v>2238</v>
      </c>
      <c r="W27" s="574" t="s">
        <v>2239</v>
      </c>
      <c r="X27" s="574" t="s">
        <v>2286</v>
      </c>
      <c r="Y27" s="575" t="s">
        <v>2280</v>
      </c>
      <c r="Z27" s="575" t="s">
        <v>2280</v>
      </c>
      <c r="AA27" s="574" t="s">
        <v>2242</v>
      </c>
      <c r="AB27" s="574" t="s">
        <v>2243</v>
      </c>
      <c r="AC27" s="574" t="s">
        <v>2281</v>
      </c>
      <c r="AD27" s="574" t="s">
        <v>2282</v>
      </c>
      <c r="AE27" s="574" t="s">
        <v>2287</v>
      </c>
      <c r="AF27" s="574" t="s">
        <v>2288</v>
      </c>
      <c r="AG27" s="576">
        <v>0</v>
      </c>
      <c r="AH27" s="576">
        <v>347000</v>
      </c>
    </row>
    <row r="28" spans="1:34" x14ac:dyDescent="0.25">
      <c r="A28" s="574" t="s">
        <v>2219</v>
      </c>
      <c r="B28" s="574" t="s">
        <v>2220</v>
      </c>
      <c r="C28" s="574" t="s">
        <v>2221</v>
      </c>
      <c r="D28" s="574" t="s">
        <v>2220</v>
      </c>
      <c r="E28" s="574" t="s">
        <v>2222</v>
      </c>
      <c r="F28" s="574" t="s">
        <v>2223</v>
      </c>
      <c r="G28" s="574" t="s">
        <v>2224</v>
      </c>
      <c r="H28" s="574" t="s">
        <v>2225</v>
      </c>
      <c r="I28" s="574" t="s">
        <v>2226</v>
      </c>
      <c r="J28" s="574" t="s">
        <v>2227</v>
      </c>
      <c r="K28" s="574" t="s">
        <v>2228</v>
      </c>
      <c r="L28" s="574" t="s">
        <v>2229</v>
      </c>
      <c r="M28" s="574" t="s">
        <v>2230</v>
      </c>
      <c r="N28" s="574" t="s">
        <v>2231</v>
      </c>
      <c r="O28" s="574" t="s">
        <v>2232</v>
      </c>
      <c r="P28" s="574" t="s">
        <v>2233</v>
      </c>
      <c r="Q28" s="574" t="s">
        <v>2234</v>
      </c>
      <c r="R28" s="574" t="s">
        <v>2225</v>
      </c>
      <c r="S28" s="574" t="s">
        <v>2235</v>
      </c>
      <c r="T28" s="574" t="s">
        <v>2236</v>
      </c>
      <c r="U28" s="574" t="s">
        <v>2289</v>
      </c>
      <c r="V28" s="574" t="s">
        <v>2238</v>
      </c>
      <c r="W28" s="574" t="s">
        <v>2239</v>
      </c>
      <c r="X28" s="574" t="s">
        <v>2290</v>
      </c>
      <c r="Y28" s="575" t="s">
        <v>2291</v>
      </c>
      <c r="Z28" s="575" t="s">
        <v>2291</v>
      </c>
      <c r="AA28" s="574" t="s">
        <v>2242</v>
      </c>
      <c r="AB28" s="574" t="s">
        <v>2243</v>
      </c>
      <c r="AC28" s="574" t="s">
        <v>2244</v>
      </c>
      <c r="AD28" s="574" t="s">
        <v>2245</v>
      </c>
      <c r="AE28" s="574" t="s">
        <v>2246</v>
      </c>
      <c r="AF28" s="574" t="s">
        <v>2247</v>
      </c>
      <c r="AG28" s="576">
        <v>0</v>
      </c>
      <c r="AH28" s="576">
        <v>47352666.289999999</v>
      </c>
    </row>
    <row r="29" spans="1:34" x14ac:dyDescent="0.25">
      <c r="A29" s="574" t="s">
        <v>2219</v>
      </c>
      <c r="B29" s="574" t="s">
        <v>2220</v>
      </c>
      <c r="C29" s="574" t="s">
        <v>2221</v>
      </c>
      <c r="D29" s="574" t="s">
        <v>2220</v>
      </c>
      <c r="E29" s="574" t="s">
        <v>2222</v>
      </c>
      <c r="F29" s="574" t="s">
        <v>2223</v>
      </c>
      <c r="G29" s="574" t="s">
        <v>2224</v>
      </c>
      <c r="H29" s="574" t="s">
        <v>2225</v>
      </c>
      <c r="I29" s="574" t="s">
        <v>2226</v>
      </c>
      <c r="J29" s="574" t="s">
        <v>2227</v>
      </c>
      <c r="K29" s="574" t="s">
        <v>2228</v>
      </c>
      <c r="L29" s="574" t="s">
        <v>2229</v>
      </c>
      <c r="M29" s="574" t="s">
        <v>2230</v>
      </c>
      <c r="N29" s="574" t="s">
        <v>2231</v>
      </c>
      <c r="O29" s="574" t="s">
        <v>2232</v>
      </c>
      <c r="P29" s="574" t="s">
        <v>2233</v>
      </c>
      <c r="Q29" s="574" t="s">
        <v>2234</v>
      </c>
      <c r="R29" s="574" t="s">
        <v>2225</v>
      </c>
      <c r="S29" s="574" t="s">
        <v>2235</v>
      </c>
      <c r="T29" s="574" t="s">
        <v>2236</v>
      </c>
      <c r="U29" s="574" t="s">
        <v>2289</v>
      </c>
      <c r="V29" s="574" t="s">
        <v>2238</v>
      </c>
      <c r="W29" s="574" t="s">
        <v>2239</v>
      </c>
      <c r="X29" s="574" t="s">
        <v>2290</v>
      </c>
      <c r="Y29" s="575" t="s">
        <v>2291</v>
      </c>
      <c r="Z29" s="575" t="s">
        <v>2291</v>
      </c>
      <c r="AA29" s="574" t="s">
        <v>2248</v>
      </c>
      <c r="AB29" s="574" t="s">
        <v>2249</v>
      </c>
      <c r="AC29" s="574" t="s">
        <v>2250</v>
      </c>
      <c r="AD29" s="574" t="s">
        <v>2251</v>
      </c>
      <c r="AE29" s="574" t="s">
        <v>2252</v>
      </c>
      <c r="AF29" s="574" t="s">
        <v>2251</v>
      </c>
      <c r="AG29" s="576">
        <v>0</v>
      </c>
      <c r="AH29" s="576">
        <v>2431233.3199999998</v>
      </c>
    </row>
    <row r="30" spans="1:34" x14ac:dyDescent="0.25">
      <c r="A30" s="574" t="s">
        <v>2219</v>
      </c>
      <c r="B30" s="574" t="s">
        <v>2220</v>
      </c>
      <c r="C30" s="574" t="s">
        <v>2221</v>
      </c>
      <c r="D30" s="574" t="s">
        <v>2220</v>
      </c>
      <c r="E30" s="574" t="s">
        <v>2222</v>
      </c>
      <c r="F30" s="574" t="s">
        <v>2223</v>
      </c>
      <c r="G30" s="574" t="s">
        <v>2224</v>
      </c>
      <c r="H30" s="574" t="s">
        <v>2225</v>
      </c>
      <c r="I30" s="574" t="s">
        <v>2226</v>
      </c>
      <c r="J30" s="574" t="s">
        <v>2227</v>
      </c>
      <c r="K30" s="574" t="s">
        <v>2228</v>
      </c>
      <c r="L30" s="574" t="s">
        <v>2229</v>
      </c>
      <c r="M30" s="574" t="s">
        <v>2230</v>
      </c>
      <c r="N30" s="574" t="s">
        <v>2231</v>
      </c>
      <c r="O30" s="574" t="s">
        <v>2232</v>
      </c>
      <c r="P30" s="574" t="s">
        <v>2233</v>
      </c>
      <c r="Q30" s="574" t="s">
        <v>2234</v>
      </c>
      <c r="R30" s="574" t="s">
        <v>2225</v>
      </c>
      <c r="S30" s="574" t="s">
        <v>2235</v>
      </c>
      <c r="T30" s="574" t="s">
        <v>2236</v>
      </c>
      <c r="U30" s="574" t="s">
        <v>2289</v>
      </c>
      <c r="V30" s="574" t="s">
        <v>2238</v>
      </c>
      <c r="W30" s="574" t="s">
        <v>2239</v>
      </c>
      <c r="X30" s="574" t="s">
        <v>2290</v>
      </c>
      <c r="Y30" s="575" t="s">
        <v>2291</v>
      </c>
      <c r="Z30" s="575" t="s">
        <v>2291</v>
      </c>
      <c r="AA30" s="574" t="s">
        <v>2248</v>
      </c>
      <c r="AB30" s="574" t="s">
        <v>2249</v>
      </c>
      <c r="AC30" s="574" t="s">
        <v>2253</v>
      </c>
      <c r="AD30" s="574" t="s">
        <v>2254</v>
      </c>
      <c r="AE30" s="574" t="s">
        <v>2255</v>
      </c>
      <c r="AF30" s="574" t="s">
        <v>2256</v>
      </c>
      <c r="AG30" s="576">
        <v>0</v>
      </c>
      <c r="AH30" s="576">
        <v>283200</v>
      </c>
    </row>
    <row r="31" spans="1:34" x14ac:dyDescent="0.25">
      <c r="A31" s="574" t="s">
        <v>2219</v>
      </c>
      <c r="B31" s="574" t="s">
        <v>2220</v>
      </c>
      <c r="C31" s="574" t="s">
        <v>2221</v>
      </c>
      <c r="D31" s="574" t="s">
        <v>2220</v>
      </c>
      <c r="E31" s="574" t="s">
        <v>2222</v>
      </c>
      <c r="F31" s="574" t="s">
        <v>2223</v>
      </c>
      <c r="G31" s="574" t="s">
        <v>2224</v>
      </c>
      <c r="H31" s="574" t="s">
        <v>2225</v>
      </c>
      <c r="I31" s="574" t="s">
        <v>2226</v>
      </c>
      <c r="J31" s="574" t="s">
        <v>2227</v>
      </c>
      <c r="K31" s="574" t="s">
        <v>2228</v>
      </c>
      <c r="L31" s="574" t="s">
        <v>2229</v>
      </c>
      <c r="M31" s="574" t="s">
        <v>2230</v>
      </c>
      <c r="N31" s="574" t="s">
        <v>2231</v>
      </c>
      <c r="O31" s="574" t="s">
        <v>2232</v>
      </c>
      <c r="P31" s="574" t="s">
        <v>2233</v>
      </c>
      <c r="Q31" s="574" t="s">
        <v>2234</v>
      </c>
      <c r="R31" s="574" t="s">
        <v>2225</v>
      </c>
      <c r="S31" s="574" t="s">
        <v>2235</v>
      </c>
      <c r="T31" s="574" t="s">
        <v>2236</v>
      </c>
      <c r="U31" s="574" t="s">
        <v>2289</v>
      </c>
      <c r="V31" s="574" t="s">
        <v>2238</v>
      </c>
      <c r="W31" s="574" t="s">
        <v>2239</v>
      </c>
      <c r="X31" s="574" t="s">
        <v>2290</v>
      </c>
      <c r="Y31" s="575" t="s">
        <v>2291</v>
      </c>
      <c r="Z31" s="575" t="s">
        <v>2291</v>
      </c>
      <c r="AA31" s="574" t="s">
        <v>2248</v>
      </c>
      <c r="AB31" s="574" t="s">
        <v>2249</v>
      </c>
      <c r="AC31" s="574" t="s">
        <v>2253</v>
      </c>
      <c r="AD31" s="574" t="s">
        <v>2254</v>
      </c>
      <c r="AE31" s="574" t="s">
        <v>2257</v>
      </c>
      <c r="AF31" s="574" t="s">
        <v>2258</v>
      </c>
      <c r="AG31" s="576">
        <v>0</v>
      </c>
      <c r="AH31" s="576">
        <v>10717.4</v>
      </c>
    </row>
    <row r="32" spans="1:34" x14ac:dyDescent="0.25">
      <c r="A32" s="574" t="s">
        <v>2219</v>
      </c>
      <c r="B32" s="574" t="s">
        <v>2220</v>
      </c>
      <c r="C32" s="574" t="s">
        <v>2221</v>
      </c>
      <c r="D32" s="574" t="s">
        <v>2220</v>
      </c>
      <c r="E32" s="574" t="s">
        <v>2222</v>
      </c>
      <c r="F32" s="574" t="s">
        <v>2223</v>
      </c>
      <c r="G32" s="574" t="s">
        <v>2224</v>
      </c>
      <c r="H32" s="574" t="s">
        <v>2225</v>
      </c>
      <c r="I32" s="574" t="s">
        <v>2226</v>
      </c>
      <c r="J32" s="574" t="s">
        <v>2227</v>
      </c>
      <c r="K32" s="574" t="s">
        <v>2228</v>
      </c>
      <c r="L32" s="574" t="s">
        <v>2229</v>
      </c>
      <c r="M32" s="574" t="s">
        <v>2230</v>
      </c>
      <c r="N32" s="574" t="s">
        <v>2231</v>
      </c>
      <c r="O32" s="574" t="s">
        <v>2232</v>
      </c>
      <c r="P32" s="574" t="s">
        <v>2233</v>
      </c>
      <c r="Q32" s="574" t="s">
        <v>2234</v>
      </c>
      <c r="R32" s="574" t="s">
        <v>2225</v>
      </c>
      <c r="S32" s="574" t="s">
        <v>2235</v>
      </c>
      <c r="T32" s="574" t="s">
        <v>2236</v>
      </c>
      <c r="U32" s="574" t="s">
        <v>2289</v>
      </c>
      <c r="V32" s="574" t="s">
        <v>2238</v>
      </c>
      <c r="W32" s="574" t="s">
        <v>2239</v>
      </c>
      <c r="X32" s="574" t="s">
        <v>2290</v>
      </c>
      <c r="Y32" s="575" t="s">
        <v>2291</v>
      </c>
      <c r="Z32" s="575" t="s">
        <v>2291</v>
      </c>
      <c r="AA32" s="574" t="s">
        <v>2248</v>
      </c>
      <c r="AB32" s="574" t="s">
        <v>2249</v>
      </c>
      <c r="AC32" s="574" t="s">
        <v>2253</v>
      </c>
      <c r="AD32" s="574" t="s">
        <v>2254</v>
      </c>
      <c r="AE32" s="574" t="s">
        <v>2259</v>
      </c>
      <c r="AF32" s="574" t="s">
        <v>2260</v>
      </c>
      <c r="AG32" s="576">
        <v>0</v>
      </c>
      <c r="AH32" s="576">
        <v>58945.7</v>
      </c>
    </row>
    <row r="33" spans="1:35" x14ac:dyDescent="0.25">
      <c r="A33" s="574" t="s">
        <v>2219</v>
      </c>
      <c r="B33" s="574" t="s">
        <v>2220</v>
      </c>
      <c r="C33" s="574" t="s">
        <v>2221</v>
      </c>
      <c r="D33" s="574" t="s">
        <v>2220</v>
      </c>
      <c r="E33" s="574" t="s">
        <v>2222</v>
      </c>
      <c r="F33" s="574" t="s">
        <v>2223</v>
      </c>
      <c r="G33" s="574" t="s">
        <v>2224</v>
      </c>
      <c r="H33" s="574" t="s">
        <v>2225</v>
      </c>
      <c r="I33" s="574" t="s">
        <v>2226</v>
      </c>
      <c r="J33" s="574" t="s">
        <v>2227</v>
      </c>
      <c r="K33" s="574" t="s">
        <v>2228</v>
      </c>
      <c r="L33" s="574" t="s">
        <v>2229</v>
      </c>
      <c r="M33" s="574" t="s">
        <v>2230</v>
      </c>
      <c r="N33" s="574" t="s">
        <v>2231</v>
      </c>
      <c r="O33" s="574" t="s">
        <v>2232</v>
      </c>
      <c r="P33" s="574" t="s">
        <v>2233</v>
      </c>
      <c r="Q33" s="574" t="s">
        <v>2234</v>
      </c>
      <c r="R33" s="574" t="s">
        <v>2225</v>
      </c>
      <c r="S33" s="574" t="s">
        <v>2235</v>
      </c>
      <c r="T33" s="574" t="s">
        <v>2236</v>
      </c>
      <c r="U33" s="574" t="s">
        <v>2289</v>
      </c>
      <c r="V33" s="574" t="s">
        <v>2238</v>
      </c>
      <c r="W33" s="574" t="s">
        <v>2239</v>
      </c>
      <c r="X33" s="574" t="s">
        <v>2290</v>
      </c>
      <c r="Y33" s="575" t="s">
        <v>2291</v>
      </c>
      <c r="Z33" s="575" t="s">
        <v>2291</v>
      </c>
      <c r="AA33" s="574" t="s">
        <v>2261</v>
      </c>
      <c r="AB33" s="574" t="s">
        <v>2262</v>
      </c>
      <c r="AC33" s="574" t="s">
        <v>2263</v>
      </c>
      <c r="AD33" s="574" t="s">
        <v>95</v>
      </c>
      <c r="AE33" s="574" t="s">
        <v>2264</v>
      </c>
      <c r="AF33" s="574" t="s">
        <v>95</v>
      </c>
      <c r="AG33" s="576">
        <v>0</v>
      </c>
      <c r="AH33" s="576">
        <v>3357303.06</v>
      </c>
    </row>
    <row r="34" spans="1:35" x14ac:dyDescent="0.25">
      <c r="A34" s="574" t="s">
        <v>2219</v>
      </c>
      <c r="B34" s="574" t="s">
        <v>2220</v>
      </c>
      <c r="C34" s="574" t="s">
        <v>2221</v>
      </c>
      <c r="D34" s="574" t="s">
        <v>2220</v>
      </c>
      <c r="E34" s="574" t="s">
        <v>2222</v>
      </c>
      <c r="F34" s="574" t="s">
        <v>2223</v>
      </c>
      <c r="G34" s="574" t="s">
        <v>2224</v>
      </c>
      <c r="H34" s="574" t="s">
        <v>2225</v>
      </c>
      <c r="I34" s="574" t="s">
        <v>2226</v>
      </c>
      <c r="J34" s="574" t="s">
        <v>2227</v>
      </c>
      <c r="K34" s="574" t="s">
        <v>2228</v>
      </c>
      <c r="L34" s="574" t="s">
        <v>2229</v>
      </c>
      <c r="M34" s="574" t="s">
        <v>2230</v>
      </c>
      <c r="N34" s="574" t="s">
        <v>2231</v>
      </c>
      <c r="O34" s="574" t="s">
        <v>2232</v>
      </c>
      <c r="P34" s="574" t="s">
        <v>2233</v>
      </c>
      <c r="Q34" s="574" t="s">
        <v>2234</v>
      </c>
      <c r="R34" s="574" t="s">
        <v>2225</v>
      </c>
      <c r="S34" s="574" t="s">
        <v>2235</v>
      </c>
      <c r="T34" s="574" t="s">
        <v>2236</v>
      </c>
      <c r="U34" s="574" t="s">
        <v>2289</v>
      </c>
      <c r="V34" s="574" t="s">
        <v>2238</v>
      </c>
      <c r="W34" s="574" t="s">
        <v>2239</v>
      </c>
      <c r="X34" s="574" t="s">
        <v>2290</v>
      </c>
      <c r="Y34" s="575" t="s">
        <v>2291</v>
      </c>
      <c r="Z34" s="575" t="s">
        <v>2291</v>
      </c>
      <c r="AA34" s="574" t="s">
        <v>2261</v>
      </c>
      <c r="AB34" s="574" t="s">
        <v>2262</v>
      </c>
      <c r="AC34" s="574" t="s">
        <v>2265</v>
      </c>
      <c r="AD34" s="574" t="s">
        <v>96</v>
      </c>
      <c r="AE34" s="574" t="s">
        <v>2266</v>
      </c>
      <c r="AF34" s="574" t="s">
        <v>96</v>
      </c>
      <c r="AG34" s="576">
        <v>0</v>
      </c>
      <c r="AH34" s="576">
        <v>3362038.76</v>
      </c>
    </row>
    <row r="35" spans="1:35" x14ac:dyDescent="0.25">
      <c r="A35" s="574" t="s">
        <v>2219</v>
      </c>
      <c r="B35" s="574" t="s">
        <v>2220</v>
      </c>
      <c r="C35" s="574" t="s">
        <v>2221</v>
      </c>
      <c r="D35" s="574" t="s">
        <v>2220</v>
      </c>
      <c r="E35" s="574" t="s">
        <v>2222</v>
      </c>
      <c r="F35" s="574" t="s">
        <v>2223</v>
      </c>
      <c r="G35" s="574" t="s">
        <v>2224</v>
      </c>
      <c r="H35" s="574" t="s">
        <v>2225</v>
      </c>
      <c r="I35" s="574" t="s">
        <v>2226</v>
      </c>
      <c r="J35" s="574" t="s">
        <v>2227</v>
      </c>
      <c r="K35" s="574" t="s">
        <v>2228</v>
      </c>
      <c r="L35" s="574" t="s">
        <v>2229</v>
      </c>
      <c r="M35" s="574" t="s">
        <v>2230</v>
      </c>
      <c r="N35" s="574" t="s">
        <v>2231</v>
      </c>
      <c r="O35" s="574" t="s">
        <v>2232</v>
      </c>
      <c r="P35" s="574" t="s">
        <v>2233</v>
      </c>
      <c r="Q35" s="574" t="s">
        <v>2234</v>
      </c>
      <c r="R35" s="574" t="s">
        <v>2225</v>
      </c>
      <c r="S35" s="574" t="s">
        <v>2235</v>
      </c>
      <c r="T35" s="574" t="s">
        <v>2236</v>
      </c>
      <c r="U35" s="574" t="s">
        <v>2289</v>
      </c>
      <c r="V35" s="574" t="s">
        <v>2238</v>
      </c>
      <c r="W35" s="574" t="s">
        <v>2239</v>
      </c>
      <c r="X35" s="574" t="s">
        <v>2290</v>
      </c>
      <c r="Y35" s="575" t="s">
        <v>2291</v>
      </c>
      <c r="Z35" s="575" t="s">
        <v>2291</v>
      </c>
      <c r="AA35" s="574" t="s">
        <v>2261</v>
      </c>
      <c r="AB35" s="574" t="s">
        <v>2262</v>
      </c>
      <c r="AC35" s="574" t="s">
        <v>2267</v>
      </c>
      <c r="AD35" s="574" t="s">
        <v>97</v>
      </c>
      <c r="AE35" s="574" t="s">
        <v>2268</v>
      </c>
      <c r="AF35" s="574" t="s">
        <v>97</v>
      </c>
      <c r="AG35" s="576">
        <v>0</v>
      </c>
      <c r="AH35" s="576">
        <v>567124.57999999996</v>
      </c>
    </row>
    <row r="36" spans="1:35" x14ac:dyDescent="0.25">
      <c r="A36" s="574" t="s">
        <v>2219</v>
      </c>
      <c r="B36" s="574" t="s">
        <v>2220</v>
      </c>
      <c r="C36" s="574" t="s">
        <v>2221</v>
      </c>
      <c r="D36" s="574" t="s">
        <v>2220</v>
      </c>
      <c r="E36" s="574" t="s">
        <v>2222</v>
      </c>
      <c r="F36" s="574" t="s">
        <v>2223</v>
      </c>
      <c r="G36" s="574" t="s">
        <v>2224</v>
      </c>
      <c r="H36" s="574" t="s">
        <v>2225</v>
      </c>
      <c r="I36" s="574" t="s">
        <v>2226</v>
      </c>
      <c r="J36" s="574" t="s">
        <v>2227</v>
      </c>
      <c r="K36" s="574" t="s">
        <v>2228</v>
      </c>
      <c r="L36" s="574" t="s">
        <v>2229</v>
      </c>
      <c r="M36" s="574" t="s">
        <v>2230</v>
      </c>
      <c r="N36" s="574" t="s">
        <v>2231</v>
      </c>
      <c r="O36" s="574" t="s">
        <v>2232</v>
      </c>
      <c r="P36" s="574" t="s">
        <v>2233</v>
      </c>
      <c r="Q36" s="574" t="s">
        <v>2234</v>
      </c>
      <c r="R36" s="574" t="s">
        <v>2225</v>
      </c>
      <c r="S36" s="574" t="s">
        <v>2235</v>
      </c>
      <c r="T36" s="574" t="s">
        <v>2236</v>
      </c>
      <c r="U36" s="574" t="s">
        <v>2292</v>
      </c>
      <c r="V36" s="574" t="s">
        <v>2238</v>
      </c>
      <c r="W36" s="574" t="s">
        <v>2239</v>
      </c>
      <c r="X36" s="574" t="s">
        <v>2293</v>
      </c>
      <c r="Y36" s="575" t="s">
        <v>2291</v>
      </c>
      <c r="Z36" s="575" t="s">
        <v>2291</v>
      </c>
      <c r="AA36" s="574" t="s">
        <v>2242</v>
      </c>
      <c r="AB36" s="574" t="s">
        <v>2243</v>
      </c>
      <c r="AC36" s="574" t="s">
        <v>2271</v>
      </c>
      <c r="AD36" s="574" t="s">
        <v>181</v>
      </c>
      <c r="AE36" s="574" t="s">
        <v>2272</v>
      </c>
      <c r="AF36" s="574" t="s">
        <v>2273</v>
      </c>
      <c r="AG36" s="576">
        <v>0</v>
      </c>
      <c r="AH36" s="576">
        <v>732074.29</v>
      </c>
    </row>
    <row r="37" spans="1:35" x14ac:dyDescent="0.25">
      <c r="A37" s="574" t="s">
        <v>2219</v>
      </c>
      <c r="B37" s="574" t="s">
        <v>2220</v>
      </c>
      <c r="C37" s="574" t="s">
        <v>2221</v>
      </c>
      <c r="D37" s="574" t="s">
        <v>2220</v>
      </c>
      <c r="E37" s="574" t="s">
        <v>2222</v>
      </c>
      <c r="F37" s="574" t="s">
        <v>2223</v>
      </c>
      <c r="G37" s="574" t="s">
        <v>2224</v>
      </c>
      <c r="H37" s="574" t="s">
        <v>2225</v>
      </c>
      <c r="I37" s="574" t="s">
        <v>2226</v>
      </c>
      <c r="J37" s="574" t="s">
        <v>2227</v>
      </c>
      <c r="K37" s="574" t="s">
        <v>2228</v>
      </c>
      <c r="L37" s="574" t="s">
        <v>2229</v>
      </c>
      <c r="M37" s="574" t="s">
        <v>2230</v>
      </c>
      <c r="N37" s="574" t="s">
        <v>2231</v>
      </c>
      <c r="O37" s="574" t="s">
        <v>2232</v>
      </c>
      <c r="P37" s="574" t="s">
        <v>2233</v>
      </c>
      <c r="Q37" s="574" t="s">
        <v>2234</v>
      </c>
      <c r="R37" s="574" t="s">
        <v>2225</v>
      </c>
      <c r="S37" s="574" t="s">
        <v>2235</v>
      </c>
      <c r="T37" s="574" t="s">
        <v>2236</v>
      </c>
      <c r="U37" s="574" t="s">
        <v>2292</v>
      </c>
      <c r="V37" s="574" t="s">
        <v>2238</v>
      </c>
      <c r="W37" s="574" t="s">
        <v>2239</v>
      </c>
      <c r="X37" s="574" t="s">
        <v>2293</v>
      </c>
      <c r="Y37" s="575" t="s">
        <v>2291</v>
      </c>
      <c r="Z37" s="575" t="s">
        <v>2291</v>
      </c>
      <c r="AA37" s="574" t="s">
        <v>2261</v>
      </c>
      <c r="AB37" s="574" t="s">
        <v>2262</v>
      </c>
      <c r="AC37" s="574" t="s">
        <v>2263</v>
      </c>
      <c r="AD37" s="574" t="s">
        <v>95</v>
      </c>
      <c r="AE37" s="574" t="s">
        <v>2264</v>
      </c>
      <c r="AF37" s="574" t="s">
        <v>95</v>
      </c>
      <c r="AG37" s="576">
        <v>0</v>
      </c>
      <c r="AH37" s="576">
        <v>51904.07</v>
      </c>
    </row>
    <row r="38" spans="1:35" x14ac:dyDescent="0.25">
      <c r="A38" s="574" t="s">
        <v>2219</v>
      </c>
      <c r="B38" s="574" t="s">
        <v>2220</v>
      </c>
      <c r="C38" s="574" t="s">
        <v>2221</v>
      </c>
      <c r="D38" s="574" t="s">
        <v>2220</v>
      </c>
      <c r="E38" s="574" t="s">
        <v>2222</v>
      </c>
      <c r="F38" s="574" t="s">
        <v>2223</v>
      </c>
      <c r="G38" s="574" t="s">
        <v>2224</v>
      </c>
      <c r="H38" s="574" t="s">
        <v>2225</v>
      </c>
      <c r="I38" s="574" t="s">
        <v>2226</v>
      </c>
      <c r="J38" s="574" t="s">
        <v>2227</v>
      </c>
      <c r="K38" s="574" t="s">
        <v>2228</v>
      </c>
      <c r="L38" s="574" t="s">
        <v>2229</v>
      </c>
      <c r="M38" s="574" t="s">
        <v>2230</v>
      </c>
      <c r="N38" s="574" t="s">
        <v>2231</v>
      </c>
      <c r="O38" s="574" t="s">
        <v>2232</v>
      </c>
      <c r="P38" s="574" t="s">
        <v>2233</v>
      </c>
      <c r="Q38" s="574" t="s">
        <v>2234</v>
      </c>
      <c r="R38" s="574" t="s">
        <v>2225</v>
      </c>
      <c r="S38" s="574" t="s">
        <v>2235</v>
      </c>
      <c r="T38" s="574" t="s">
        <v>2236</v>
      </c>
      <c r="U38" s="574" t="s">
        <v>2292</v>
      </c>
      <c r="V38" s="574" t="s">
        <v>2238</v>
      </c>
      <c r="W38" s="574" t="s">
        <v>2239</v>
      </c>
      <c r="X38" s="574" t="s">
        <v>2293</v>
      </c>
      <c r="Y38" s="575" t="s">
        <v>2291</v>
      </c>
      <c r="Z38" s="575" t="s">
        <v>2291</v>
      </c>
      <c r="AA38" s="574" t="s">
        <v>2261</v>
      </c>
      <c r="AB38" s="574" t="s">
        <v>2262</v>
      </c>
      <c r="AC38" s="574" t="s">
        <v>2265</v>
      </c>
      <c r="AD38" s="574" t="s">
        <v>96</v>
      </c>
      <c r="AE38" s="574" t="s">
        <v>2266</v>
      </c>
      <c r="AF38" s="574" t="s">
        <v>96</v>
      </c>
      <c r="AG38" s="576">
        <v>0</v>
      </c>
      <c r="AH38" s="576">
        <v>51977.27</v>
      </c>
    </row>
    <row r="39" spans="1:35" x14ac:dyDescent="0.25">
      <c r="A39" s="574" t="s">
        <v>2219</v>
      </c>
      <c r="B39" s="574" t="s">
        <v>2220</v>
      </c>
      <c r="C39" s="574" t="s">
        <v>2221</v>
      </c>
      <c r="D39" s="574" t="s">
        <v>2220</v>
      </c>
      <c r="E39" s="574" t="s">
        <v>2222</v>
      </c>
      <c r="F39" s="574" t="s">
        <v>2223</v>
      </c>
      <c r="G39" s="574" t="s">
        <v>2224</v>
      </c>
      <c r="H39" s="574" t="s">
        <v>2225</v>
      </c>
      <c r="I39" s="574" t="s">
        <v>2226</v>
      </c>
      <c r="J39" s="574" t="s">
        <v>2227</v>
      </c>
      <c r="K39" s="574" t="s">
        <v>2228</v>
      </c>
      <c r="L39" s="574" t="s">
        <v>2229</v>
      </c>
      <c r="M39" s="574" t="s">
        <v>2230</v>
      </c>
      <c r="N39" s="574" t="s">
        <v>2231</v>
      </c>
      <c r="O39" s="574" t="s">
        <v>2232</v>
      </c>
      <c r="P39" s="574" t="s">
        <v>2233</v>
      </c>
      <c r="Q39" s="574" t="s">
        <v>2234</v>
      </c>
      <c r="R39" s="574" t="s">
        <v>2225</v>
      </c>
      <c r="S39" s="574" t="s">
        <v>2235</v>
      </c>
      <c r="T39" s="574" t="s">
        <v>2236</v>
      </c>
      <c r="U39" s="574" t="s">
        <v>2292</v>
      </c>
      <c r="V39" s="574" t="s">
        <v>2238</v>
      </c>
      <c r="W39" s="574" t="s">
        <v>2239</v>
      </c>
      <c r="X39" s="574" t="s">
        <v>2293</v>
      </c>
      <c r="Y39" s="575" t="s">
        <v>2291</v>
      </c>
      <c r="Z39" s="575" t="s">
        <v>2291</v>
      </c>
      <c r="AA39" s="574" t="s">
        <v>2261</v>
      </c>
      <c r="AB39" s="574" t="s">
        <v>2262</v>
      </c>
      <c r="AC39" s="574" t="s">
        <v>2267</v>
      </c>
      <c r="AD39" s="574" t="s">
        <v>97</v>
      </c>
      <c r="AE39" s="574" t="s">
        <v>2268</v>
      </c>
      <c r="AF39" s="574" t="s">
        <v>97</v>
      </c>
      <c r="AG39" s="576">
        <v>0</v>
      </c>
      <c r="AH39" s="576">
        <v>8693.81</v>
      </c>
    </row>
    <row r="40" spans="1:35" x14ac:dyDescent="0.25">
      <c r="A40" s="574" t="s">
        <v>2219</v>
      </c>
      <c r="B40" s="574" t="s">
        <v>2220</v>
      </c>
      <c r="C40" s="574" t="s">
        <v>2221</v>
      </c>
      <c r="D40" s="574" t="s">
        <v>2220</v>
      </c>
      <c r="E40" s="574" t="s">
        <v>2222</v>
      </c>
      <c r="F40" s="574" t="s">
        <v>2223</v>
      </c>
      <c r="G40" s="574" t="s">
        <v>2224</v>
      </c>
      <c r="H40" s="574" t="s">
        <v>2225</v>
      </c>
      <c r="I40" s="574" t="s">
        <v>2226</v>
      </c>
      <c r="J40" s="574" t="s">
        <v>2227</v>
      </c>
      <c r="K40" s="574" t="s">
        <v>2228</v>
      </c>
      <c r="L40" s="574" t="s">
        <v>2229</v>
      </c>
      <c r="M40" s="574" t="s">
        <v>2230</v>
      </c>
      <c r="N40" s="574" t="s">
        <v>2231</v>
      </c>
      <c r="O40" s="574" t="s">
        <v>2232</v>
      </c>
      <c r="P40" s="574" t="s">
        <v>2233</v>
      </c>
      <c r="Q40" s="574" t="s">
        <v>2234</v>
      </c>
      <c r="R40" s="574" t="s">
        <v>2225</v>
      </c>
      <c r="S40" s="574" t="s">
        <v>2235</v>
      </c>
      <c r="T40" s="574" t="s">
        <v>2236</v>
      </c>
      <c r="U40" s="574" t="s">
        <v>2294</v>
      </c>
      <c r="V40" s="574" t="s">
        <v>2238</v>
      </c>
      <c r="W40" s="574" t="s">
        <v>2239</v>
      </c>
      <c r="X40" s="574" t="s">
        <v>2295</v>
      </c>
      <c r="Y40" s="575" t="s">
        <v>2296</v>
      </c>
      <c r="Z40" s="575" t="s">
        <v>2296</v>
      </c>
      <c r="AA40" s="574" t="s">
        <v>1691</v>
      </c>
      <c r="AB40" s="574" t="s">
        <v>2297</v>
      </c>
      <c r="AC40" s="574" t="s">
        <v>2298</v>
      </c>
      <c r="AD40" s="574" t="s">
        <v>2299</v>
      </c>
      <c r="AE40" s="574" t="s">
        <v>1468</v>
      </c>
      <c r="AF40" s="574" t="s">
        <v>2299</v>
      </c>
      <c r="AG40" s="576">
        <v>0</v>
      </c>
      <c r="AH40" s="576">
        <v>46200</v>
      </c>
      <c r="AI40"/>
    </row>
    <row r="41" spans="1:35" x14ac:dyDescent="0.25">
      <c r="A41" s="574" t="s">
        <v>2219</v>
      </c>
      <c r="B41" s="574" t="s">
        <v>2220</v>
      </c>
      <c r="C41" s="574" t="s">
        <v>2221</v>
      </c>
      <c r="D41" s="574" t="s">
        <v>2220</v>
      </c>
      <c r="E41" s="574" t="s">
        <v>2222</v>
      </c>
      <c r="F41" s="574" t="s">
        <v>2223</v>
      </c>
      <c r="G41" s="574" t="s">
        <v>2224</v>
      </c>
      <c r="H41" s="574" t="s">
        <v>2225</v>
      </c>
      <c r="I41" s="574" t="s">
        <v>2226</v>
      </c>
      <c r="J41" s="574" t="s">
        <v>2227</v>
      </c>
      <c r="K41" s="574" t="s">
        <v>2228</v>
      </c>
      <c r="L41" s="574" t="s">
        <v>2229</v>
      </c>
      <c r="M41" s="574" t="s">
        <v>2230</v>
      </c>
      <c r="N41" s="574" t="s">
        <v>2231</v>
      </c>
      <c r="O41" s="574" t="s">
        <v>2232</v>
      </c>
      <c r="P41" s="574" t="s">
        <v>2233</v>
      </c>
      <c r="Q41" s="574" t="s">
        <v>2234</v>
      </c>
      <c r="R41" s="574" t="s">
        <v>2225</v>
      </c>
      <c r="S41" s="574" t="s">
        <v>2235</v>
      </c>
      <c r="T41" s="574" t="s">
        <v>2236</v>
      </c>
      <c r="U41" s="574" t="s">
        <v>2300</v>
      </c>
      <c r="V41" s="574" t="s">
        <v>2238</v>
      </c>
      <c r="W41" s="574" t="s">
        <v>2239</v>
      </c>
      <c r="X41" s="574" t="s">
        <v>2301</v>
      </c>
      <c r="Y41" s="575" t="s">
        <v>2296</v>
      </c>
      <c r="Z41" s="575" t="s">
        <v>2296</v>
      </c>
      <c r="AA41" s="574" t="s">
        <v>1691</v>
      </c>
      <c r="AB41" s="574" t="s">
        <v>2297</v>
      </c>
      <c r="AC41" s="574" t="s">
        <v>2298</v>
      </c>
      <c r="AD41" s="574" t="s">
        <v>2299</v>
      </c>
      <c r="AE41" s="574" t="s">
        <v>1468</v>
      </c>
      <c r="AF41" s="574" t="s">
        <v>2299</v>
      </c>
      <c r="AG41" s="576">
        <v>0</v>
      </c>
      <c r="AH41" s="576">
        <v>1215000</v>
      </c>
      <c r="AI41"/>
    </row>
    <row r="42" spans="1:35" x14ac:dyDescent="0.25">
      <c r="A42" s="574" t="s">
        <v>2219</v>
      </c>
      <c r="B42" s="574" t="s">
        <v>2220</v>
      </c>
      <c r="C42" s="574" t="s">
        <v>2221</v>
      </c>
      <c r="D42" s="574" t="s">
        <v>2220</v>
      </c>
      <c r="E42" s="574" t="s">
        <v>2222</v>
      </c>
      <c r="F42" s="574" t="s">
        <v>2223</v>
      </c>
      <c r="G42" s="574" t="s">
        <v>2224</v>
      </c>
      <c r="H42" s="574" t="s">
        <v>2225</v>
      </c>
      <c r="I42" s="574" t="s">
        <v>2226</v>
      </c>
      <c r="J42" s="574" t="s">
        <v>2227</v>
      </c>
      <c r="K42" s="574" t="s">
        <v>2228</v>
      </c>
      <c r="L42" s="574" t="s">
        <v>2229</v>
      </c>
      <c r="M42" s="574" t="s">
        <v>2230</v>
      </c>
      <c r="N42" s="574" t="s">
        <v>2231</v>
      </c>
      <c r="O42" s="574" t="s">
        <v>2232</v>
      </c>
      <c r="P42" s="574" t="s">
        <v>2233</v>
      </c>
      <c r="Q42" s="574" t="s">
        <v>2234</v>
      </c>
      <c r="R42" s="574" t="s">
        <v>2225</v>
      </c>
      <c r="S42" s="574" t="s">
        <v>2235</v>
      </c>
      <c r="T42" s="574" t="s">
        <v>2236</v>
      </c>
      <c r="U42" s="574" t="s">
        <v>2302</v>
      </c>
      <c r="V42" s="574" t="s">
        <v>2238</v>
      </c>
      <c r="W42" s="574" t="s">
        <v>2239</v>
      </c>
      <c r="X42" s="574" t="s">
        <v>2303</v>
      </c>
      <c r="Y42" s="575" t="s">
        <v>2296</v>
      </c>
      <c r="Z42" s="575" t="s">
        <v>2296</v>
      </c>
      <c r="AA42" s="574" t="s">
        <v>1691</v>
      </c>
      <c r="AB42" s="574" t="s">
        <v>2297</v>
      </c>
      <c r="AC42" s="574" t="s">
        <v>2298</v>
      </c>
      <c r="AD42" s="574" t="s">
        <v>2299</v>
      </c>
      <c r="AE42" s="574" t="s">
        <v>1468</v>
      </c>
      <c r="AF42" s="574" t="s">
        <v>2299</v>
      </c>
      <c r="AG42" s="576">
        <v>0</v>
      </c>
      <c r="AH42" s="576">
        <v>86350</v>
      </c>
      <c r="AI42"/>
    </row>
    <row r="43" spans="1:35" x14ac:dyDescent="0.25">
      <c r="A43" s="574" t="s">
        <v>2219</v>
      </c>
      <c r="B43" s="574" t="s">
        <v>2220</v>
      </c>
      <c r="C43" s="574" t="s">
        <v>2221</v>
      </c>
      <c r="D43" s="574" t="s">
        <v>2220</v>
      </c>
      <c r="E43" s="574" t="s">
        <v>2222</v>
      </c>
      <c r="F43" s="574" t="s">
        <v>2223</v>
      </c>
      <c r="G43" s="574" t="s">
        <v>2224</v>
      </c>
      <c r="H43" s="574" t="s">
        <v>2225</v>
      </c>
      <c r="I43" s="574" t="s">
        <v>2226</v>
      </c>
      <c r="J43" s="574" t="s">
        <v>2227</v>
      </c>
      <c r="K43" s="574" t="s">
        <v>2228</v>
      </c>
      <c r="L43" s="574" t="s">
        <v>2229</v>
      </c>
      <c r="M43" s="574" t="s">
        <v>2230</v>
      </c>
      <c r="N43" s="574" t="s">
        <v>2231</v>
      </c>
      <c r="O43" s="574" t="s">
        <v>2232</v>
      </c>
      <c r="P43" s="574" t="s">
        <v>2233</v>
      </c>
      <c r="Q43" s="574" t="s">
        <v>2234</v>
      </c>
      <c r="R43" s="574" t="s">
        <v>2225</v>
      </c>
      <c r="S43" s="574" t="s">
        <v>2235</v>
      </c>
      <c r="T43" s="574" t="s">
        <v>2236</v>
      </c>
      <c r="U43" s="574" t="s">
        <v>2304</v>
      </c>
      <c r="V43" s="574" t="s">
        <v>2238</v>
      </c>
      <c r="W43" s="574" t="s">
        <v>2239</v>
      </c>
      <c r="X43" s="574" t="s">
        <v>2305</v>
      </c>
      <c r="Y43" s="575" t="s">
        <v>2306</v>
      </c>
      <c r="Z43" s="575" t="s">
        <v>2306</v>
      </c>
      <c r="AA43" s="574" t="s">
        <v>1692</v>
      </c>
      <c r="AB43" s="574" t="s">
        <v>2307</v>
      </c>
      <c r="AC43" s="574" t="s">
        <v>2308</v>
      </c>
      <c r="AD43" s="574" t="s">
        <v>2309</v>
      </c>
      <c r="AE43" s="574" t="s">
        <v>1490</v>
      </c>
      <c r="AF43" s="574" t="s">
        <v>176</v>
      </c>
      <c r="AG43" s="576">
        <v>0</v>
      </c>
      <c r="AH43" s="576">
        <v>374226.46</v>
      </c>
      <c r="AI43"/>
    </row>
    <row r="44" spans="1:35" x14ac:dyDescent="0.25">
      <c r="A44" s="574" t="s">
        <v>2219</v>
      </c>
      <c r="B44" s="574" t="s">
        <v>2220</v>
      </c>
      <c r="C44" s="574" t="s">
        <v>2221</v>
      </c>
      <c r="D44" s="574" t="s">
        <v>2220</v>
      </c>
      <c r="E44" s="574" t="s">
        <v>2222</v>
      </c>
      <c r="F44" s="574" t="s">
        <v>2223</v>
      </c>
      <c r="G44" s="574" t="s">
        <v>2224</v>
      </c>
      <c r="H44" s="574" t="s">
        <v>2225</v>
      </c>
      <c r="I44" s="574" t="s">
        <v>2226</v>
      </c>
      <c r="J44" s="574" t="s">
        <v>2227</v>
      </c>
      <c r="K44" s="574" t="s">
        <v>2228</v>
      </c>
      <c r="L44" s="574" t="s">
        <v>2229</v>
      </c>
      <c r="M44" s="574" t="s">
        <v>2230</v>
      </c>
      <c r="N44" s="574" t="s">
        <v>2231</v>
      </c>
      <c r="O44" s="574" t="s">
        <v>2232</v>
      </c>
      <c r="P44" s="574" t="s">
        <v>2233</v>
      </c>
      <c r="Q44" s="574" t="s">
        <v>2234</v>
      </c>
      <c r="R44" s="574" t="s">
        <v>2225</v>
      </c>
      <c r="S44" s="574" t="s">
        <v>2235</v>
      </c>
      <c r="T44" s="574" t="s">
        <v>2236</v>
      </c>
      <c r="U44" s="574" t="s">
        <v>2310</v>
      </c>
      <c r="V44" s="574" t="s">
        <v>2238</v>
      </c>
      <c r="W44" s="574" t="s">
        <v>2239</v>
      </c>
      <c r="X44" s="574" t="s">
        <v>2311</v>
      </c>
      <c r="Y44" s="575" t="s">
        <v>2306</v>
      </c>
      <c r="Z44" s="575" t="s">
        <v>2306</v>
      </c>
      <c r="AA44" s="574" t="s">
        <v>1691</v>
      </c>
      <c r="AB44" s="574" t="s">
        <v>2297</v>
      </c>
      <c r="AC44" s="574" t="s">
        <v>2298</v>
      </c>
      <c r="AD44" s="574" t="s">
        <v>2299</v>
      </c>
      <c r="AE44" s="574" t="s">
        <v>1468</v>
      </c>
      <c r="AF44" s="574" t="s">
        <v>2299</v>
      </c>
      <c r="AG44" s="576">
        <v>0</v>
      </c>
      <c r="AH44" s="576">
        <v>215625</v>
      </c>
      <c r="AI44"/>
    </row>
    <row r="45" spans="1:35" x14ac:dyDescent="0.25">
      <c r="A45" s="574" t="s">
        <v>2219</v>
      </c>
      <c r="B45" s="574" t="s">
        <v>2220</v>
      </c>
      <c r="C45" s="574" t="s">
        <v>2221</v>
      </c>
      <c r="D45" s="574" t="s">
        <v>2220</v>
      </c>
      <c r="E45" s="574" t="s">
        <v>2222</v>
      </c>
      <c r="F45" s="574" t="s">
        <v>2223</v>
      </c>
      <c r="G45" s="574" t="s">
        <v>2224</v>
      </c>
      <c r="H45" s="574" t="s">
        <v>2225</v>
      </c>
      <c r="I45" s="574" t="s">
        <v>2226</v>
      </c>
      <c r="J45" s="574" t="s">
        <v>2227</v>
      </c>
      <c r="K45" s="574" t="s">
        <v>2228</v>
      </c>
      <c r="L45" s="574" t="s">
        <v>2229</v>
      </c>
      <c r="M45" s="574" t="s">
        <v>2230</v>
      </c>
      <c r="N45" s="574" t="s">
        <v>2231</v>
      </c>
      <c r="O45" s="574" t="s">
        <v>2232</v>
      </c>
      <c r="P45" s="574" t="s">
        <v>2233</v>
      </c>
      <c r="Q45" s="574" t="s">
        <v>2234</v>
      </c>
      <c r="R45" s="574" t="s">
        <v>2225</v>
      </c>
      <c r="S45" s="574" t="s">
        <v>2235</v>
      </c>
      <c r="T45" s="574" t="s">
        <v>2236</v>
      </c>
      <c r="U45" s="574" t="s">
        <v>2312</v>
      </c>
      <c r="V45" s="574" t="s">
        <v>2238</v>
      </c>
      <c r="W45" s="574" t="s">
        <v>2239</v>
      </c>
      <c r="X45" s="574" t="s">
        <v>2313</v>
      </c>
      <c r="Y45" s="575" t="s">
        <v>2306</v>
      </c>
      <c r="Z45" s="575" t="s">
        <v>2306</v>
      </c>
      <c r="AA45" s="574" t="s">
        <v>1694</v>
      </c>
      <c r="AB45" s="574" t="s">
        <v>2314</v>
      </c>
      <c r="AC45" s="574" t="s">
        <v>2315</v>
      </c>
      <c r="AD45" s="574" t="s">
        <v>2316</v>
      </c>
      <c r="AE45" s="574" t="s">
        <v>1470</v>
      </c>
      <c r="AF45" s="574" t="s">
        <v>2316</v>
      </c>
      <c r="AG45" s="576">
        <v>0</v>
      </c>
      <c r="AH45" s="576">
        <v>182900</v>
      </c>
      <c r="AI45"/>
    </row>
    <row r="46" spans="1:35" x14ac:dyDescent="0.25">
      <c r="A46" s="574" t="s">
        <v>2219</v>
      </c>
      <c r="B46" s="574" t="s">
        <v>2220</v>
      </c>
      <c r="C46" s="574" t="s">
        <v>2221</v>
      </c>
      <c r="D46" s="574" t="s">
        <v>2220</v>
      </c>
      <c r="E46" s="574" t="s">
        <v>2222</v>
      </c>
      <c r="F46" s="574" t="s">
        <v>2223</v>
      </c>
      <c r="G46" s="574" t="s">
        <v>2224</v>
      </c>
      <c r="H46" s="574" t="s">
        <v>2225</v>
      </c>
      <c r="I46" s="574" t="s">
        <v>2226</v>
      </c>
      <c r="J46" s="574" t="s">
        <v>2227</v>
      </c>
      <c r="K46" s="574" t="s">
        <v>2228</v>
      </c>
      <c r="L46" s="574" t="s">
        <v>2229</v>
      </c>
      <c r="M46" s="574" t="s">
        <v>2230</v>
      </c>
      <c r="N46" s="574" t="s">
        <v>2231</v>
      </c>
      <c r="O46" s="574" t="s">
        <v>2232</v>
      </c>
      <c r="P46" s="574" t="s">
        <v>2233</v>
      </c>
      <c r="Q46" s="574" t="s">
        <v>2234</v>
      </c>
      <c r="R46" s="574" t="s">
        <v>2225</v>
      </c>
      <c r="S46" s="574" t="s">
        <v>2235</v>
      </c>
      <c r="T46" s="574" t="s">
        <v>2236</v>
      </c>
      <c r="U46" s="574" t="s">
        <v>2317</v>
      </c>
      <c r="V46" s="574" t="s">
        <v>2238</v>
      </c>
      <c r="W46" s="574" t="s">
        <v>2239</v>
      </c>
      <c r="X46" s="574" t="s">
        <v>2318</v>
      </c>
      <c r="Y46" s="575" t="s">
        <v>2306</v>
      </c>
      <c r="Z46" s="575" t="s">
        <v>2306</v>
      </c>
      <c r="AA46" s="574" t="s">
        <v>1693</v>
      </c>
      <c r="AB46" s="574" t="s">
        <v>2319</v>
      </c>
      <c r="AC46" s="574" t="s">
        <v>2320</v>
      </c>
      <c r="AD46" s="574" t="s">
        <v>2321</v>
      </c>
      <c r="AE46" s="574" t="s">
        <v>1446</v>
      </c>
      <c r="AF46" s="574" t="s">
        <v>2321</v>
      </c>
      <c r="AG46" s="576">
        <v>0</v>
      </c>
      <c r="AH46" s="576">
        <v>45689.599999999999</v>
      </c>
      <c r="AI46"/>
    </row>
    <row r="47" spans="1:35" x14ac:dyDescent="0.25">
      <c r="A47" s="574" t="s">
        <v>2219</v>
      </c>
      <c r="B47" s="574" t="s">
        <v>2220</v>
      </c>
      <c r="C47" s="574" t="s">
        <v>2221</v>
      </c>
      <c r="D47" s="574" t="s">
        <v>2220</v>
      </c>
      <c r="E47" s="574" t="s">
        <v>2222</v>
      </c>
      <c r="F47" s="574" t="s">
        <v>2223</v>
      </c>
      <c r="G47" s="574" t="s">
        <v>2224</v>
      </c>
      <c r="H47" s="574" t="s">
        <v>2225</v>
      </c>
      <c r="I47" s="574" t="s">
        <v>2226</v>
      </c>
      <c r="J47" s="574" t="s">
        <v>2227</v>
      </c>
      <c r="K47" s="574" t="s">
        <v>2228</v>
      </c>
      <c r="L47" s="574" t="s">
        <v>2229</v>
      </c>
      <c r="M47" s="574" t="s">
        <v>2230</v>
      </c>
      <c r="N47" s="574" t="s">
        <v>2231</v>
      </c>
      <c r="O47" s="574" t="s">
        <v>2232</v>
      </c>
      <c r="P47" s="574" t="s">
        <v>2233</v>
      </c>
      <c r="Q47" s="574" t="s">
        <v>2234</v>
      </c>
      <c r="R47" s="574" t="s">
        <v>2225</v>
      </c>
      <c r="S47" s="574" t="s">
        <v>2235</v>
      </c>
      <c r="T47" s="574" t="s">
        <v>2236</v>
      </c>
      <c r="U47" s="574" t="s">
        <v>2322</v>
      </c>
      <c r="V47" s="574" t="s">
        <v>2238</v>
      </c>
      <c r="W47" s="574" t="s">
        <v>2239</v>
      </c>
      <c r="X47" s="574" t="s">
        <v>2323</v>
      </c>
      <c r="Y47" s="575" t="s">
        <v>2306</v>
      </c>
      <c r="Z47" s="575" t="s">
        <v>2306</v>
      </c>
      <c r="AA47" s="574" t="s">
        <v>1691</v>
      </c>
      <c r="AB47" s="574" t="s">
        <v>2297</v>
      </c>
      <c r="AC47" s="574" t="s">
        <v>2298</v>
      </c>
      <c r="AD47" s="574" t="s">
        <v>2299</v>
      </c>
      <c r="AE47" s="574" t="s">
        <v>1468</v>
      </c>
      <c r="AF47" s="574" t="s">
        <v>2299</v>
      </c>
      <c r="AG47" s="576">
        <v>0</v>
      </c>
      <c r="AH47" s="576">
        <v>183600</v>
      </c>
      <c r="AI47"/>
    </row>
    <row r="48" spans="1:35" x14ac:dyDescent="0.25">
      <c r="A48" s="574" t="s">
        <v>2219</v>
      </c>
      <c r="B48" s="574" t="s">
        <v>2220</v>
      </c>
      <c r="C48" s="574" t="s">
        <v>2221</v>
      </c>
      <c r="D48" s="574" t="s">
        <v>2220</v>
      </c>
      <c r="E48" s="574" t="s">
        <v>2222</v>
      </c>
      <c r="F48" s="574" t="s">
        <v>2223</v>
      </c>
      <c r="G48" s="574" t="s">
        <v>2224</v>
      </c>
      <c r="H48" s="574" t="s">
        <v>2225</v>
      </c>
      <c r="I48" s="574" t="s">
        <v>2226</v>
      </c>
      <c r="J48" s="574" t="s">
        <v>2227</v>
      </c>
      <c r="K48" s="574" t="s">
        <v>2228</v>
      </c>
      <c r="L48" s="574" t="s">
        <v>2229</v>
      </c>
      <c r="M48" s="574" t="s">
        <v>2230</v>
      </c>
      <c r="N48" s="574" t="s">
        <v>2231</v>
      </c>
      <c r="O48" s="574" t="s">
        <v>2232</v>
      </c>
      <c r="P48" s="574" t="s">
        <v>2233</v>
      </c>
      <c r="Q48" s="574" t="s">
        <v>2234</v>
      </c>
      <c r="R48" s="574" t="s">
        <v>2225</v>
      </c>
      <c r="S48" s="574" t="s">
        <v>2235</v>
      </c>
      <c r="T48" s="574" t="s">
        <v>2236</v>
      </c>
      <c r="U48" s="574" t="s">
        <v>2324</v>
      </c>
      <c r="V48" s="574" t="s">
        <v>2238</v>
      </c>
      <c r="W48" s="574" t="s">
        <v>2239</v>
      </c>
      <c r="X48" s="574" t="s">
        <v>2325</v>
      </c>
      <c r="Y48" s="575" t="s">
        <v>2326</v>
      </c>
      <c r="Z48" s="575" t="s">
        <v>2326</v>
      </c>
      <c r="AA48" s="574" t="s">
        <v>1691</v>
      </c>
      <c r="AB48" s="574" t="s">
        <v>2297</v>
      </c>
      <c r="AC48" s="574" t="s">
        <v>2298</v>
      </c>
      <c r="AD48" s="574" t="s">
        <v>2299</v>
      </c>
      <c r="AE48" s="574" t="s">
        <v>1468</v>
      </c>
      <c r="AF48" s="574" t="s">
        <v>2299</v>
      </c>
      <c r="AG48" s="576">
        <v>0</v>
      </c>
      <c r="AH48" s="576">
        <v>810000</v>
      </c>
      <c r="AI48"/>
    </row>
    <row r="49" spans="1:34" customFormat="1" x14ac:dyDescent="0.25">
      <c r="A49" s="574" t="s">
        <v>2219</v>
      </c>
      <c r="B49" s="574" t="s">
        <v>2220</v>
      </c>
      <c r="C49" s="574" t="s">
        <v>2221</v>
      </c>
      <c r="D49" s="574" t="s">
        <v>2220</v>
      </c>
      <c r="E49" s="574" t="s">
        <v>2222</v>
      </c>
      <c r="F49" s="574" t="s">
        <v>2223</v>
      </c>
      <c r="G49" s="574" t="s">
        <v>2224</v>
      </c>
      <c r="H49" s="574" t="s">
        <v>2225</v>
      </c>
      <c r="I49" s="574" t="s">
        <v>2226</v>
      </c>
      <c r="J49" s="574" t="s">
        <v>2227</v>
      </c>
      <c r="K49" s="574" t="s">
        <v>2228</v>
      </c>
      <c r="L49" s="574" t="s">
        <v>2229</v>
      </c>
      <c r="M49" s="574" t="s">
        <v>2230</v>
      </c>
      <c r="N49" s="574" t="s">
        <v>2231</v>
      </c>
      <c r="O49" s="574" t="s">
        <v>2232</v>
      </c>
      <c r="P49" s="574" t="s">
        <v>2233</v>
      </c>
      <c r="Q49" s="574" t="s">
        <v>2234</v>
      </c>
      <c r="R49" s="574" t="s">
        <v>2225</v>
      </c>
      <c r="S49" s="574" t="s">
        <v>2235</v>
      </c>
      <c r="T49" s="574" t="s">
        <v>2236</v>
      </c>
      <c r="U49" s="574" t="s">
        <v>2327</v>
      </c>
      <c r="V49" s="574" t="s">
        <v>2238</v>
      </c>
      <c r="W49" s="574" t="s">
        <v>2239</v>
      </c>
      <c r="X49" s="574" t="s">
        <v>2328</v>
      </c>
      <c r="Y49" s="575" t="s">
        <v>2326</v>
      </c>
      <c r="Z49" s="575" t="s">
        <v>2326</v>
      </c>
      <c r="AA49" s="574" t="s">
        <v>1691</v>
      </c>
      <c r="AB49" s="574" t="s">
        <v>2297</v>
      </c>
      <c r="AC49" s="574" t="s">
        <v>2298</v>
      </c>
      <c r="AD49" s="574" t="s">
        <v>2299</v>
      </c>
      <c r="AE49" s="574" t="s">
        <v>1468</v>
      </c>
      <c r="AF49" s="574" t="s">
        <v>2299</v>
      </c>
      <c r="AG49" s="576">
        <v>0</v>
      </c>
      <c r="AH49" s="576">
        <v>337500</v>
      </c>
    </row>
    <row r="50" spans="1:34" customFormat="1" x14ac:dyDescent="0.25">
      <c r="A50" s="574" t="s">
        <v>2219</v>
      </c>
      <c r="B50" s="574" t="s">
        <v>2220</v>
      </c>
      <c r="C50" s="574" t="s">
        <v>2221</v>
      </c>
      <c r="D50" s="574" t="s">
        <v>2220</v>
      </c>
      <c r="E50" s="574" t="s">
        <v>2222</v>
      </c>
      <c r="F50" s="574" t="s">
        <v>2223</v>
      </c>
      <c r="G50" s="574" t="s">
        <v>2224</v>
      </c>
      <c r="H50" s="574" t="s">
        <v>2225</v>
      </c>
      <c r="I50" s="574" t="s">
        <v>2226</v>
      </c>
      <c r="J50" s="574" t="s">
        <v>2227</v>
      </c>
      <c r="K50" s="574" t="s">
        <v>2228</v>
      </c>
      <c r="L50" s="574" t="s">
        <v>2229</v>
      </c>
      <c r="M50" s="574" t="s">
        <v>2230</v>
      </c>
      <c r="N50" s="574" t="s">
        <v>2231</v>
      </c>
      <c r="O50" s="574" t="s">
        <v>2232</v>
      </c>
      <c r="P50" s="574" t="s">
        <v>2233</v>
      </c>
      <c r="Q50" s="574" t="s">
        <v>2234</v>
      </c>
      <c r="R50" s="574" t="s">
        <v>2225</v>
      </c>
      <c r="S50" s="574" t="s">
        <v>2235</v>
      </c>
      <c r="T50" s="574" t="s">
        <v>2236</v>
      </c>
      <c r="U50" s="574" t="s">
        <v>2329</v>
      </c>
      <c r="V50" s="574" t="s">
        <v>2238</v>
      </c>
      <c r="W50" s="574" t="s">
        <v>2239</v>
      </c>
      <c r="X50" s="574" t="s">
        <v>2330</v>
      </c>
      <c r="Y50" s="575" t="s">
        <v>2326</v>
      </c>
      <c r="Z50" s="575" t="s">
        <v>2326</v>
      </c>
      <c r="AA50" s="574" t="s">
        <v>1691</v>
      </c>
      <c r="AB50" s="574" t="s">
        <v>2297</v>
      </c>
      <c r="AC50" s="574" t="s">
        <v>2298</v>
      </c>
      <c r="AD50" s="574" t="s">
        <v>2299</v>
      </c>
      <c r="AE50" s="574" t="s">
        <v>1468</v>
      </c>
      <c r="AF50" s="574" t="s">
        <v>2299</v>
      </c>
      <c r="AG50" s="576">
        <v>0</v>
      </c>
      <c r="AH50" s="576">
        <v>190000</v>
      </c>
    </row>
    <row r="51" spans="1:34" customFormat="1" x14ac:dyDescent="0.25">
      <c r="A51" s="574" t="s">
        <v>2219</v>
      </c>
      <c r="B51" s="574" t="s">
        <v>2220</v>
      </c>
      <c r="C51" s="574" t="s">
        <v>2221</v>
      </c>
      <c r="D51" s="574" t="s">
        <v>2220</v>
      </c>
      <c r="E51" s="574" t="s">
        <v>2222</v>
      </c>
      <c r="F51" s="574" t="s">
        <v>2223</v>
      </c>
      <c r="G51" s="574" t="s">
        <v>2224</v>
      </c>
      <c r="H51" s="574" t="s">
        <v>2225</v>
      </c>
      <c r="I51" s="574" t="s">
        <v>2226</v>
      </c>
      <c r="J51" s="574" t="s">
        <v>2227</v>
      </c>
      <c r="K51" s="574" t="s">
        <v>2228</v>
      </c>
      <c r="L51" s="574" t="s">
        <v>2229</v>
      </c>
      <c r="M51" s="574" t="s">
        <v>2230</v>
      </c>
      <c r="N51" s="574" t="s">
        <v>2231</v>
      </c>
      <c r="O51" s="574" t="s">
        <v>2232</v>
      </c>
      <c r="P51" s="574" t="s">
        <v>2233</v>
      </c>
      <c r="Q51" s="574" t="s">
        <v>2234</v>
      </c>
      <c r="R51" s="574" t="s">
        <v>2225</v>
      </c>
      <c r="S51" s="574" t="s">
        <v>2235</v>
      </c>
      <c r="T51" s="574" t="s">
        <v>2236</v>
      </c>
      <c r="U51" s="574" t="s">
        <v>2331</v>
      </c>
      <c r="V51" s="574" t="s">
        <v>2238</v>
      </c>
      <c r="W51" s="574" t="s">
        <v>2239</v>
      </c>
      <c r="X51" s="574" t="s">
        <v>2332</v>
      </c>
      <c r="Y51" s="575" t="s">
        <v>2326</v>
      </c>
      <c r="Z51" s="575" t="s">
        <v>2326</v>
      </c>
      <c r="AA51" s="574" t="s">
        <v>1693</v>
      </c>
      <c r="AB51" s="574" t="s">
        <v>2319</v>
      </c>
      <c r="AC51" s="574" t="s">
        <v>2320</v>
      </c>
      <c r="AD51" s="574" t="s">
        <v>2321</v>
      </c>
      <c r="AE51" s="574" t="s">
        <v>1446</v>
      </c>
      <c r="AF51" s="574" t="s">
        <v>2321</v>
      </c>
      <c r="AG51" s="576">
        <v>0</v>
      </c>
      <c r="AH51" s="576">
        <v>212400</v>
      </c>
    </row>
    <row r="52" spans="1:34" customFormat="1" x14ac:dyDescent="0.25">
      <c r="A52" s="574" t="s">
        <v>2219</v>
      </c>
      <c r="B52" s="574" t="s">
        <v>2220</v>
      </c>
      <c r="C52" s="574" t="s">
        <v>2221</v>
      </c>
      <c r="D52" s="574" t="s">
        <v>2220</v>
      </c>
      <c r="E52" s="574" t="s">
        <v>2222</v>
      </c>
      <c r="F52" s="574" t="s">
        <v>2223</v>
      </c>
      <c r="G52" s="574" t="s">
        <v>2224</v>
      </c>
      <c r="H52" s="574" t="s">
        <v>2225</v>
      </c>
      <c r="I52" s="574" t="s">
        <v>2226</v>
      </c>
      <c r="J52" s="574" t="s">
        <v>2227</v>
      </c>
      <c r="K52" s="574" t="s">
        <v>2228</v>
      </c>
      <c r="L52" s="574" t="s">
        <v>2229</v>
      </c>
      <c r="M52" s="574" t="s">
        <v>2230</v>
      </c>
      <c r="N52" s="574" t="s">
        <v>2231</v>
      </c>
      <c r="O52" s="574" t="s">
        <v>2232</v>
      </c>
      <c r="P52" s="574" t="s">
        <v>2233</v>
      </c>
      <c r="Q52" s="574" t="s">
        <v>2234</v>
      </c>
      <c r="R52" s="574" t="s">
        <v>2225</v>
      </c>
      <c r="S52" s="574" t="s">
        <v>2235</v>
      </c>
      <c r="T52" s="574" t="s">
        <v>2236</v>
      </c>
      <c r="U52" s="574" t="s">
        <v>2333</v>
      </c>
      <c r="V52" s="574" t="s">
        <v>2238</v>
      </c>
      <c r="W52" s="574" t="s">
        <v>2239</v>
      </c>
      <c r="X52" s="574" t="s">
        <v>2334</v>
      </c>
      <c r="Y52" s="575" t="s">
        <v>2326</v>
      </c>
      <c r="Z52" s="575" t="s">
        <v>2326</v>
      </c>
      <c r="AA52" s="574" t="s">
        <v>1693</v>
      </c>
      <c r="AB52" s="574" t="s">
        <v>2319</v>
      </c>
      <c r="AC52" s="574" t="s">
        <v>2320</v>
      </c>
      <c r="AD52" s="574" t="s">
        <v>2321</v>
      </c>
      <c r="AE52" s="574" t="s">
        <v>1446</v>
      </c>
      <c r="AF52" s="574" t="s">
        <v>2321</v>
      </c>
      <c r="AG52" s="576">
        <v>0</v>
      </c>
      <c r="AH52" s="576">
        <v>185850</v>
      </c>
    </row>
    <row r="53" spans="1:34" customFormat="1" x14ac:dyDescent="0.25">
      <c r="A53" s="574" t="s">
        <v>2219</v>
      </c>
      <c r="B53" s="574" t="s">
        <v>2220</v>
      </c>
      <c r="C53" s="574" t="s">
        <v>2221</v>
      </c>
      <c r="D53" s="574" t="s">
        <v>2220</v>
      </c>
      <c r="E53" s="574" t="s">
        <v>2222</v>
      </c>
      <c r="F53" s="574" t="s">
        <v>2223</v>
      </c>
      <c r="G53" s="574" t="s">
        <v>2224</v>
      </c>
      <c r="H53" s="574" t="s">
        <v>2225</v>
      </c>
      <c r="I53" s="574" t="s">
        <v>2226</v>
      </c>
      <c r="J53" s="574" t="s">
        <v>2227</v>
      </c>
      <c r="K53" s="574" t="s">
        <v>2228</v>
      </c>
      <c r="L53" s="574" t="s">
        <v>2229</v>
      </c>
      <c r="M53" s="574" t="s">
        <v>2230</v>
      </c>
      <c r="N53" s="574" t="s">
        <v>2231</v>
      </c>
      <c r="O53" s="574" t="s">
        <v>2232</v>
      </c>
      <c r="P53" s="574" t="s">
        <v>2233</v>
      </c>
      <c r="Q53" s="574" t="s">
        <v>2234</v>
      </c>
      <c r="R53" s="574" t="s">
        <v>2225</v>
      </c>
      <c r="S53" s="574" t="s">
        <v>2235</v>
      </c>
      <c r="T53" s="574" t="s">
        <v>2236</v>
      </c>
      <c r="U53" s="574" t="s">
        <v>2335</v>
      </c>
      <c r="V53" s="574" t="s">
        <v>2238</v>
      </c>
      <c r="W53" s="574" t="s">
        <v>2239</v>
      </c>
      <c r="X53" s="574" t="s">
        <v>2336</v>
      </c>
      <c r="Y53" s="575" t="s">
        <v>2326</v>
      </c>
      <c r="Z53" s="575" t="s">
        <v>2326</v>
      </c>
      <c r="AA53" s="574" t="s">
        <v>1695</v>
      </c>
      <c r="AB53" s="574" t="s">
        <v>2337</v>
      </c>
      <c r="AC53" s="574" t="s">
        <v>2338</v>
      </c>
      <c r="AD53" s="574" t="s">
        <v>2339</v>
      </c>
      <c r="AE53" s="574" t="s">
        <v>1436</v>
      </c>
      <c r="AF53" s="574" t="s">
        <v>2339</v>
      </c>
      <c r="AG53" s="576">
        <v>0</v>
      </c>
      <c r="AH53" s="576">
        <v>105480</v>
      </c>
    </row>
    <row r="54" spans="1:34" customFormat="1" x14ac:dyDescent="0.25">
      <c r="A54" s="574" t="s">
        <v>2219</v>
      </c>
      <c r="B54" s="574" t="s">
        <v>2220</v>
      </c>
      <c r="C54" s="574" t="s">
        <v>2221</v>
      </c>
      <c r="D54" s="574" t="s">
        <v>2220</v>
      </c>
      <c r="E54" s="574" t="s">
        <v>2222</v>
      </c>
      <c r="F54" s="574" t="s">
        <v>2223</v>
      </c>
      <c r="G54" s="574" t="s">
        <v>2224</v>
      </c>
      <c r="H54" s="574" t="s">
        <v>2225</v>
      </c>
      <c r="I54" s="574" t="s">
        <v>2226</v>
      </c>
      <c r="J54" s="574" t="s">
        <v>2227</v>
      </c>
      <c r="K54" s="574" t="s">
        <v>2228</v>
      </c>
      <c r="L54" s="574" t="s">
        <v>2229</v>
      </c>
      <c r="M54" s="574" t="s">
        <v>2230</v>
      </c>
      <c r="N54" s="574" t="s">
        <v>2231</v>
      </c>
      <c r="O54" s="574" t="s">
        <v>2232</v>
      </c>
      <c r="P54" s="574" t="s">
        <v>2233</v>
      </c>
      <c r="Q54" s="574" t="s">
        <v>2234</v>
      </c>
      <c r="R54" s="574" t="s">
        <v>2225</v>
      </c>
      <c r="S54" s="574" t="s">
        <v>2235</v>
      </c>
      <c r="T54" s="574" t="s">
        <v>2236</v>
      </c>
      <c r="U54" s="574" t="s">
        <v>2340</v>
      </c>
      <c r="V54" s="574" t="s">
        <v>2238</v>
      </c>
      <c r="W54" s="574" t="s">
        <v>2239</v>
      </c>
      <c r="X54" s="574" t="s">
        <v>2341</v>
      </c>
      <c r="Y54" s="575" t="s">
        <v>2326</v>
      </c>
      <c r="Z54" s="575" t="s">
        <v>2326</v>
      </c>
      <c r="AA54" s="574" t="s">
        <v>1691</v>
      </c>
      <c r="AB54" s="574" t="s">
        <v>2297</v>
      </c>
      <c r="AC54" s="574" t="s">
        <v>2298</v>
      </c>
      <c r="AD54" s="574" t="s">
        <v>2299</v>
      </c>
      <c r="AE54" s="574" t="s">
        <v>1468</v>
      </c>
      <c r="AF54" s="574" t="s">
        <v>2299</v>
      </c>
      <c r="AG54" s="576">
        <v>0</v>
      </c>
      <c r="AH54" s="576">
        <v>180000</v>
      </c>
    </row>
    <row r="55" spans="1:34" customFormat="1" x14ac:dyDescent="0.25">
      <c r="A55" s="574" t="s">
        <v>2219</v>
      </c>
      <c r="B55" s="574" t="s">
        <v>2220</v>
      </c>
      <c r="C55" s="574" t="s">
        <v>2221</v>
      </c>
      <c r="D55" s="574" t="s">
        <v>2220</v>
      </c>
      <c r="E55" s="574" t="s">
        <v>2222</v>
      </c>
      <c r="F55" s="574" t="s">
        <v>2223</v>
      </c>
      <c r="G55" s="574" t="s">
        <v>2224</v>
      </c>
      <c r="H55" s="574" t="s">
        <v>2225</v>
      </c>
      <c r="I55" s="574" t="s">
        <v>2226</v>
      </c>
      <c r="J55" s="574" t="s">
        <v>2227</v>
      </c>
      <c r="K55" s="574" t="s">
        <v>2228</v>
      </c>
      <c r="L55" s="574" t="s">
        <v>2229</v>
      </c>
      <c r="M55" s="574" t="s">
        <v>2230</v>
      </c>
      <c r="N55" s="574" t="s">
        <v>2231</v>
      </c>
      <c r="O55" s="574" t="s">
        <v>2232</v>
      </c>
      <c r="P55" s="574" t="s">
        <v>2233</v>
      </c>
      <c r="Q55" s="574" t="s">
        <v>2234</v>
      </c>
      <c r="R55" s="574" t="s">
        <v>2225</v>
      </c>
      <c r="S55" s="574" t="s">
        <v>2235</v>
      </c>
      <c r="T55" s="574" t="s">
        <v>2236</v>
      </c>
      <c r="U55" s="574" t="s">
        <v>2342</v>
      </c>
      <c r="V55" s="574" t="s">
        <v>2238</v>
      </c>
      <c r="W55" s="574" t="s">
        <v>2239</v>
      </c>
      <c r="X55" s="574" t="s">
        <v>2343</v>
      </c>
      <c r="Y55" s="575" t="s">
        <v>2326</v>
      </c>
      <c r="Z55" s="575" t="s">
        <v>2326</v>
      </c>
      <c r="AA55" s="574" t="s">
        <v>1692</v>
      </c>
      <c r="AB55" s="574" t="s">
        <v>2307</v>
      </c>
      <c r="AC55" s="574" t="s">
        <v>2308</v>
      </c>
      <c r="AD55" s="574" t="s">
        <v>2309</v>
      </c>
      <c r="AE55" s="574" t="s">
        <v>1490</v>
      </c>
      <c r="AF55" s="574" t="s">
        <v>176</v>
      </c>
      <c r="AG55" s="576">
        <v>0</v>
      </c>
      <c r="AH55" s="576">
        <v>827535.72</v>
      </c>
    </row>
    <row r="56" spans="1:34" customFormat="1" x14ac:dyDescent="0.25">
      <c r="A56" s="574" t="s">
        <v>2219</v>
      </c>
      <c r="B56" s="574" t="s">
        <v>2220</v>
      </c>
      <c r="C56" s="574" t="s">
        <v>2221</v>
      </c>
      <c r="D56" s="574" t="s">
        <v>2220</v>
      </c>
      <c r="E56" s="574" t="s">
        <v>2222</v>
      </c>
      <c r="F56" s="574" t="s">
        <v>2223</v>
      </c>
      <c r="G56" s="574" t="s">
        <v>2224</v>
      </c>
      <c r="H56" s="574" t="s">
        <v>2225</v>
      </c>
      <c r="I56" s="574" t="s">
        <v>2226</v>
      </c>
      <c r="J56" s="574" t="s">
        <v>2227</v>
      </c>
      <c r="K56" s="574" t="s">
        <v>2228</v>
      </c>
      <c r="L56" s="574" t="s">
        <v>2229</v>
      </c>
      <c r="M56" s="574" t="s">
        <v>2230</v>
      </c>
      <c r="N56" s="574" t="s">
        <v>2231</v>
      </c>
      <c r="O56" s="574" t="s">
        <v>2232</v>
      </c>
      <c r="P56" s="574" t="s">
        <v>2233</v>
      </c>
      <c r="Q56" s="574" t="s">
        <v>2234</v>
      </c>
      <c r="R56" s="574" t="s">
        <v>2225</v>
      </c>
      <c r="S56" s="574" t="s">
        <v>2235</v>
      </c>
      <c r="T56" s="574" t="s">
        <v>2236</v>
      </c>
      <c r="U56" s="574" t="s">
        <v>2344</v>
      </c>
      <c r="V56" s="574" t="s">
        <v>2238</v>
      </c>
      <c r="W56" s="574" t="s">
        <v>2239</v>
      </c>
      <c r="X56" s="574" t="s">
        <v>2345</v>
      </c>
      <c r="Y56" s="575" t="s">
        <v>2346</v>
      </c>
      <c r="Z56" s="575" t="s">
        <v>2346</v>
      </c>
      <c r="AA56" s="574" t="s">
        <v>1691</v>
      </c>
      <c r="AB56" s="574" t="s">
        <v>2297</v>
      </c>
      <c r="AC56" s="574" t="s">
        <v>2298</v>
      </c>
      <c r="AD56" s="574" t="s">
        <v>2299</v>
      </c>
      <c r="AE56" s="574" t="s">
        <v>1468</v>
      </c>
      <c r="AF56" s="574" t="s">
        <v>2299</v>
      </c>
      <c r="AG56" s="576">
        <v>0</v>
      </c>
      <c r="AH56" s="576">
        <v>46000</v>
      </c>
    </row>
    <row r="57" spans="1:34" customFormat="1" x14ac:dyDescent="0.25">
      <c r="A57" s="574" t="s">
        <v>2219</v>
      </c>
      <c r="B57" s="574" t="s">
        <v>2220</v>
      </c>
      <c r="C57" s="574" t="s">
        <v>2221</v>
      </c>
      <c r="D57" s="574" t="s">
        <v>2220</v>
      </c>
      <c r="E57" s="574" t="s">
        <v>2222</v>
      </c>
      <c r="F57" s="574" t="s">
        <v>2223</v>
      </c>
      <c r="G57" s="574" t="s">
        <v>2224</v>
      </c>
      <c r="H57" s="574" t="s">
        <v>2225</v>
      </c>
      <c r="I57" s="574" t="s">
        <v>2226</v>
      </c>
      <c r="J57" s="574" t="s">
        <v>2227</v>
      </c>
      <c r="K57" s="574" t="s">
        <v>2228</v>
      </c>
      <c r="L57" s="574" t="s">
        <v>2229</v>
      </c>
      <c r="M57" s="574" t="s">
        <v>2230</v>
      </c>
      <c r="N57" s="574" t="s">
        <v>2231</v>
      </c>
      <c r="O57" s="574" t="s">
        <v>2232</v>
      </c>
      <c r="P57" s="574" t="s">
        <v>2233</v>
      </c>
      <c r="Q57" s="574" t="s">
        <v>2234</v>
      </c>
      <c r="R57" s="574" t="s">
        <v>2225</v>
      </c>
      <c r="S57" s="574" t="s">
        <v>2235</v>
      </c>
      <c r="T57" s="574" t="s">
        <v>2236</v>
      </c>
      <c r="U57" s="574" t="s">
        <v>2347</v>
      </c>
      <c r="V57" s="574" t="s">
        <v>2238</v>
      </c>
      <c r="W57" s="574" t="s">
        <v>2239</v>
      </c>
      <c r="X57" s="574" t="s">
        <v>2348</v>
      </c>
      <c r="Y57" s="575" t="s">
        <v>2346</v>
      </c>
      <c r="Z57" s="575" t="s">
        <v>2346</v>
      </c>
      <c r="AA57" s="574" t="s">
        <v>1691</v>
      </c>
      <c r="AB57" s="574" t="s">
        <v>2297</v>
      </c>
      <c r="AC57" s="574" t="s">
        <v>2298</v>
      </c>
      <c r="AD57" s="574" t="s">
        <v>2299</v>
      </c>
      <c r="AE57" s="574" t="s">
        <v>1468</v>
      </c>
      <c r="AF57" s="574" t="s">
        <v>2299</v>
      </c>
      <c r="AG57" s="576">
        <v>0</v>
      </c>
      <c r="AH57" s="576">
        <v>198000</v>
      </c>
    </row>
    <row r="58" spans="1:34" customFormat="1" x14ac:dyDescent="0.25">
      <c r="A58" s="574" t="s">
        <v>2219</v>
      </c>
      <c r="B58" s="574" t="s">
        <v>2220</v>
      </c>
      <c r="C58" s="574" t="s">
        <v>2221</v>
      </c>
      <c r="D58" s="574" t="s">
        <v>2220</v>
      </c>
      <c r="E58" s="574" t="s">
        <v>2222</v>
      </c>
      <c r="F58" s="574" t="s">
        <v>2223</v>
      </c>
      <c r="G58" s="574" t="s">
        <v>2224</v>
      </c>
      <c r="H58" s="574" t="s">
        <v>2225</v>
      </c>
      <c r="I58" s="574" t="s">
        <v>2226</v>
      </c>
      <c r="J58" s="574" t="s">
        <v>2227</v>
      </c>
      <c r="K58" s="574" t="s">
        <v>2228</v>
      </c>
      <c r="L58" s="574" t="s">
        <v>2229</v>
      </c>
      <c r="M58" s="574" t="s">
        <v>2230</v>
      </c>
      <c r="N58" s="574" t="s">
        <v>2231</v>
      </c>
      <c r="O58" s="574" t="s">
        <v>2232</v>
      </c>
      <c r="P58" s="574" t="s">
        <v>2233</v>
      </c>
      <c r="Q58" s="574" t="s">
        <v>2234</v>
      </c>
      <c r="R58" s="574" t="s">
        <v>2225</v>
      </c>
      <c r="S58" s="574" t="s">
        <v>2235</v>
      </c>
      <c r="T58" s="574" t="s">
        <v>2236</v>
      </c>
      <c r="U58" s="574" t="s">
        <v>2349</v>
      </c>
      <c r="V58" s="574" t="s">
        <v>2238</v>
      </c>
      <c r="W58" s="574" t="s">
        <v>2239</v>
      </c>
      <c r="X58" s="574" t="s">
        <v>2350</v>
      </c>
      <c r="Y58" s="575" t="s">
        <v>2346</v>
      </c>
      <c r="Z58" s="575" t="s">
        <v>2346</v>
      </c>
      <c r="AA58" s="574" t="s">
        <v>1691</v>
      </c>
      <c r="AB58" s="574" t="s">
        <v>2297</v>
      </c>
      <c r="AC58" s="574" t="s">
        <v>2298</v>
      </c>
      <c r="AD58" s="574" t="s">
        <v>2299</v>
      </c>
      <c r="AE58" s="574" t="s">
        <v>1468</v>
      </c>
      <c r="AF58" s="574" t="s">
        <v>2299</v>
      </c>
      <c r="AG58" s="576">
        <v>0</v>
      </c>
      <c r="AH58" s="576">
        <v>32500</v>
      </c>
    </row>
    <row r="59" spans="1:34" customFormat="1" x14ac:dyDescent="0.25">
      <c r="A59" s="574" t="s">
        <v>2219</v>
      </c>
      <c r="B59" s="574" t="s">
        <v>2220</v>
      </c>
      <c r="C59" s="574" t="s">
        <v>2221</v>
      </c>
      <c r="D59" s="574" t="s">
        <v>2220</v>
      </c>
      <c r="E59" s="574" t="s">
        <v>2222</v>
      </c>
      <c r="F59" s="574" t="s">
        <v>2223</v>
      </c>
      <c r="G59" s="574" t="s">
        <v>2224</v>
      </c>
      <c r="H59" s="574" t="s">
        <v>2225</v>
      </c>
      <c r="I59" s="574" t="s">
        <v>2226</v>
      </c>
      <c r="J59" s="574" t="s">
        <v>2227</v>
      </c>
      <c r="K59" s="574" t="s">
        <v>2228</v>
      </c>
      <c r="L59" s="574" t="s">
        <v>2229</v>
      </c>
      <c r="M59" s="574" t="s">
        <v>2230</v>
      </c>
      <c r="N59" s="574" t="s">
        <v>2231</v>
      </c>
      <c r="O59" s="574" t="s">
        <v>2232</v>
      </c>
      <c r="P59" s="574" t="s">
        <v>2233</v>
      </c>
      <c r="Q59" s="574" t="s">
        <v>2234</v>
      </c>
      <c r="R59" s="574" t="s">
        <v>2225</v>
      </c>
      <c r="S59" s="574" t="s">
        <v>2235</v>
      </c>
      <c r="T59" s="574" t="s">
        <v>2236</v>
      </c>
      <c r="U59" s="574" t="s">
        <v>2351</v>
      </c>
      <c r="V59" s="574" t="s">
        <v>2238</v>
      </c>
      <c r="W59" s="574" t="s">
        <v>2239</v>
      </c>
      <c r="X59" s="574" t="s">
        <v>2352</v>
      </c>
      <c r="Y59" s="575" t="s">
        <v>2346</v>
      </c>
      <c r="Z59" s="575" t="s">
        <v>2346</v>
      </c>
      <c r="AA59" s="574" t="s">
        <v>1691</v>
      </c>
      <c r="AB59" s="574" t="s">
        <v>2297</v>
      </c>
      <c r="AC59" s="574" t="s">
        <v>2298</v>
      </c>
      <c r="AD59" s="574" t="s">
        <v>2299</v>
      </c>
      <c r="AE59" s="574" t="s">
        <v>1468</v>
      </c>
      <c r="AF59" s="574" t="s">
        <v>2299</v>
      </c>
      <c r="AG59" s="576">
        <v>0</v>
      </c>
      <c r="AH59" s="576">
        <v>225000</v>
      </c>
    </row>
    <row r="60" spans="1:34" customFormat="1" x14ac:dyDescent="0.25">
      <c r="A60" s="574" t="s">
        <v>2219</v>
      </c>
      <c r="B60" s="574" t="s">
        <v>2220</v>
      </c>
      <c r="C60" s="574" t="s">
        <v>2221</v>
      </c>
      <c r="D60" s="574" t="s">
        <v>2220</v>
      </c>
      <c r="E60" s="574" t="s">
        <v>2222</v>
      </c>
      <c r="F60" s="574" t="s">
        <v>2223</v>
      </c>
      <c r="G60" s="574" t="s">
        <v>2224</v>
      </c>
      <c r="H60" s="574" t="s">
        <v>2225</v>
      </c>
      <c r="I60" s="574" t="s">
        <v>2226</v>
      </c>
      <c r="J60" s="574" t="s">
        <v>2227</v>
      </c>
      <c r="K60" s="574" t="s">
        <v>2228</v>
      </c>
      <c r="L60" s="574" t="s">
        <v>2229</v>
      </c>
      <c r="M60" s="574" t="s">
        <v>2230</v>
      </c>
      <c r="N60" s="574" t="s">
        <v>2231</v>
      </c>
      <c r="O60" s="574" t="s">
        <v>2232</v>
      </c>
      <c r="P60" s="574" t="s">
        <v>2233</v>
      </c>
      <c r="Q60" s="574" t="s">
        <v>2234</v>
      </c>
      <c r="R60" s="574" t="s">
        <v>2225</v>
      </c>
      <c r="S60" s="574" t="s">
        <v>2235</v>
      </c>
      <c r="T60" s="574" t="s">
        <v>2236</v>
      </c>
      <c r="U60" s="574" t="s">
        <v>2353</v>
      </c>
      <c r="V60" s="574" t="s">
        <v>2238</v>
      </c>
      <c r="W60" s="574" t="s">
        <v>2239</v>
      </c>
      <c r="X60" s="574" t="s">
        <v>2354</v>
      </c>
      <c r="Y60" s="575" t="s">
        <v>2346</v>
      </c>
      <c r="Z60" s="575" t="s">
        <v>2346</v>
      </c>
      <c r="AA60" s="574" t="s">
        <v>1691</v>
      </c>
      <c r="AB60" s="574" t="s">
        <v>2297</v>
      </c>
      <c r="AC60" s="574" t="s">
        <v>2298</v>
      </c>
      <c r="AD60" s="574" t="s">
        <v>2299</v>
      </c>
      <c r="AE60" s="574" t="s">
        <v>1468</v>
      </c>
      <c r="AF60" s="574" t="s">
        <v>2299</v>
      </c>
      <c r="AG60" s="576">
        <v>0</v>
      </c>
      <c r="AH60" s="576">
        <v>51000</v>
      </c>
    </row>
    <row r="61" spans="1:34" customFormat="1" x14ac:dyDescent="0.25">
      <c r="A61" s="574" t="s">
        <v>2219</v>
      </c>
      <c r="B61" s="574" t="s">
        <v>2220</v>
      </c>
      <c r="C61" s="574" t="s">
        <v>2221</v>
      </c>
      <c r="D61" s="574" t="s">
        <v>2220</v>
      </c>
      <c r="E61" s="574" t="s">
        <v>2222</v>
      </c>
      <c r="F61" s="574" t="s">
        <v>2223</v>
      </c>
      <c r="G61" s="574" t="s">
        <v>2224</v>
      </c>
      <c r="H61" s="574" t="s">
        <v>2225</v>
      </c>
      <c r="I61" s="574" t="s">
        <v>2226</v>
      </c>
      <c r="J61" s="574" t="s">
        <v>2227</v>
      </c>
      <c r="K61" s="574" t="s">
        <v>2228</v>
      </c>
      <c r="L61" s="574" t="s">
        <v>2229</v>
      </c>
      <c r="M61" s="574" t="s">
        <v>2230</v>
      </c>
      <c r="N61" s="574" t="s">
        <v>2231</v>
      </c>
      <c r="O61" s="574" t="s">
        <v>2232</v>
      </c>
      <c r="P61" s="574" t="s">
        <v>2233</v>
      </c>
      <c r="Q61" s="574" t="s">
        <v>2234</v>
      </c>
      <c r="R61" s="574" t="s">
        <v>2225</v>
      </c>
      <c r="S61" s="574" t="s">
        <v>2235</v>
      </c>
      <c r="T61" s="574" t="s">
        <v>2236</v>
      </c>
      <c r="U61" s="574" t="s">
        <v>2355</v>
      </c>
      <c r="V61" s="574" t="s">
        <v>2238</v>
      </c>
      <c r="W61" s="574" t="s">
        <v>2239</v>
      </c>
      <c r="X61" s="574" t="s">
        <v>2356</v>
      </c>
      <c r="Y61" s="575" t="s">
        <v>2346</v>
      </c>
      <c r="Z61" s="575" t="s">
        <v>2346</v>
      </c>
      <c r="AA61" s="574" t="s">
        <v>1691</v>
      </c>
      <c r="AB61" s="574" t="s">
        <v>2297</v>
      </c>
      <c r="AC61" s="574" t="s">
        <v>2298</v>
      </c>
      <c r="AD61" s="574" t="s">
        <v>2299</v>
      </c>
      <c r="AE61" s="574" t="s">
        <v>1468</v>
      </c>
      <c r="AF61" s="574" t="s">
        <v>2299</v>
      </c>
      <c r="AG61" s="576">
        <v>0</v>
      </c>
      <c r="AH61" s="576">
        <v>104300</v>
      </c>
    </row>
    <row r="62" spans="1:34" customFormat="1" x14ac:dyDescent="0.25">
      <c r="A62" s="574" t="s">
        <v>2219</v>
      </c>
      <c r="B62" s="574" t="s">
        <v>2220</v>
      </c>
      <c r="C62" s="574" t="s">
        <v>2221</v>
      </c>
      <c r="D62" s="574" t="s">
        <v>2220</v>
      </c>
      <c r="E62" s="574" t="s">
        <v>2222</v>
      </c>
      <c r="F62" s="574" t="s">
        <v>2223</v>
      </c>
      <c r="G62" s="574" t="s">
        <v>2224</v>
      </c>
      <c r="H62" s="574" t="s">
        <v>2225</v>
      </c>
      <c r="I62" s="574" t="s">
        <v>2226</v>
      </c>
      <c r="J62" s="574" t="s">
        <v>2227</v>
      </c>
      <c r="K62" s="574" t="s">
        <v>2228</v>
      </c>
      <c r="L62" s="574" t="s">
        <v>2229</v>
      </c>
      <c r="M62" s="574" t="s">
        <v>2230</v>
      </c>
      <c r="N62" s="574" t="s">
        <v>2231</v>
      </c>
      <c r="O62" s="574" t="s">
        <v>2232</v>
      </c>
      <c r="P62" s="574" t="s">
        <v>2233</v>
      </c>
      <c r="Q62" s="574" t="s">
        <v>2234</v>
      </c>
      <c r="R62" s="574" t="s">
        <v>2225</v>
      </c>
      <c r="S62" s="574" t="s">
        <v>2235</v>
      </c>
      <c r="T62" s="574" t="s">
        <v>2236</v>
      </c>
      <c r="U62" s="574" t="s">
        <v>2357</v>
      </c>
      <c r="V62" s="574" t="s">
        <v>2238</v>
      </c>
      <c r="W62" s="574" t="s">
        <v>2239</v>
      </c>
      <c r="X62" s="574" t="s">
        <v>2358</v>
      </c>
      <c r="Y62" s="575" t="s">
        <v>2346</v>
      </c>
      <c r="Z62" s="575" t="s">
        <v>2346</v>
      </c>
      <c r="AA62" s="574" t="s">
        <v>1691</v>
      </c>
      <c r="AB62" s="574" t="s">
        <v>2297</v>
      </c>
      <c r="AC62" s="574" t="s">
        <v>2298</v>
      </c>
      <c r="AD62" s="574" t="s">
        <v>2299</v>
      </c>
      <c r="AE62" s="574" t="s">
        <v>1468</v>
      </c>
      <c r="AF62" s="574" t="s">
        <v>2299</v>
      </c>
      <c r="AG62" s="576">
        <v>0</v>
      </c>
      <c r="AH62" s="576">
        <v>185000</v>
      </c>
    </row>
    <row r="63" spans="1:34" customFormat="1" x14ac:dyDescent="0.25">
      <c r="A63" s="574" t="s">
        <v>2219</v>
      </c>
      <c r="B63" s="574" t="s">
        <v>2220</v>
      </c>
      <c r="C63" s="574" t="s">
        <v>2221</v>
      </c>
      <c r="D63" s="574" t="s">
        <v>2220</v>
      </c>
      <c r="E63" s="574" t="s">
        <v>2222</v>
      </c>
      <c r="F63" s="574" t="s">
        <v>2223</v>
      </c>
      <c r="G63" s="574" t="s">
        <v>2224</v>
      </c>
      <c r="H63" s="574" t="s">
        <v>2225</v>
      </c>
      <c r="I63" s="574" t="s">
        <v>2226</v>
      </c>
      <c r="J63" s="574" t="s">
        <v>2227</v>
      </c>
      <c r="K63" s="574" t="s">
        <v>2228</v>
      </c>
      <c r="L63" s="574" t="s">
        <v>2229</v>
      </c>
      <c r="M63" s="574" t="s">
        <v>2230</v>
      </c>
      <c r="N63" s="574" t="s">
        <v>2231</v>
      </c>
      <c r="O63" s="574" t="s">
        <v>2232</v>
      </c>
      <c r="P63" s="574" t="s">
        <v>2233</v>
      </c>
      <c r="Q63" s="574" t="s">
        <v>2234</v>
      </c>
      <c r="R63" s="574" t="s">
        <v>2225</v>
      </c>
      <c r="S63" s="574" t="s">
        <v>2235</v>
      </c>
      <c r="T63" s="574" t="s">
        <v>2236</v>
      </c>
      <c r="U63" s="574" t="s">
        <v>2359</v>
      </c>
      <c r="V63" s="574" t="s">
        <v>2238</v>
      </c>
      <c r="W63" s="574" t="s">
        <v>2239</v>
      </c>
      <c r="X63" s="574" t="s">
        <v>2360</v>
      </c>
      <c r="Y63" s="575" t="s">
        <v>2361</v>
      </c>
      <c r="Z63" s="575" t="s">
        <v>2361</v>
      </c>
      <c r="AA63" s="574" t="s">
        <v>1691</v>
      </c>
      <c r="AB63" s="574" t="s">
        <v>2297</v>
      </c>
      <c r="AC63" s="574" t="s">
        <v>2298</v>
      </c>
      <c r="AD63" s="574" t="s">
        <v>2299</v>
      </c>
      <c r="AE63" s="574" t="s">
        <v>1468</v>
      </c>
      <c r="AF63" s="574" t="s">
        <v>2299</v>
      </c>
      <c r="AG63" s="576">
        <v>0</v>
      </c>
      <c r="AH63" s="576">
        <v>102960</v>
      </c>
    </row>
    <row r="64" spans="1:34" customFormat="1" x14ac:dyDescent="0.25">
      <c r="A64" s="574" t="s">
        <v>2219</v>
      </c>
      <c r="B64" s="574" t="s">
        <v>2220</v>
      </c>
      <c r="C64" s="574" t="s">
        <v>2221</v>
      </c>
      <c r="D64" s="574" t="s">
        <v>2220</v>
      </c>
      <c r="E64" s="574" t="s">
        <v>2222</v>
      </c>
      <c r="F64" s="574" t="s">
        <v>2223</v>
      </c>
      <c r="G64" s="574" t="s">
        <v>2224</v>
      </c>
      <c r="H64" s="574" t="s">
        <v>2225</v>
      </c>
      <c r="I64" s="574" t="s">
        <v>2226</v>
      </c>
      <c r="J64" s="574" t="s">
        <v>2227</v>
      </c>
      <c r="K64" s="574" t="s">
        <v>2228</v>
      </c>
      <c r="L64" s="574" t="s">
        <v>2229</v>
      </c>
      <c r="M64" s="574" t="s">
        <v>2230</v>
      </c>
      <c r="N64" s="574" t="s">
        <v>2231</v>
      </c>
      <c r="O64" s="574" t="s">
        <v>2232</v>
      </c>
      <c r="P64" s="574" t="s">
        <v>2233</v>
      </c>
      <c r="Q64" s="574" t="s">
        <v>2234</v>
      </c>
      <c r="R64" s="574" t="s">
        <v>2225</v>
      </c>
      <c r="S64" s="574" t="s">
        <v>2235</v>
      </c>
      <c r="T64" s="574" t="s">
        <v>2236</v>
      </c>
      <c r="U64" s="574" t="s">
        <v>2362</v>
      </c>
      <c r="V64" s="574" t="s">
        <v>2238</v>
      </c>
      <c r="W64" s="574" t="s">
        <v>2239</v>
      </c>
      <c r="X64" s="574" t="s">
        <v>2363</v>
      </c>
      <c r="Y64" s="575" t="s">
        <v>2361</v>
      </c>
      <c r="Z64" s="575" t="s">
        <v>2361</v>
      </c>
      <c r="AA64" s="574" t="s">
        <v>1692</v>
      </c>
      <c r="AB64" s="574" t="s">
        <v>2307</v>
      </c>
      <c r="AC64" s="574" t="s">
        <v>2308</v>
      </c>
      <c r="AD64" s="574" t="s">
        <v>2309</v>
      </c>
      <c r="AE64" s="574" t="s">
        <v>1490</v>
      </c>
      <c r="AF64" s="574" t="s">
        <v>176</v>
      </c>
      <c r="AG64" s="576">
        <v>0</v>
      </c>
      <c r="AH64" s="576">
        <v>361422.2</v>
      </c>
    </row>
    <row r="65" spans="1:34" customFormat="1" x14ac:dyDescent="0.25">
      <c r="A65" s="574" t="s">
        <v>2219</v>
      </c>
      <c r="B65" s="574" t="s">
        <v>2220</v>
      </c>
      <c r="C65" s="574" t="s">
        <v>2221</v>
      </c>
      <c r="D65" s="574" t="s">
        <v>2220</v>
      </c>
      <c r="E65" s="574" t="s">
        <v>2222</v>
      </c>
      <c r="F65" s="574" t="s">
        <v>2223</v>
      </c>
      <c r="G65" s="574" t="s">
        <v>2224</v>
      </c>
      <c r="H65" s="574" t="s">
        <v>2225</v>
      </c>
      <c r="I65" s="574" t="s">
        <v>2226</v>
      </c>
      <c r="J65" s="574" t="s">
        <v>2227</v>
      </c>
      <c r="K65" s="574" t="s">
        <v>2228</v>
      </c>
      <c r="L65" s="574" t="s">
        <v>2229</v>
      </c>
      <c r="M65" s="574" t="s">
        <v>2230</v>
      </c>
      <c r="N65" s="574" t="s">
        <v>2231</v>
      </c>
      <c r="O65" s="574" t="s">
        <v>2232</v>
      </c>
      <c r="P65" s="574" t="s">
        <v>2233</v>
      </c>
      <c r="Q65" s="574" t="s">
        <v>2234</v>
      </c>
      <c r="R65" s="574" t="s">
        <v>2225</v>
      </c>
      <c r="S65" s="574" t="s">
        <v>2235</v>
      </c>
      <c r="T65" s="574" t="s">
        <v>2236</v>
      </c>
      <c r="U65" s="574" t="s">
        <v>2364</v>
      </c>
      <c r="V65" s="574" t="s">
        <v>2238</v>
      </c>
      <c r="W65" s="574" t="s">
        <v>2239</v>
      </c>
      <c r="X65" s="574" t="s">
        <v>2365</v>
      </c>
      <c r="Y65" s="575" t="s">
        <v>2366</v>
      </c>
      <c r="Z65" s="575" t="s">
        <v>2366</v>
      </c>
      <c r="AA65" s="574" t="s">
        <v>1692</v>
      </c>
      <c r="AB65" s="574" t="s">
        <v>2307</v>
      </c>
      <c r="AC65" s="574" t="s">
        <v>2367</v>
      </c>
      <c r="AD65" s="574" t="s">
        <v>2368</v>
      </c>
      <c r="AE65" s="574" t="s">
        <v>2369</v>
      </c>
      <c r="AF65" s="574" t="s">
        <v>117</v>
      </c>
      <c r="AG65" s="576">
        <v>0</v>
      </c>
      <c r="AH65" s="576">
        <v>664800</v>
      </c>
    </row>
    <row r="66" spans="1:34" customFormat="1" x14ac:dyDescent="0.25">
      <c r="A66" s="574" t="s">
        <v>2219</v>
      </c>
      <c r="B66" s="574" t="s">
        <v>2220</v>
      </c>
      <c r="C66" s="574" t="s">
        <v>2221</v>
      </c>
      <c r="D66" s="574" t="s">
        <v>2220</v>
      </c>
      <c r="E66" s="574" t="s">
        <v>2222</v>
      </c>
      <c r="F66" s="574" t="s">
        <v>2223</v>
      </c>
      <c r="G66" s="574" t="s">
        <v>2224</v>
      </c>
      <c r="H66" s="574" t="s">
        <v>2225</v>
      </c>
      <c r="I66" s="574" t="s">
        <v>2226</v>
      </c>
      <c r="J66" s="574" t="s">
        <v>2227</v>
      </c>
      <c r="K66" s="574" t="s">
        <v>2228</v>
      </c>
      <c r="L66" s="574" t="s">
        <v>2229</v>
      </c>
      <c r="M66" s="574" t="s">
        <v>2230</v>
      </c>
      <c r="N66" s="574" t="s">
        <v>2231</v>
      </c>
      <c r="O66" s="574" t="s">
        <v>2232</v>
      </c>
      <c r="P66" s="574" t="s">
        <v>2233</v>
      </c>
      <c r="Q66" s="574" t="s">
        <v>2234</v>
      </c>
      <c r="R66" s="574" t="s">
        <v>2225</v>
      </c>
      <c r="S66" s="574" t="s">
        <v>2235</v>
      </c>
      <c r="T66" s="574" t="s">
        <v>2236</v>
      </c>
      <c r="U66" s="574" t="s">
        <v>2370</v>
      </c>
      <c r="V66" s="574" t="s">
        <v>2238</v>
      </c>
      <c r="W66" s="574" t="s">
        <v>2239</v>
      </c>
      <c r="X66" s="574" t="s">
        <v>2371</v>
      </c>
      <c r="Y66" s="575" t="s">
        <v>2372</v>
      </c>
      <c r="Z66" s="575" t="s">
        <v>2372</v>
      </c>
      <c r="AA66" s="574" t="s">
        <v>1692</v>
      </c>
      <c r="AB66" s="574" t="s">
        <v>2307</v>
      </c>
      <c r="AC66" s="574" t="s">
        <v>2308</v>
      </c>
      <c r="AD66" s="574" t="s">
        <v>2309</v>
      </c>
      <c r="AE66" s="574" t="s">
        <v>1490</v>
      </c>
      <c r="AF66" s="574" t="s">
        <v>176</v>
      </c>
      <c r="AG66" s="576">
        <v>0</v>
      </c>
      <c r="AH66" s="576">
        <v>1387311.78</v>
      </c>
    </row>
    <row r="67" spans="1:34" customFormat="1" x14ac:dyDescent="0.25">
      <c r="A67" s="574" t="s">
        <v>2219</v>
      </c>
      <c r="B67" s="574" t="s">
        <v>2220</v>
      </c>
      <c r="C67" s="574" t="s">
        <v>2221</v>
      </c>
      <c r="D67" s="574" t="s">
        <v>2220</v>
      </c>
      <c r="E67" s="574" t="s">
        <v>2222</v>
      </c>
      <c r="F67" s="574" t="s">
        <v>2223</v>
      </c>
      <c r="G67" s="574" t="s">
        <v>2224</v>
      </c>
      <c r="H67" s="574" t="s">
        <v>2225</v>
      </c>
      <c r="I67" s="574" t="s">
        <v>2226</v>
      </c>
      <c r="J67" s="574" t="s">
        <v>2227</v>
      </c>
      <c r="K67" s="574" t="s">
        <v>2228</v>
      </c>
      <c r="L67" s="574" t="s">
        <v>2229</v>
      </c>
      <c r="M67" s="574" t="s">
        <v>2230</v>
      </c>
      <c r="N67" s="574" t="s">
        <v>2231</v>
      </c>
      <c r="O67" s="574" t="s">
        <v>2232</v>
      </c>
      <c r="P67" s="574" t="s">
        <v>2233</v>
      </c>
      <c r="Q67" s="574" t="s">
        <v>2234</v>
      </c>
      <c r="R67" s="574" t="s">
        <v>2225</v>
      </c>
      <c r="S67" s="574" t="s">
        <v>2235</v>
      </c>
      <c r="T67" s="574" t="s">
        <v>2236</v>
      </c>
      <c r="U67" s="574" t="s">
        <v>2373</v>
      </c>
      <c r="V67" s="574" t="s">
        <v>2238</v>
      </c>
      <c r="W67" s="574" t="s">
        <v>2239</v>
      </c>
      <c r="X67" s="574" t="s">
        <v>2374</v>
      </c>
      <c r="Y67" s="575" t="s">
        <v>2372</v>
      </c>
      <c r="Z67" s="575" t="s">
        <v>2372</v>
      </c>
      <c r="AA67" s="574" t="s">
        <v>1693</v>
      </c>
      <c r="AB67" s="574" t="s">
        <v>2319</v>
      </c>
      <c r="AC67" s="574" t="s">
        <v>2320</v>
      </c>
      <c r="AD67" s="574" t="s">
        <v>2321</v>
      </c>
      <c r="AE67" s="574" t="s">
        <v>1446</v>
      </c>
      <c r="AF67" s="574" t="s">
        <v>2321</v>
      </c>
      <c r="AG67" s="576">
        <v>0</v>
      </c>
      <c r="AH67" s="576">
        <v>227150</v>
      </c>
    </row>
    <row r="68" spans="1:34" customFormat="1" x14ac:dyDescent="0.25">
      <c r="A68" s="574" t="s">
        <v>2219</v>
      </c>
      <c r="B68" s="574" t="s">
        <v>2220</v>
      </c>
      <c r="C68" s="574" t="s">
        <v>2221</v>
      </c>
      <c r="D68" s="574" t="s">
        <v>2220</v>
      </c>
      <c r="E68" s="574" t="s">
        <v>2222</v>
      </c>
      <c r="F68" s="574" t="s">
        <v>2223</v>
      </c>
      <c r="G68" s="574" t="s">
        <v>2224</v>
      </c>
      <c r="H68" s="574" t="s">
        <v>2225</v>
      </c>
      <c r="I68" s="574" t="s">
        <v>2226</v>
      </c>
      <c r="J68" s="574" t="s">
        <v>2227</v>
      </c>
      <c r="K68" s="574" t="s">
        <v>2228</v>
      </c>
      <c r="L68" s="574" t="s">
        <v>2229</v>
      </c>
      <c r="M68" s="574" t="s">
        <v>2230</v>
      </c>
      <c r="N68" s="574" t="s">
        <v>2231</v>
      </c>
      <c r="O68" s="574" t="s">
        <v>2232</v>
      </c>
      <c r="P68" s="574" t="s">
        <v>2233</v>
      </c>
      <c r="Q68" s="574" t="s">
        <v>2234</v>
      </c>
      <c r="R68" s="574" t="s">
        <v>2225</v>
      </c>
      <c r="S68" s="574" t="s">
        <v>2235</v>
      </c>
      <c r="T68" s="574" t="s">
        <v>2236</v>
      </c>
      <c r="U68" s="574" t="s">
        <v>2375</v>
      </c>
      <c r="V68" s="574" t="s">
        <v>2238</v>
      </c>
      <c r="W68" s="574" t="s">
        <v>2239</v>
      </c>
      <c r="X68" s="574" t="s">
        <v>2376</v>
      </c>
      <c r="Y68" s="575" t="s">
        <v>2372</v>
      </c>
      <c r="Z68" s="575" t="s">
        <v>2372</v>
      </c>
      <c r="AA68" s="574" t="s">
        <v>1693</v>
      </c>
      <c r="AB68" s="574" t="s">
        <v>2319</v>
      </c>
      <c r="AC68" s="574" t="s">
        <v>2320</v>
      </c>
      <c r="AD68" s="574" t="s">
        <v>2321</v>
      </c>
      <c r="AE68" s="574" t="s">
        <v>1446</v>
      </c>
      <c r="AF68" s="574" t="s">
        <v>2321</v>
      </c>
      <c r="AG68" s="576">
        <v>0</v>
      </c>
      <c r="AH68" s="576">
        <v>202488</v>
      </c>
    </row>
    <row r="69" spans="1:34" customFormat="1" x14ac:dyDescent="0.25">
      <c r="A69" s="574" t="s">
        <v>2219</v>
      </c>
      <c r="B69" s="574" t="s">
        <v>2220</v>
      </c>
      <c r="C69" s="574" t="s">
        <v>2221</v>
      </c>
      <c r="D69" s="574" t="s">
        <v>2220</v>
      </c>
      <c r="E69" s="574" t="s">
        <v>2222</v>
      </c>
      <c r="F69" s="574" t="s">
        <v>2223</v>
      </c>
      <c r="G69" s="574" t="s">
        <v>2224</v>
      </c>
      <c r="H69" s="574" t="s">
        <v>2225</v>
      </c>
      <c r="I69" s="574" t="s">
        <v>2226</v>
      </c>
      <c r="J69" s="574" t="s">
        <v>2227</v>
      </c>
      <c r="K69" s="574" t="s">
        <v>2228</v>
      </c>
      <c r="L69" s="574" t="s">
        <v>2229</v>
      </c>
      <c r="M69" s="574" t="s">
        <v>2230</v>
      </c>
      <c r="N69" s="574" t="s">
        <v>2231</v>
      </c>
      <c r="O69" s="574" t="s">
        <v>2232</v>
      </c>
      <c r="P69" s="574" t="s">
        <v>2233</v>
      </c>
      <c r="Q69" s="574" t="s">
        <v>2234</v>
      </c>
      <c r="R69" s="574" t="s">
        <v>2225</v>
      </c>
      <c r="S69" s="574" t="s">
        <v>2235</v>
      </c>
      <c r="T69" s="574" t="s">
        <v>2236</v>
      </c>
      <c r="U69" s="574" t="s">
        <v>2377</v>
      </c>
      <c r="V69" s="574" t="s">
        <v>2238</v>
      </c>
      <c r="W69" s="574" t="s">
        <v>2239</v>
      </c>
      <c r="X69" s="574" t="s">
        <v>2378</v>
      </c>
      <c r="Y69" s="575" t="s">
        <v>2372</v>
      </c>
      <c r="Z69" s="575" t="s">
        <v>2372</v>
      </c>
      <c r="AA69" s="574" t="s">
        <v>1694</v>
      </c>
      <c r="AB69" s="574" t="s">
        <v>2314</v>
      </c>
      <c r="AC69" s="574" t="s">
        <v>2315</v>
      </c>
      <c r="AD69" s="574" t="s">
        <v>2316</v>
      </c>
      <c r="AE69" s="574" t="s">
        <v>1470</v>
      </c>
      <c r="AF69" s="574" t="s">
        <v>2316</v>
      </c>
      <c r="AG69" s="576">
        <v>0</v>
      </c>
      <c r="AH69" s="576">
        <v>632940.19999999995</v>
      </c>
    </row>
    <row r="70" spans="1:34" customFormat="1" x14ac:dyDescent="0.25">
      <c r="A70" s="574" t="s">
        <v>2219</v>
      </c>
      <c r="B70" s="574" t="s">
        <v>2220</v>
      </c>
      <c r="C70" s="574" t="s">
        <v>2221</v>
      </c>
      <c r="D70" s="574" t="s">
        <v>2220</v>
      </c>
      <c r="E70" s="574" t="s">
        <v>2222</v>
      </c>
      <c r="F70" s="574" t="s">
        <v>2223</v>
      </c>
      <c r="G70" s="574" t="s">
        <v>2224</v>
      </c>
      <c r="H70" s="574" t="s">
        <v>2225</v>
      </c>
      <c r="I70" s="574" t="s">
        <v>2226</v>
      </c>
      <c r="J70" s="574" t="s">
        <v>2227</v>
      </c>
      <c r="K70" s="574" t="s">
        <v>2228</v>
      </c>
      <c r="L70" s="574" t="s">
        <v>2229</v>
      </c>
      <c r="M70" s="574" t="s">
        <v>2230</v>
      </c>
      <c r="N70" s="574" t="s">
        <v>2231</v>
      </c>
      <c r="O70" s="574" t="s">
        <v>2232</v>
      </c>
      <c r="P70" s="574" t="s">
        <v>2233</v>
      </c>
      <c r="Q70" s="574" t="s">
        <v>2234</v>
      </c>
      <c r="R70" s="574" t="s">
        <v>2225</v>
      </c>
      <c r="S70" s="574" t="s">
        <v>2235</v>
      </c>
      <c r="T70" s="574" t="s">
        <v>2236</v>
      </c>
      <c r="U70" s="574" t="s">
        <v>2379</v>
      </c>
      <c r="V70" s="574" t="s">
        <v>2238</v>
      </c>
      <c r="W70" s="574" t="s">
        <v>2239</v>
      </c>
      <c r="X70" s="574" t="s">
        <v>2380</v>
      </c>
      <c r="Y70" s="575" t="s">
        <v>2372</v>
      </c>
      <c r="Z70" s="575" t="s">
        <v>2372</v>
      </c>
      <c r="AA70" s="574" t="s">
        <v>1691</v>
      </c>
      <c r="AB70" s="574" t="s">
        <v>2297</v>
      </c>
      <c r="AC70" s="574" t="s">
        <v>2298</v>
      </c>
      <c r="AD70" s="574" t="s">
        <v>2299</v>
      </c>
      <c r="AE70" s="574" t="s">
        <v>1468</v>
      </c>
      <c r="AF70" s="574" t="s">
        <v>2299</v>
      </c>
      <c r="AG70" s="576">
        <v>0</v>
      </c>
      <c r="AH70" s="576">
        <v>204000</v>
      </c>
    </row>
    <row r="71" spans="1:34" customFormat="1" x14ac:dyDescent="0.25">
      <c r="A71" s="574" t="s">
        <v>2219</v>
      </c>
      <c r="B71" s="574" t="s">
        <v>2220</v>
      </c>
      <c r="C71" s="574" t="s">
        <v>2221</v>
      </c>
      <c r="D71" s="574" t="s">
        <v>2220</v>
      </c>
      <c r="E71" s="574" t="s">
        <v>2222</v>
      </c>
      <c r="F71" s="574" t="s">
        <v>2223</v>
      </c>
      <c r="G71" s="574" t="s">
        <v>2224</v>
      </c>
      <c r="H71" s="574" t="s">
        <v>2225</v>
      </c>
      <c r="I71" s="574" t="s">
        <v>2226</v>
      </c>
      <c r="J71" s="574" t="s">
        <v>2227</v>
      </c>
      <c r="K71" s="574" t="s">
        <v>2228</v>
      </c>
      <c r="L71" s="574" t="s">
        <v>2229</v>
      </c>
      <c r="M71" s="574" t="s">
        <v>2230</v>
      </c>
      <c r="N71" s="574" t="s">
        <v>2231</v>
      </c>
      <c r="O71" s="574" t="s">
        <v>2232</v>
      </c>
      <c r="P71" s="574" t="s">
        <v>2233</v>
      </c>
      <c r="Q71" s="574" t="s">
        <v>2234</v>
      </c>
      <c r="R71" s="574" t="s">
        <v>2225</v>
      </c>
      <c r="S71" s="574" t="s">
        <v>2235</v>
      </c>
      <c r="T71" s="574" t="s">
        <v>2236</v>
      </c>
      <c r="U71" s="574" t="s">
        <v>2379</v>
      </c>
      <c r="V71" s="574" t="s">
        <v>2238</v>
      </c>
      <c r="W71" s="574" t="s">
        <v>2239</v>
      </c>
      <c r="X71" s="574" t="s">
        <v>2380</v>
      </c>
      <c r="Y71" s="575" t="s">
        <v>2372</v>
      </c>
      <c r="Z71" s="575" t="s">
        <v>2372</v>
      </c>
      <c r="AA71" s="574" t="s">
        <v>1692</v>
      </c>
      <c r="AB71" s="574" t="s">
        <v>2307</v>
      </c>
      <c r="AC71" s="574" t="s">
        <v>2308</v>
      </c>
      <c r="AD71" s="574" t="s">
        <v>2309</v>
      </c>
      <c r="AE71" s="574" t="s">
        <v>1490</v>
      </c>
      <c r="AF71" s="574" t="s">
        <v>176</v>
      </c>
      <c r="AG71" s="576">
        <v>0</v>
      </c>
      <c r="AH71" s="576">
        <v>8400</v>
      </c>
    </row>
    <row r="72" spans="1:34" customFormat="1" x14ac:dyDescent="0.25">
      <c r="A72" s="574" t="s">
        <v>2219</v>
      </c>
      <c r="B72" s="574" t="s">
        <v>2220</v>
      </c>
      <c r="C72" s="574" t="s">
        <v>2221</v>
      </c>
      <c r="D72" s="574" t="s">
        <v>2220</v>
      </c>
      <c r="E72" s="574" t="s">
        <v>2222</v>
      </c>
      <c r="F72" s="574" t="s">
        <v>2223</v>
      </c>
      <c r="G72" s="574" t="s">
        <v>2224</v>
      </c>
      <c r="H72" s="574" t="s">
        <v>2225</v>
      </c>
      <c r="I72" s="574" t="s">
        <v>2226</v>
      </c>
      <c r="J72" s="574" t="s">
        <v>2227</v>
      </c>
      <c r="K72" s="574" t="s">
        <v>2228</v>
      </c>
      <c r="L72" s="574" t="s">
        <v>2229</v>
      </c>
      <c r="M72" s="574" t="s">
        <v>2230</v>
      </c>
      <c r="N72" s="574" t="s">
        <v>2231</v>
      </c>
      <c r="O72" s="574" t="s">
        <v>2232</v>
      </c>
      <c r="P72" s="574" t="s">
        <v>2233</v>
      </c>
      <c r="Q72" s="574" t="s">
        <v>2234</v>
      </c>
      <c r="R72" s="574" t="s">
        <v>2225</v>
      </c>
      <c r="S72" s="574" t="s">
        <v>2235</v>
      </c>
      <c r="T72" s="574" t="s">
        <v>2236</v>
      </c>
      <c r="U72" s="574" t="s">
        <v>2381</v>
      </c>
      <c r="V72" s="574" t="s">
        <v>2238</v>
      </c>
      <c r="W72" s="574" t="s">
        <v>2239</v>
      </c>
      <c r="X72" s="574" t="s">
        <v>2382</v>
      </c>
      <c r="Y72" s="575" t="s">
        <v>2372</v>
      </c>
      <c r="Z72" s="575" t="s">
        <v>2372</v>
      </c>
      <c r="AA72" s="574" t="s">
        <v>1691</v>
      </c>
      <c r="AB72" s="574" t="s">
        <v>2297</v>
      </c>
      <c r="AC72" s="574" t="s">
        <v>2298</v>
      </c>
      <c r="AD72" s="574" t="s">
        <v>2299</v>
      </c>
      <c r="AE72" s="574" t="s">
        <v>1468</v>
      </c>
      <c r="AF72" s="574" t="s">
        <v>2299</v>
      </c>
      <c r="AG72" s="576">
        <v>0</v>
      </c>
      <c r="AH72" s="576">
        <v>64350</v>
      </c>
    </row>
    <row r="73" spans="1:34" customFormat="1" x14ac:dyDescent="0.25">
      <c r="A73" s="574" t="s">
        <v>2219</v>
      </c>
      <c r="B73" s="574" t="s">
        <v>2220</v>
      </c>
      <c r="C73" s="574" t="s">
        <v>2221</v>
      </c>
      <c r="D73" s="574" t="s">
        <v>2220</v>
      </c>
      <c r="E73" s="574" t="s">
        <v>2222</v>
      </c>
      <c r="F73" s="574" t="s">
        <v>2223</v>
      </c>
      <c r="G73" s="574" t="s">
        <v>2224</v>
      </c>
      <c r="H73" s="574" t="s">
        <v>2225</v>
      </c>
      <c r="I73" s="574" t="s">
        <v>2226</v>
      </c>
      <c r="J73" s="574" t="s">
        <v>2227</v>
      </c>
      <c r="K73" s="574" t="s">
        <v>2228</v>
      </c>
      <c r="L73" s="574" t="s">
        <v>2229</v>
      </c>
      <c r="M73" s="574" t="s">
        <v>2230</v>
      </c>
      <c r="N73" s="574" t="s">
        <v>2231</v>
      </c>
      <c r="O73" s="574" t="s">
        <v>2232</v>
      </c>
      <c r="P73" s="574" t="s">
        <v>2233</v>
      </c>
      <c r="Q73" s="574" t="s">
        <v>2234</v>
      </c>
      <c r="R73" s="574" t="s">
        <v>2225</v>
      </c>
      <c r="S73" s="574" t="s">
        <v>2235</v>
      </c>
      <c r="T73" s="574" t="s">
        <v>2236</v>
      </c>
      <c r="U73" s="574" t="s">
        <v>2383</v>
      </c>
      <c r="V73" s="574" t="s">
        <v>2238</v>
      </c>
      <c r="W73" s="574" t="s">
        <v>2239</v>
      </c>
      <c r="X73" s="574" t="s">
        <v>2384</v>
      </c>
      <c r="Y73" s="575" t="s">
        <v>2372</v>
      </c>
      <c r="Z73" s="575" t="s">
        <v>2372</v>
      </c>
      <c r="AA73" s="574" t="s">
        <v>1694</v>
      </c>
      <c r="AB73" s="574" t="s">
        <v>2314</v>
      </c>
      <c r="AC73" s="574" t="s">
        <v>2385</v>
      </c>
      <c r="AD73" s="574" t="s">
        <v>2386</v>
      </c>
      <c r="AE73" s="574" t="s">
        <v>2387</v>
      </c>
      <c r="AF73" s="574" t="s">
        <v>2386</v>
      </c>
      <c r="AG73" s="576">
        <v>0</v>
      </c>
      <c r="AH73" s="576">
        <v>219008</v>
      </c>
    </row>
    <row r="74" spans="1:34" customFormat="1" x14ac:dyDescent="0.25">
      <c r="A74" s="574" t="s">
        <v>2219</v>
      </c>
      <c r="B74" s="574" t="s">
        <v>2220</v>
      </c>
      <c r="C74" s="574" t="s">
        <v>2221</v>
      </c>
      <c r="D74" s="574" t="s">
        <v>2220</v>
      </c>
      <c r="E74" s="574" t="s">
        <v>2222</v>
      </c>
      <c r="F74" s="574" t="s">
        <v>2223</v>
      </c>
      <c r="G74" s="574" t="s">
        <v>2224</v>
      </c>
      <c r="H74" s="574" t="s">
        <v>2225</v>
      </c>
      <c r="I74" s="574" t="s">
        <v>2226</v>
      </c>
      <c r="J74" s="574" t="s">
        <v>2227</v>
      </c>
      <c r="K74" s="574" t="s">
        <v>2228</v>
      </c>
      <c r="L74" s="574" t="s">
        <v>2229</v>
      </c>
      <c r="M74" s="574" t="s">
        <v>2230</v>
      </c>
      <c r="N74" s="574" t="s">
        <v>2231</v>
      </c>
      <c r="O74" s="574" t="s">
        <v>2232</v>
      </c>
      <c r="P74" s="574" t="s">
        <v>2233</v>
      </c>
      <c r="Q74" s="574" t="s">
        <v>2234</v>
      </c>
      <c r="R74" s="574" t="s">
        <v>2225</v>
      </c>
      <c r="S74" s="574" t="s">
        <v>2235</v>
      </c>
      <c r="T74" s="574" t="s">
        <v>2236</v>
      </c>
      <c r="U74" s="574" t="s">
        <v>2388</v>
      </c>
      <c r="V74" s="574" t="s">
        <v>2238</v>
      </c>
      <c r="W74" s="574" t="s">
        <v>2239</v>
      </c>
      <c r="X74" s="574" t="s">
        <v>2389</v>
      </c>
      <c r="Y74" s="575" t="s">
        <v>2372</v>
      </c>
      <c r="Z74" s="575" t="s">
        <v>2372</v>
      </c>
      <c r="AA74" s="574" t="s">
        <v>1691</v>
      </c>
      <c r="AB74" s="574" t="s">
        <v>2297</v>
      </c>
      <c r="AC74" s="574" t="s">
        <v>2298</v>
      </c>
      <c r="AD74" s="574" t="s">
        <v>2299</v>
      </c>
      <c r="AE74" s="574" t="s">
        <v>1468</v>
      </c>
      <c r="AF74" s="574" t="s">
        <v>2299</v>
      </c>
      <c r="AG74" s="576">
        <v>0</v>
      </c>
      <c r="AH74" s="576">
        <v>44000</v>
      </c>
    </row>
    <row r="75" spans="1:34" customFormat="1" x14ac:dyDescent="0.25">
      <c r="A75" s="574" t="s">
        <v>2219</v>
      </c>
      <c r="B75" s="574" t="s">
        <v>2220</v>
      </c>
      <c r="C75" s="574" t="s">
        <v>2221</v>
      </c>
      <c r="D75" s="574" t="s">
        <v>2220</v>
      </c>
      <c r="E75" s="574" t="s">
        <v>2222</v>
      </c>
      <c r="F75" s="574" t="s">
        <v>2223</v>
      </c>
      <c r="G75" s="574" t="s">
        <v>2224</v>
      </c>
      <c r="H75" s="574" t="s">
        <v>2225</v>
      </c>
      <c r="I75" s="574" t="s">
        <v>2226</v>
      </c>
      <c r="J75" s="574" t="s">
        <v>2227</v>
      </c>
      <c r="K75" s="574" t="s">
        <v>2228</v>
      </c>
      <c r="L75" s="574" t="s">
        <v>2229</v>
      </c>
      <c r="M75" s="574" t="s">
        <v>2230</v>
      </c>
      <c r="N75" s="574" t="s">
        <v>2231</v>
      </c>
      <c r="O75" s="574" t="s">
        <v>2232</v>
      </c>
      <c r="P75" s="574" t="s">
        <v>2233</v>
      </c>
      <c r="Q75" s="574" t="s">
        <v>2234</v>
      </c>
      <c r="R75" s="574" t="s">
        <v>2225</v>
      </c>
      <c r="S75" s="574" t="s">
        <v>2235</v>
      </c>
      <c r="T75" s="574" t="s">
        <v>2236</v>
      </c>
      <c r="U75" s="574" t="s">
        <v>2388</v>
      </c>
      <c r="V75" s="574" t="s">
        <v>2238</v>
      </c>
      <c r="W75" s="574" t="s">
        <v>2239</v>
      </c>
      <c r="X75" s="574" t="s">
        <v>2389</v>
      </c>
      <c r="Y75" s="575" t="s">
        <v>2372</v>
      </c>
      <c r="Z75" s="575" t="s">
        <v>2372</v>
      </c>
      <c r="AA75" s="574" t="s">
        <v>1693</v>
      </c>
      <c r="AB75" s="574" t="s">
        <v>2319</v>
      </c>
      <c r="AC75" s="574" t="s">
        <v>2320</v>
      </c>
      <c r="AD75" s="574" t="s">
        <v>2321</v>
      </c>
      <c r="AE75" s="574" t="s">
        <v>1446</v>
      </c>
      <c r="AF75" s="574" t="s">
        <v>2321</v>
      </c>
      <c r="AG75" s="576">
        <v>0</v>
      </c>
      <c r="AH75" s="576">
        <v>64900</v>
      </c>
    </row>
    <row r="76" spans="1:34" customFormat="1" x14ac:dyDescent="0.25">
      <c r="A76" s="574" t="s">
        <v>2219</v>
      </c>
      <c r="B76" s="574" t="s">
        <v>2220</v>
      </c>
      <c r="C76" s="574" t="s">
        <v>2221</v>
      </c>
      <c r="D76" s="574" t="s">
        <v>2220</v>
      </c>
      <c r="E76" s="574" t="s">
        <v>2222</v>
      </c>
      <c r="F76" s="574" t="s">
        <v>2223</v>
      </c>
      <c r="G76" s="574" t="s">
        <v>2224</v>
      </c>
      <c r="H76" s="574" t="s">
        <v>2225</v>
      </c>
      <c r="I76" s="574" t="s">
        <v>2226</v>
      </c>
      <c r="J76" s="574" t="s">
        <v>2227</v>
      </c>
      <c r="K76" s="574" t="s">
        <v>2228</v>
      </c>
      <c r="L76" s="574" t="s">
        <v>2229</v>
      </c>
      <c r="M76" s="574" t="s">
        <v>2230</v>
      </c>
      <c r="N76" s="574" t="s">
        <v>2231</v>
      </c>
      <c r="O76" s="574" t="s">
        <v>2232</v>
      </c>
      <c r="P76" s="574" t="s">
        <v>2233</v>
      </c>
      <c r="Q76" s="574" t="s">
        <v>2234</v>
      </c>
      <c r="R76" s="574" t="s">
        <v>2225</v>
      </c>
      <c r="S76" s="574" t="s">
        <v>2235</v>
      </c>
      <c r="T76" s="574" t="s">
        <v>2236</v>
      </c>
      <c r="U76" s="574" t="s">
        <v>2390</v>
      </c>
      <c r="V76" s="574" t="s">
        <v>2238</v>
      </c>
      <c r="W76" s="574" t="s">
        <v>2239</v>
      </c>
      <c r="X76" s="574" t="s">
        <v>2391</v>
      </c>
      <c r="Y76" s="575" t="s">
        <v>2372</v>
      </c>
      <c r="Z76" s="575" t="s">
        <v>2372</v>
      </c>
      <c r="AA76" s="574" t="s">
        <v>1693</v>
      </c>
      <c r="AB76" s="574" t="s">
        <v>2319</v>
      </c>
      <c r="AC76" s="574" t="s">
        <v>2320</v>
      </c>
      <c r="AD76" s="574" t="s">
        <v>2321</v>
      </c>
      <c r="AE76" s="574" t="s">
        <v>1446</v>
      </c>
      <c r="AF76" s="574" t="s">
        <v>2321</v>
      </c>
      <c r="AG76" s="576">
        <v>0</v>
      </c>
      <c r="AH76" s="576">
        <v>39648</v>
      </c>
    </row>
    <row r="77" spans="1:34" customFormat="1" x14ac:dyDescent="0.25">
      <c r="A77" s="574" t="s">
        <v>2219</v>
      </c>
      <c r="B77" s="574" t="s">
        <v>2220</v>
      </c>
      <c r="C77" s="574" t="s">
        <v>2221</v>
      </c>
      <c r="D77" s="574" t="s">
        <v>2220</v>
      </c>
      <c r="E77" s="574" t="s">
        <v>2222</v>
      </c>
      <c r="F77" s="574" t="s">
        <v>2223</v>
      </c>
      <c r="G77" s="574" t="s">
        <v>2224</v>
      </c>
      <c r="H77" s="574" t="s">
        <v>2225</v>
      </c>
      <c r="I77" s="574" t="s">
        <v>2226</v>
      </c>
      <c r="J77" s="574" t="s">
        <v>2227</v>
      </c>
      <c r="K77" s="574" t="s">
        <v>2228</v>
      </c>
      <c r="L77" s="574" t="s">
        <v>2229</v>
      </c>
      <c r="M77" s="574" t="s">
        <v>2230</v>
      </c>
      <c r="N77" s="574" t="s">
        <v>2231</v>
      </c>
      <c r="O77" s="574" t="s">
        <v>2232</v>
      </c>
      <c r="P77" s="574" t="s">
        <v>2233</v>
      </c>
      <c r="Q77" s="574" t="s">
        <v>2234</v>
      </c>
      <c r="R77" s="574" t="s">
        <v>2225</v>
      </c>
      <c r="S77" s="574" t="s">
        <v>2235</v>
      </c>
      <c r="T77" s="574" t="s">
        <v>2236</v>
      </c>
      <c r="U77" s="574" t="s">
        <v>2392</v>
      </c>
      <c r="V77" s="574" t="s">
        <v>2238</v>
      </c>
      <c r="W77" s="574" t="s">
        <v>2239</v>
      </c>
      <c r="X77" s="574" t="s">
        <v>2393</v>
      </c>
      <c r="Y77" s="575" t="s">
        <v>2372</v>
      </c>
      <c r="Z77" s="575" t="s">
        <v>2372</v>
      </c>
      <c r="AA77" s="574" t="s">
        <v>1693</v>
      </c>
      <c r="AB77" s="574" t="s">
        <v>2319</v>
      </c>
      <c r="AC77" s="574" t="s">
        <v>2320</v>
      </c>
      <c r="AD77" s="574" t="s">
        <v>2321</v>
      </c>
      <c r="AE77" s="574" t="s">
        <v>1446</v>
      </c>
      <c r="AF77" s="574" t="s">
        <v>2321</v>
      </c>
      <c r="AG77" s="576">
        <v>0</v>
      </c>
      <c r="AH77" s="576">
        <v>177000</v>
      </c>
    </row>
    <row r="78" spans="1:34" customFormat="1" x14ac:dyDescent="0.25">
      <c r="A78" s="574" t="s">
        <v>2219</v>
      </c>
      <c r="B78" s="574" t="s">
        <v>2220</v>
      </c>
      <c r="C78" s="574" t="s">
        <v>2221</v>
      </c>
      <c r="D78" s="574" t="s">
        <v>2220</v>
      </c>
      <c r="E78" s="574" t="s">
        <v>2222</v>
      </c>
      <c r="F78" s="574" t="s">
        <v>2223</v>
      </c>
      <c r="G78" s="574" t="s">
        <v>2224</v>
      </c>
      <c r="H78" s="574" t="s">
        <v>2225</v>
      </c>
      <c r="I78" s="574" t="s">
        <v>2226</v>
      </c>
      <c r="J78" s="574" t="s">
        <v>2227</v>
      </c>
      <c r="K78" s="574" t="s">
        <v>2228</v>
      </c>
      <c r="L78" s="574" t="s">
        <v>2229</v>
      </c>
      <c r="M78" s="574" t="s">
        <v>2230</v>
      </c>
      <c r="N78" s="574" t="s">
        <v>2231</v>
      </c>
      <c r="O78" s="574" t="s">
        <v>2232</v>
      </c>
      <c r="P78" s="574" t="s">
        <v>2233</v>
      </c>
      <c r="Q78" s="574" t="s">
        <v>2234</v>
      </c>
      <c r="R78" s="574" t="s">
        <v>2225</v>
      </c>
      <c r="S78" s="574" t="s">
        <v>2235</v>
      </c>
      <c r="T78" s="574" t="s">
        <v>2236</v>
      </c>
      <c r="U78" s="574" t="s">
        <v>2394</v>
      </c>
      <c r="V78" s="574" t="s">
        <v>2238</v>
      </c>
      <c r="W78" s="574" t="s">
        <v>2239</v>
      </c>
      <c r="X78" s="574" t="s">
        <v>2395</v>
      </c>
      <c r="Y78" s="575" t="s">
        <v>2372</v>
      </c>
      <c r="Z78" s="575" t="s">
        <v>2372</v>
      </c>
      <c r="AA78" s="574" t="s">
        <v>1693</v>
      </c>
      <c r="AB78" s="574" t="s">
        <v>2319</v>
      </c>
      <c r="AC78" s="574" t="s">
        <v>2320</v>
      </c>
      <c r="AD78" s="574" t="s">
        <v>2321</v>
      </c>
      <c r="AE78" s="574" t="s">
        <v>1446</v>
      </c>
      <c r="AF78" s="574" t="s">
        <v>2321</v>
      </c>
      <c r="AG78" s="576">
        <v>0</v>
      </c>
      <c r="AH78" s="576">
        <v>234230</v>
      </c>
    </row>
    <row r="79" spans="1:34" customFormat="1" x14ac:dyDescent="0.25">
      <c r="A79" s="574" t="s">
        <v>2219</v>
      </c>
      <c r="B79" s="574" t="s">
        <v>2220</v>
      </c>
      <c r="C79" s="574" t="s">
        <v>2221</v>
      </c>
      <c r="D79" s="574" t="s">
        <v>2220</v>
      </c>
      <c r="E79" s="574" t="s">
        <v>2222</v>
      </c>
      <c r="F79" s="574" t="s">
        <v>2223</v>
      </c>
      <c r="G79" s="574" t="s">
        <v>2224</v>
      </c>
      <c r="H79" s="574" t="s">
        <v>2225</v>
      </c>
      <c r="I79" s="574" t="s">
        <v>2226</v>
      </c>
      <c r="J79" s="574" t="s">
        <v>2227</v>
      </c>
      <c r="K79" s="574" t="s">
        <v>2228</v>
      </c>
      <c r="L79" s="574" t="s">
        <v>2229</v>
      </c>
      <c r="M79" s="574" t="s">
        <v>2230</v>
      </c>
      <c r="N79" s="574" t="s">
        <v>2231</v>
      </c>
      <c r="O79" s="574" t="s">
        <v>2232</v>
      </c>
      <c r="P79" s="574" t="s">
        <v>2233</v>
      </c>
      <c r="Q79" s="574" t="s">
        <v>2234</v>
      </c>
      <c r="R79" s="574" t="s">
        <v>2225</v>
      </c>
      <c r="S79" s="574" t="s">
        <v>2235</v>
      </c>
      <c r="T79" s="574" t="s">
        <v>2236</v>
      </c>
      <c r="U79" s="574" t="s">
        <v>2396</v>
      </c>
      <c r="V79" s="574" t="s">
        <v>2238</v>
      </c>
      <c r="W79" s="574" t="s">
        <v>2239</v>
      </c>
      <c r="X79" s="574" t="s">
        <v>2397</v>
      </c>
      <c r="Y79" s="575" t="s">
        <v>2372</v>
      </c>
      <c r="Z79" s="575" t="s">
        <v>2372</v>
      </c>
      <c r="AA79" s="574" t="s">
        <v>1694</v>
      </c>
      <c r="AB79" s="574" t="s">
        <v>2314</v>
      </c>
      <c r="AC79" s="574" t="s">
        <v>2398</v>
      </c>
      <c r="AD79" s="574" t="s">
        <v>2399</v>
      </c>
      <c r="AE79" s="574" t="s">
        <v>1431</v>
      </c>
      <c r="AF79" s="574" t="s">
        <v>2399</v>
      </c>
      <c r="AG79" s="576">
        <v>0</v>
      </c>
      <c r="AH79" s="576">
        <v>61950</v>
      </c>
    </row>
    <row r="80" spans="1:34" customFormat="1" x14ac:dyDescent="0.25">
      <c r="A80" s="574" t="s">
        <v>2219</v>
      </c>
      <c r="B80" s="574" t="s">
        <v>2220</v>
      </c>
      <c r="C80" s="574" t="s">
        <v>2221</v>
      </c>
      <c r="D80" s="574" t="s">
        <v>2220</v>
      </c>
      <c r="E80" s="574" t="s">
        <v>2222</v>
      </c>
      <c r="F80" s="574" t="s">
        <v>2223</v>
      </c>
      <c r="G80" s="574" t="s">
        <v>2224</v>
      </c>
      <c r="H80" s="574" t="s">
        <v>2225</v>
      </c>
      <c r="I80" s="574" t="s">
        <v>2226</v>
      </c>
      <c r="J80" s="574" t="s">
        <v>2227</v>
      </c>
      <c r="K80" s="574" t="s">
        <v>2228</v>
      </c>
      <c r="L80" s="574" t="s">
        <v>2229</v>
      </c>
      <c r="M80" s="574" t="s">
        <v>2230</v>
      </c>
      <c r="N80" s="574" t="s">
        <v>2231</v>
      </c>
      <c r="O80" s="574" t="s">
        <v>2232</v>
      </c>
      <c r="P80" s="574" t="s">
        <v>2233</v>
      </c>
      <c r="Q80" s="574" t="s">
        <v>2234</v>
      </c>
      <c r="R80" s="574" t="s">
        <v>2225</v>
      </c>
      <c r="S80" s="574" t="s">
        <v>2235</v>
      </c>
      <c r="T80" s="574" t="s">
        <v>2236</v>
      </c>
      <c r="U80" s="574" t="s">
        <v>2400</v>
      </c>
      <c r="V80" s="574" t="s">
        <v>2238</v>
      </c>
      <c r="W80" s="574" t="s">
        <v>2239</v>
      </c>
      <c r="X80" s="574" t="s">
        <v>2401</v>
      </c>
      <c r="Y80" s="575" t="s">
        <v>2372</v>
      </c>
      <c r="Z80" s="575" t="s">
        <v>2372</v>
      </c>
      <c r="AA80" s="574" t="s">
        <v>1693</v>
      </c>
      <c r="AB80" s="574" t="s">
        <v>2319</v>
      </c>
      <c r="AC80" s="574" t="s">
        <v>2402</v>
      </c>
      <c r="AD80" s="574" t="s">
        <v>2403</v>
      </c>
      <c r="AE80" s="574" t="s">
        <v>1486</v>
      </c>
      <c r="AF80" s="574" t="s">
        <v>2403</v>
      </c>
      <c r="AG80" s="576">
        <v>0</v>
      </c>
      <c r="AH80" s="576">
        <v>5015</v>
      </c>
    </row>
    <row r="81" spans="1:34" customFormat="1" x14ac:dyDescent="0.25">
      <c r="A81" s="574" t="s">
        <v>2219</v>
      </c>
      <c r="B81" s="574" t="s">
        <v>2220</v>
      </c>
      <c r="C81" s="574" t="s">
        <v>2221</v>
      </c>
      <c r="D81" s="574" t="s">
        <v>2220</v>
      </c>
      <c r="E81" s="574" t="s">
        <v>2222</v>
      </c>
      <c r="F81" s="574" t="s">
        <v>2223</v>
      </c>
      <c r="G81" s="574" t="s">
        <v>2224</v>
      </c>
      <c r="H81" s="574" t="s">
        <v>2225</v>
      </c>
      <c r="I81" s="574" t="s">
        <v>2226</v>
      </c>
      <c r="J81" s="574" t="s">
        <v>2227</v>
      </c>
      <c r="K81" s="574" t="s">
        <v>2228</v>
      </c>
      <c r="L81" s="574" t="s">
        <v>2229</v>
      </c>
      <c r="M81" s="574" t="s">
        <v>2230</v>
      </c>
      <c r="N81" s="574" t="s">
        <v>2231</v>
      </c>
      <c r="O81" s="574" t="s">
        <v>2232</v>
      </c>
      <c r="P81" s="574" t="s">
        <v>2233</v>
      </c>
      <c r="Q81" s="574" t="s">
        <v>2234</v>
      </c>
      <c r="R81" s="574" t="s">
        <v>2225</v>
      </c>
      <c r="S81" s="574" t="s">
        <v>2235</v>
      </c>
      <c r="T81" s="574" t="s">
        <v>2236</v>
      </c>
      <c r="U81" s="574" t="s">
        <v>2400</v>
      </c>
      <c r="V81" s="574" t="s">
        <v>2238</v>
      </c>
      <c r="W81" s="574" t="s">
        <v>2239</v>
      </c>
      <c r="X81" s="574" t="s">
        <v>2401</v>
      </c>
      <c r="Y81" s="575" t="s">
        <v>2372</v>
      </c>
      <c r="Z81" s="575" t="s">
        <v>2372</v>
      </c>
      <c r="AA81" s="574" t="s">
        <v>1693</v>
      </c>
      <c r="AB81" s="574" t="s">
        <v>2319</v>
      </c>
      <c r="AC81" s="574" t="s">
        <v>2320</v>
      </c>
      <c r="AD81" s="574" t="s">
        <v>2321</v>
      </c>
      <c r="AE81" s="574" t="s">
        <v>1446</v>
      </c>
      <c r="AF81" s="574" t="s">
        <v>2321</v>
      </c>
      <c r="AG81" s="576">
        <v>0</v>
      </c>
      <c r="AH81" s="576">
        <v>41808.58</v>
      </c>
    </row>
    <row r="82" spans="1:34" customFormat="1" x14ac:dyDescent="0.25">
      <c r="A82" s="574" t="s">
        <v>2219</v>
      </c>
      <c r="B82" s="574" t="s">
        <v>2220</v>
      </c>
      <c r="C82" s="574" t="s">
        <v>2221</v>
      </c>
      <c r="D82" s="574" t="s">
        <v>2220</v>
      </c>
      <c r="E82" s="574" t="s">
        <v>2222</v>
      </c>
      <c r="F82" s="574" t="s">
        <v>2223</v>
      </c>
      <c r="G82" s="574" t="s">
        <v>2224</v>
      </c>
      <c r="H82" s="574" t="s">
        <v>2225</v>
      </c>
      <c r="I82" s="574" t="s">
        <v>2226</v>
      </c>
      <c r="J82" s="574" t="s">
        <v>2227</v>
      </c>
      <c r="K82" s="574" t="s">
        <v>2228</v>
      </c>
      <c r="L82" s="574" t="s">
        <v>2229</v>
      </c>
      <c r="M82" s="574" t="s">
        <v>2230</v>
      </c>
      <c r="N82" s="574" t="s">
        <v>2231</v>
      </c>
      <c r="O82" s="574" t="s">
        <v>2232</v>
      </c>
      <c r="P82" s="574" t="s">
        <v>2233</v>
      </c>
      <c r="Q82" s="574" t="s">
        <v>2234</v>
      </c>
      <c r="R82" s="574" t="s">
        <v>2225</v>
      </c>
      <c r="S82" s="574" t="s">
        <v>2235</v>
      </c>
      <c r="T82" s="574" t="s">
        <v>2236</v>
      </c>
      <c r="U82" s="574" t="s">
        <v>2400</v>
      </c>
      <c r="V82" s="574" t="s">
        <v>2238</v>
      </c>
      <c r="W82" s="574" t="s">
        <v>2239</v>
      </c>
      <c r="X82" s="574" t="s">
        <v>2401</v>
      </c>
      <c r="Y82" s="575" t="s">
        <v>2372</v>
      </c>
      <c r="Z82" s="575" t="s">
        <v>2372</v>
      </c>
      <c r="AA82" s="574" t="s">
        <v>1696</v>
      </c>
      <c r="AB82" s="574" t="s">
        <v>2404</v>
      </c>
      <c r="AC82" s="574" t="s">
        <v>2405</v>
      </c>
      <c r="AD82" s="574" t="s">
        <v>2406</v>
      </c>
      <c r="AE82" s="574" t="s">
        <v>2407</v>
      </c>
      <c r="AF82" s="574" t="s">
        <v>2406</v>
      </c>
      <c r="AG82" s="576">
        <v>0</v>
      </c>
      <c r="AH82" s="576">
        <v>64605</v>
      </c>
    </row>
    <row r="83" spans="1:34" customFormat="1" x14ac:dyDescent="0.25">
      <c r="A83" s="574" t="s">
        <v>2219</v>
      </c>
      <c r="B83" s="574" t="s">
        <v>2220</v>
      </c>
      <c r="C83" s="574" t="s">
        <v>2221</v>
      </c>
      <c r="D83" s="574" t="s">
        <v>2220</v>
      </c>
      <c r="E83" s="574" t="s">
        <v>2222</v>
      </c>
      <c r="F83" s="574" t="s">
        <v>2223</v>
      </c>
      <c r="G83" s="574" t="s">
        <v>2224</v>
      </c>
      <c r="H83" s="574" t="s">
        <v>2225</v>
      </c>
      <c r="I83" s="574" t="s">
        <v>2226</v>
      </c>
      <c r="J83" s="574" t="s">
        <v>2227</v>
      </c>
      <c r="K83" s="574" t="s">
        <v>2228</v>
      </c>
      <c r="L83" s="574" t="s">
        <v>2229</v>
      </c>
      <c r="M83" s="574" t="s">
        <v>2230</v>
      </c>
      <c r="N83" s="574" t="s">
        <v>2231</v>
      </c>
      <c r="O83" s="574" t="s">
        <v>2232</v>
      </c>
      <c r="P83" s="574" t="s">
        <v>2233</v>
      </c>
      <c r="Q83" s="574" t="s">
        <v>2234</v>
      </c>
      <c r="R83" s="574" t="s">
        <v>2225</v>
      </c>
      <c r="S83" s="574" t="s">
        <v>2235</v>
      </c>
      <c r="T83" s="574" t="s">
        <v>2236</v>
      </c>
      <c r="U83" s="574" t="s">
        <v>2408</v>
      </c>
      <c r="V83" s="574" t="s">
        <v>2238</v>
      </c>
      <c r="W83" s="574" t="s">
        <v>2239</v>
      </c>
      <c r="X83" s="574" t="s">
        <v>2409</v>
      </c>
      <c r="Y83" s="575" t="s">
        <v>2410</v>
      </c>
      <c r="Z83" s="575" t="s">
        <v>2410</v>
      </c>
      <c r="AA83" s="574" t="s">
        <v>1693</v>
      </c>
      <c r="AB83" s="574" t="s">
        <v>2319</v>
      </c>
      <c r="AC83" s="574" t="s">
        <v>2320</v>
      </c>
      <c r="AD83" s="574" t="s">
        <v>2321</v>
      </c>
      <c r="AE83" s="574" t="s">
        <v>1446</v>
      </c>
      <c r="AF83" s="574" t="s">
        <v>2321</v>
      </c>
      <c r="AG83" s="576">
        <v>0</v>
      </c>
      <c r="AH83" s="576">
        <v>182900</v>
      </c>
    </row>
    <row r="84" spans="1:34" customFormat="1" x14ac:dyDescent="0.25">
      <c r="A84" s="574" t="s">
        <v>2219</v>
      </c>
      <c r="B84" s="574" t="s">
        <v>2220</v>
      </c>
      <c r="C84" s="574" t="s">
        <v>2221</v>
      </c>
      <c r="D84" s="574" t="s">
        <v>2220</v>
      </c>
      <c r="E84" s="574" t="s">
        <v>2222</v>
      </c>
      <c r="F84" s="574" t="s">
        <v>2223</v>
      </c>
      <c r="G84" s="574" t="s">
        <v>2224</v>
      </c>
      <c r="H84" s="574" t="s">
        <v>2225</v>
      </c>
      <c r="I84" s="574" t="s">
        <v>2226</v>
      </c>
      <c r="J84" s="574" t="s">
        <v>2227</v>
      </c>
      <c r="K84" s="574" t="s">
        <v>2228</v>
      </c>
      <c r="L84" s="574" t="s">
        <v>2229</v>
      </c>
      <c r="M84" s="574" t="s">
        <v>2230</v>
      </c>
      <c r="N84" s="574" t="s">
        <v>2231</v>
      </c>
      <c r="O84" s="574" t="s">
        <v>2232</v>
      </c>
      <c r="P84" s="574" t="s">
        <v>2233</v>
      </c>
      <c r="Q84" s="574" t="s">
        <v>2234</v>
      </c>
      <c r="R84" s="574" t="s">
        <v>2225</v>
      </c>
      <c r="S84" s="574" t="s">
        <v>2235</v>
      </c>
      <c r="T84" s="574" t="s">
        <v>2236</v>
      </c>
      <c r="U84" s="574" t="s">
        <v>2411</v>
      </c>
      <c r="V84" s="574" t="s">
        <v>2238</v>
      </c>
      <c r="W84" s="574" t="s">
        <v>2239</v>
      </c>
      <c r="X84" s="574" t="s">
        <v>2412</v>
      </c>
      <c r="Y84" s="575" t="s">
        <v>2410</v>
      </c>
      <c r="Z84" s="575" t="s">
        <v>2410</v>
      </c>
      <c r="AA84" s="574" t="s">
        <v>1691</v>
      </c>
      <c r="AB84" s="574" t="s">
        <v>2297</v>
      </c>
      <c r="AC84" s="574" t="s">
        <v>2298</v>
      </c>
      <c r="AD84" s="574" t="s">
        <v>2299</v>
      </c>
      <c r="AE84" s="574" t="s">
        <v>1468</v>
      </c>
      <c r="AF84" s="574" t="s">
        <v>2299</v>
      </c>
      <c r="AG84" s="576">
        <v>0</v>
      </c>
      <c r="AH84" s="576">
        <v>232500</v>
      </c>
    </row>
    <row r="85" spans="1:34" customFormat="1" x14ac:dyDescent="0.25">
      <c r="A85" s="574" t="s">
        <v>2219</v>
      </c>
      <c r="B85" s="574" t="s">
        <v>2220</v>
      </c>
      <c r="C85" s="574" t="s">
        <v>2221</v>
      </c>
      <c r="D85" s="574" t="s">
        <v>2220</v>
      </c>
      <c r="E85" s="574" t="s">
        <v>2222</v>
      </c>
      <c r="F85" s="574" t="s">
        <v>2223</v>
      </c>
      <c r="G85" s="574" t="s">
        <v>2224</v>
      </c>
      <c r="H85" s="574" t="s">
        <v>2225</v>
      </c>
      <c r="I85" s="574" t="s">
        <v>2226</v>
      </c>
      <c r="J85" s="574" t="s">
        <v>2227</v>
      </c>
      <c r="K85" s="574" t="s">
        <v>2228</v>
      </c>
      <c r="L85" s="574" t="s">
        <v>2229</v>
      </c>
      <c r="M85" s="574" t="s">
        <v>2230</v>
      </c>
      <c r="N85" s="574" t="s">
        <v>2231</v>
      </c>
      <c r="O85" s="574" t="s">
        <v>2232</v>
      </c>
      <c r="P85" s="574" t="s">
        <v>2233</v>
      </c>
      <c r="Q85" s="574" t="s">
        <v>2234</v>
      </c>
      <c r="R85" s="574" t="s">
        <v>2225</v>
      </c>
      <c r="S85" s="574" t="s">
        <v>2235</v>
      </c>
      <c r="T85" s="574" t="s">
        <v>2236</v>
      </c>
      <c r="U85" s="574" t="s">
        <v>2413</v>
      </c>
      <c r="V85" s="574" t="s">
        <v>2238</v>
      </c>
      <c r="W85" s="574" t="s">
        <v>2239</v>
      </c>
      <c r="X85" s="574" t="s">
        <v>2414</v>
      </c>
      <c r="Y85" s="575" t="s">
        <v>2415</v>
      </c>
      <c r="Z85" s="575" t="s">
        <v>2415</v>
      </c>
      <c r="AA85" s="574" t="s">
        <v>1693</v>
      </c>
      <c r="AB85" s="574" t="s">
        <v>2319</v>
      </c>
      <c r="AC85" s="574" t="s">
        <v>2320</v>
      </c>
      <c r="AD85" s="574" t="s">
        <v>2321</v>
      </c>
      <c r="AE85" s="574" t="s">
        <v>1446</v>
      </c>
      <c r="AF85" s="574" t="s">
        <v>2321</v>
      </c>
      <c r="AG85" s="576">
        <v>0</v>
      </c>
      <c r="AH85" s="576">
        <v>247092</v>
      </c>
    </row>
    <row r="86" spans="1:34" customFormat="1" x14ac:dyDescent="0.25">
      <c r="A86" s="574" t="s">
        <v>2219</v>
      </c>
      <c r="B86" s="574" t="s">
        <v>2220</v>
      </c>
      <c r="C86" s="574" t="s">
        <v>2221</v>
      </c>
      <c r="D86" s="574" t="s">
        <v>2220</v>
      </c>
      <c r="E86" s="574" t="s">
        <v>2222</v>
      </c>
      <c r="F86" s="574" t="s">
        <v>2223</v>
      </c>
      <c r="G86" s="574" t="s">
        <v>2224</v>
      </c>
      <c r="H86" s="574" t="s">
        <v>2225</v>
      </c>
      <c r="I86" s="574" t="s">
        <v>2226</v>
      </c>
      <c r="J86" s="574" t="s">
        <v>2227</v>
      </c>
      <c r="K86" s="574" t="s">
        <v>2228</v>
      </c>
      <c r="L86" s="574" t="s">
        <v>2229</v>
      </c>
      <c r="M86" s="574" t="s">
        <v>2230</v>
      </c>
      <c r="N86" s="574" t="s">
        <v>2231</v>
      </c>
      <c r="O86" s="574" t="s">
        <v>2232</v>
      </c>
      <c r="P86" s="574" t="s">
        <v>2233</v>
      </c>
      <c r="Q86" s="574" t="s">
        <v>2234</v>
      </c>
      <c r="R86" s="574" t="s">
        <v>2225</v>
      </c>
      <c r="S86" s="574" t="s">
        <v>2235</v>
      </c>
      <c r="T86" s="574" t="s">
        <v>2236</v>
      </c>
      <c r="U86" s="574" t="s">
        <v>2416</v>
      </c>
      <c r="V86" s="574" t="s">
        <v>2238</v>
      </c>
      <c r="W86" s="574" t="s">
        <v>2239</v>
      </c>
      <c r="X86" s="574" t="s">
        <v>2417</v>
      </c>
      <c r="Y86" s="575" t="s">
        <v>2415</v>
      </c>
      <c r="Z86" s="575" t="s">
        <v>2415</v>
      </c>
      <c r="AA86" s="574" t="s">
        <v>1694</v>
      </c>
      <c r="AB86" s="574" t="s">
        <v>2314</v>
      </c>
      <c r="AC86" s="574" t="s">
        <v>2315</v>
      </c>
      <c r="AD86" s="574" t="s">
        <v>2316</v>
      </c>
      <c r="AE86" s="574" t="s">
        <v>1470</v>
      </c>
      <c r="AF86" s="574" t="s">
        <v>2316</v>
      </c>
      <c r="AG86" s="576">
        <v>0</v>
      </c>
      <c r="AH86" s="576">
        <v>461911</v>
      </c>
    </row>
    <row r="87" spans="1:34" customFormat="1" x14ac:dyDescent="0.25">
      <c r="A87" s="574" t="s">
        <v>2219</v>
      </c>
      <c r="B87" s="574" t="s">
        <v>2220</v>
      </c>
      <c r="C87" s="574" t="s">
        <v>2221</v>
      </c>
      <c r="D87" s="574" t="s">
        <v>2220</v>
      </c>
      <c r="E87" s="574" t="s">
        <v>2222</v>
      </c>
      <c r="F87" s="574" t="s">
        <v>2223</v>
      </c>
      <c r="G87" s="574" t="s">
        <v>2224</v>
      </c>
      <c r="H87" s="574" t="s">
        <v>2225</v>
      </c>
      <c r="I87" s="574" t="s">
        <v>2226</v>
      </c>
      <c r="J87" s="574" t="s">
        <v>2227</v>
      </c>
      <c r="K87" s="574" t="s">
        <v>2228</v>
      </c>
      <c r="L87" s="574" t="s">
        <v>2229</v>
      </c>
      <c r="M87" s="574" t="s">
        <v>2230</v>
      </c>
      <c r="N87" s="574" t="s">
        <v>2231</v>
      </c>
      <c r="O87" s="574" t="s">
        <v>2232</v>
      </c>
      <c r="P87" s="574" t="s">
        <v>2233</v>
      </c>
      <c r="Q87" s="574" t="s">
        <v>2234</v>
      </c>
      <c r="R87" s="574" t="s">
        <v>2225</v>
      </c>
      <c r="S87" s="574" t="s">
        <v>2235</v>
      </c>
      <c r="T87" s="574" t="s">
        <v>2236</v>
      </c>
      <c r="U87" s="574" t="s">
        <v>2416</v>
      </c>
      <c r="V87" s="574" t="s">
        <v>2238</v>
      </c>
      <c r="W87" s="574" t="s">
        <v>2239</v>
      </c>
      <c r="X87" s="574" t="s">
        <v>2417</v>
      </c>
      <c r="Y87" s="575" t="s">
        <v>2415</v>
      </c>
      <c r="Z87" s="575" t="s">
        <v>2415</v>
      </c>
      <c r="AA87" s="574" t="s">
        <v>1694</v>
      </c>
      <c r="AB87" s="574" t="s">
        <v>2314</v>
      </c>
      <c r="AC87" s="574" t="s">
        <v>2418</v>
      </c>
      <c r="AD87" s="574" t="s">
        <v>2419</v>
      </c>
      <c r="AE87" s="574" t="s">
        <v>2420</v>
      </c>
      <c r="AF87" s="574" t="s">
        <v>2421</v>
      </c>
      <c r="AG87" s="576">
        <v>0</v>
      </c>
      <c r="AH87" s="576">
        <v>102070</v>
      </c>
    </row>
    <row r="88" spans="1:34" customFormat="1" x14ac:dyDescent="0.25">
      <c r="A88" s="574" t="s">
        <v>2219</v>
      </c>
      <c r="B88" s="574" t="s">
        <v>2220</v>
      </c>
      <c r="C88" s="574" t="s">
        <v>2221</v>
      </c>
      <c r="D88" s="574" t="s">
        <v>2220</v>
      </c>
      <c r="E88" s="574" t="s">
        <v>2222</v>
      </c>
      <c r="F88" s="574" t="s">
        <v>2223</v>
      </c>
      <c r="G88" s="574" t="s">
        <v>2224</v>
      </c>
      <c r="H88" s="574" t="s">
        <v>2225</v>
      </c>
      <c r="I88" s="574" t="s">
        <v>2226</v>
      </c>
      <c r="J88" s="574" t="s">
        <v>2227</v>
      </c>
      <c r="K88" s="574" t="s">
        <v>2228</v>
      </c>
      <c r="L88" s="574" t="s">
        <v>2229</v>
      </c>
      <c r="M88" s="574" t="s">
        <v>2230</v>
      </c>
      <c r="N88" s="574" t="s">
        <v>2231</v>
      </c>
      <c r="O88" s="574" t="s">
        <v>2232</v>
      </c>
      <c r="P88" s="574" t="s">
        <v>2233</v>
      </c>
      <c r="Q88" s="574" t="s">
        <v>2234</v>
      </c>
      <c r="R88" s="574" t="s">
        <v>2225</v>
      </c>
      <c r="S88" s="574" t="s">
        <v>2235</v>
      </c>
      <c r="T88" s="574" t="s">
        <v>2236</v>
      </c>
      <c r="U88" s="574" t="s">
        <v>2422</v>
      </c>
      <c r="V88" s="574" t="s">
        <v>2238</v>
      </c>
      <c r="W88" s="574" t="s">
        <v>2239</v>
      </c>
      <c r="X88" s="574" t="s">
        <v>2423</v>
      </c>
      <c r="Y88" s="575" t="s">
        <v>2424</v>
      </c>
      <c r="Z88" s="575" t="s">
        <v>2424</v>
      </c>
      <c r="AA88" s="574" t="s">
        <v>1691</v>
      </c>
      <c r="AB88" s="574" t="s">
        <v>2297</v>
      </c>
      <c r="AC88" s="574" t="s">
        <v>2298</v>
      </c>
      <c r="AD88" s="574" t="s">
        <v>2299</v>
      </c>
      <c r="AE88" s="574" t="s">
        <v>1468</v>
      </c>
      <c r="AF88" s="574" t="s">
        <v>2299</v>
      </c>
      <c r="AG88" s="576">
        <v>0</v>
      </c>
      <c r="AH88" s="576">
        <v>13180</v>
      </c>
    </row>
    <row r="89" spans="1:34" customFormat="1" x14ac:dyDescent="0.25">
      <c r="A89" s="574" t="s">
        <v>2219</v>
      </c>
      <c r="B89" s="574" t="s">
        <v>2220</v>
      </c>
      <c r="C89" s="574" t="s">
        <v>2221</v>
      </c>
      <c r="D89" s="574" t="s">
        <v>2220</v>
      </c>
      <c r="E89" s="574" t="s">
        <v>2222</v>
      </c>
      <c r="F89" s="574" t="s">
        <v>2223</v>
      </c>
      <c r="G89" s="574" t="s">
        <v>2224</v>
      </c>
      <c r="H89" s="574" t="s">
        <v>2225</v>
      </c>
      <c r="I89" s="574" t="s">
        <v>2226</v>
      </c>
      <c r="J89" s="574" t="s">
        <v>2227</v>
      </c>
      <c r="K89" s="574" t="s">
        <v>2228</v>
      </c>
      <c r="L89" s="574" t="s">
        <v>2229</v>
      </c>
      <c r="M89" s="574" t="s">
        <v>2230</v>
      </c>
      <c r="N89" s="574" t="s">
        <v>2231</v>
      </c>
      <c r="O89" s="574" t="s">
        <v>2232</v>
      </c>
      <c r="P89" s="574" t="s">
        <v>2233</v>
      </c>
      <c r="Q89" s="574" t="s">
        <v>2234</v>
      </c>
      <c r="R89" s="574" t="s">
        <v>2225</v>
      </c>
      <c r="S89" s="574" t="s">
        <v>2235</v>
      </c>
      <c r="T89" s="574" t="s">
        <v>2236</v>
      </c>
      <c r="U89" s="574" t="s">
        <v>2422</v>
      </c>
      <c r="V89" s="574" t="s">
        <v>2238</v>
      </c>
      <c r="W89" s="574" t="s">
        <v>2239</v>
      </c>
      <c r="X89" s="574" t="s">
        <v>2423</v>
      </c>
      <c r="Y89" s="575" t="s">
        <v>2424</v>
      </c>
      <c r="Z89" s="575" t="s">
        <v>2424</v>
      </c>
      <c r="AA89" s="574" t="s">
        <v>1693</v>
      </c>
      <c r="AB89" s="574" t="s">
        <v>2319</v>
      </c>
      <c r="AC89" s="574" t="s">
        <v>2320</v>
      </c>
      <c r="AD89" s="574" t="s">
        <v>2321</v>
      </c>
      <c r="AE89" s="574" t="s">
        <v>1446</v>
      </c>
      <c r="AF89" s="574" t="s">
        <v>2321</v>
      </c>
      <c r="AG89" s="576">
        <v>0</v>
      </c>
      <c r="AH89" s="576">
        <v>19769.72</v>
      </c>
    </row>
    <row r="90" spans="1:34" customFormat="1" x14ac:dyDescent="0.25">
      <c r="A90" s="574" t="s">
        <v>2219</v>
      </c>
      <c r="B90" s="574" t="s">
        <v>2220</v>
      </c>
      <c r="C90" s="574" t="s">
        <v>2221</v>
      </c>
      <c r="D90" s="574" t="s">
        <v>2220</v>
      </c>
      <c r="E90" s="574" t="s">
        <v>2222</v>
      </c>
      <c r="F90" s="574" t="s">
        <v>2223</v>
      </c>
      <c r="G90" s="574" t="s">
        <v>2224</v>
      </c>
      <c r="H90" s="574" t="s">
        <v>2225</v>
      </c>
      <c r="I90" s="574" t="s">
        <v>2226</v>
      </c>
      <c r="J90" s="574" t="s">
        <v>2227</v>
      </c>
      <c r="K90" s="574" t="s">
        <v>2228</v>
      </c>
      <c r="L90" s="574" t="s">
        <v>2229</v>
      </c>
      <c r="M90" s="574" t="s">
        <v>2230</v>
      </c>
      <c r="N90" s="574" t="s">
        <v>2231</v>
      </c>
      <c r="O90" s="574" t="s">
        <v>2232</v>
      </c>
      <c r="P90" s="574" t="s">
        <v>2233</v>
      </c>
      <c r="Q90" s="574" t="s">
        <v>2234</v>
      </c>
      <c r="R90" s="574" t="s">
        <v>2225</v>
      </c>
      <c r="S90" s="574" t="s">
        <v>2235</v>
      </c>
      <c r="T90" s="574" t="s">
        <v>2236</v>
      </c>
      <c r="U90" s="574" t="s">
        <v>2425</v>
      </c>
      <c r="V90" s="574" t="s">
        <v>2238</v>
      </c>
      <c r="W90" s="574" t="s">
        <v>2239</v>
      </c>
      <c r="X90" s="574" t="s">
        <v>2426</v>
      </c>
      <c r="Y90" s="575" t="s">
        <v>2424</v>
      </c>
      <c r="Z90" s="575" t="s">
        <v>2424</v>
      </c>
      <c r="AA90" s="574" t="s">
        <v>1694</v>
      </c>
      <c r="AB90" s="574" t="s">
        <v>2314</v>
      </c>
      <c r="AC90" s="574" t="s">
        <v>2315</v>
      </c>
      <c r="AD90" s="574" t="s">
        <v>2316</v>
      </c>
      <c r="AE90" s="574" t="s">
        <v>1470</v>
      </c>
      <c r="AF90" s="574" t="s">
        <v>2316</v>
      </c>
      <c r="AG90" s="576">
        <v>0</v>
      </c>
      <c r="AH90" s="576">
        <v>156350</v>
      </c>
    </row>
    <row r="91" spans="1:34" customFormat="1" x14ac:dyDescent="0.25">
      <c r="A91" s="574" t="s">
        <v>2219</v>
      </c>
      <c r="B91" s="574" t="s">
        <v>2220</v>
      </c>
      <c r="C91" s="574" t="s">
        <v>2221</v>
      </c>
      <c r="D91" s="574" t="s">
        <v>2220</v>
      </c>
      <c r="E91" s="574" t="s">
        <v>2222</v>
      </c>
      <c r="F91" s="574" t="s">
        <v>2223</v>
      </c>
      <c r="G91" s="574" t="s">
        <v>2224</v>
      </c>
      <c r="H91" s="574" t="s">
        <v>2225</v>
      </c>
      <c r="I91" s="574" t="s">
        <v>2226</v>
      </c>
      <c r="J91" s="574" t="s">
        <v>2227</v>
      </c>
      <c r="K91" s="574" t="s">
        <v>2228</v>
      </c>
      <c r="L91" s="574" t="s">
        <v>2229</v>
      </c>
      <c r="M91" s="574" t="s">
        <v>2230</v>
      </c>
      <c r="N91" s="574" t="s">
        <v>2231</v>
      </c>
      <c r="O91" s="574" t="s">
        <v>2232</v>
      </c>
      <c r="P91" s="574" t="s">
        <v>2233</v>
      </c>
      <c r="Q91" s="574" t="s">
        <v>2234</v>
      </c>
      <c r="R91" s="574" t="s">
        <v>2225</v>
      </c>
      <c r="S91" s="574" t="s">
        <v>2235</v>
      </c>
      <c r="T91" s="574" t="s">
        <v>2236</v>
      </c>
      <c r="U91" s="574" t="s">
        <v>2427</v>
      </c>
      <c r="V91" s="574" t="s">
        <v>2238</v>
      </c>
      <c r="W91" s="574" t="s">
        <v>2239</v>
      </c>
      <c r="X91" s="574" t="s">
        <v>2428</v>
      </c>
      <c r="Y91" s="575" t="s">
        <v>2429</v>
      </c>
      <c r="Z91" s="575" t="s">
        <v>2429</v>
      </c>
      <c r="AA91" s="574" t="s">
        <v>1688</v>
      </c>
      <c r="AB91" s="574" t="s">
        <v>2430</v>
      </c>
      <c r="AC91" s="574" t="s">
        <v>2431</v>
      </c>
      <c r="AD91" s="574" t="s">
        <v>99</v>
      </c>
      <c r="AE91" s="574" t="s">
        <v>1531</v>
      </c>
      <c r="AF91" s="574" t="s">
        <v>99</v>
      </c>
      <c r="AG91" s="576">
        <v>0</v>
      </c>
      <c r="AH91" s="576">
        <v>929768</v>
      </c>
    </row>
    <row r="92" spans="1:34" customFormat="1" x14ac:dyDescent="0.25">
      <c r="A92" s="574" t="s">
        <v>2219</v>
      </c>
      <c r="B92" s="574" t="s">
        <v>2220</v>
      </c>
      <c r="C92" s="574" t="s">
        <v>2221</v>
      </c>
      <c r="D92" s="574" t="s">
        <v>2220</v>
      </c>
      <c r="E92" s="574" t="s">
        <v>2222</v>
      </c>
      <c r="F92" s="574" t="s">
        <v>2223</v>
      </c>
      <c r="G92" s="574" t="s">
        <v>2224</v>
      </c>
      <c r="H92" s="574" t="s">
        <v>2225</v>
      </c>
      <c r="I92" s="574" t="s">
        <v>2226</v>
      </c>
      <c r="J92" s="574" t="s">
        <v>2227</v>
      </c>
      <c r="K92" s="574" t="s">
        <v>2228</v>
      </c>
      <c r="L92" s="574" t="s">
        <v>2229</v>
      </c>
      <c r="M92" s="574" t="s">
        <v>2230</v>
      </c>
      <c r="N92" s="574" t="s">
        <v>2231</v>
      </c>
      <c r="O92" s="574" t="s">
        <v>2232</v>
      </c>
      <c r="P92" s="574" t="s">
        <v>2233</v>
      </c>
      <c r="Q92" s="574" t="s">
        <v>2234</v>
      </c>
      <c r="R92" s="574" t="s">
        <v>2225</v>
      </c>
      <c r="S92" s="574" t="s">
        <v>2235</v>
      </c>
      <c r="T92" s="574" t="s">
        <v>2236</v>
      </c>
      <c r="U92" s="574" t="s">
        <v>2432</v>
      </c>
      <c r="V92" s="574" t="s">
        <v>2238</v>
      </c>
      <c r="W92" s="574" t="s">
        <v>2239</v>
      </c>
      <c r="X92" s="574" t="s">
        <v>2433</v>
      </c>
      <c r="Y92" s="575" t="s">
        <v>2429</v>
      </c>
      <c r="Z92" s="575" t="s">
        <v>2429</v>
      </c>
      <c r="AA92" s="574" t="s">
        <v>1688</v>
      </c>
      <c r="AB92" s="574" t="s">
        <v>2430</v>
      </c>
      <c r="AC92" s="574" t="s">
        <v>2431</v>
      </c>
      <c r="AD92" s="574" t="s">
        <v>99</v>
      </c>
      <c r="AE92" s="574" t="s">
        <v>1531</v>
      </c>
      <c r="AF92" s="574" t="s">
        <v>99</v>
      </c>
      <c r="AG92" s="576">
        <v>0</v>
      </c>
      <c r="AH92" s="576">
        <v>337500</v>
      </c>
    </row>
    <row r="93" spans="1:34" customFormat="1" x14ac:dyDescent="0.25">
      <c r="A93" s="574" t="s">
        <v>2219</v>
      </c>
      <c r="B93" s="574" t="s">
        <v>2220</v>
      </c>
      <c r="C93" s="574" t="s">
        <v>2221</v>
      </c>
      <c r="D93" s="574" t="s">
        <v>2220</v>
      </c>
      <c r="E93" s="574" t="s">
        <v>2222</v>
      </c>
      <c r="F93" s="574" t="s">
        <v>2223</v>
      </c>
      <c r="G93" s="574" t="s">
        <v>2224</v>
      </c>
      <c r="H93" s="574" t="s">
        <v>2225</v>
      </c>
      <c r="I93" s="574" t="s">
        <v>2226</v>
      </c>
      <c r="J93" s="574" t="s">
        <v>2227</v>
      </c>
      <c r="K93" s="574" t="s">
        <v>2228</v>
      </c>
      <c r="L93" s="574" t="s">
        <v>2229</v>
      </c>
      <c r="M93" s="574" t="s">
        <v>2230</v>
      </c>
      <c r="N93" s="574" t="s">
        <v>2231</v>
      </c>
      <c r="O93" s="574" t="s">
        <v>2232</v>
      </c>
      <c r="P93" s="574" t="s">
        <v>2233</v>
      </c>
      <c r="Q93" s="574" t="s">
        <v>2234</v>
      </c>
      <c r="R93" s="574" t="s">
        <v>2225</v>
      </c>
      <c r="S93" s="574" t="s">
        <v>2235</v>
      </c>
      <c r="T93" s="574" t="s">
        <v>2236</v>
      </c>
      <c r="U93" s="574" t="s">
        <v>2434</v>
      </c>
      <c r="V93" s="574" t="s">
        <v>2238</v>
      </c>
      <c r="W93" s="574" t="s">
        <v>2239</v>
      </c>
      <c r="X93" s="574" t="s">
        <v>2435</v>
      </c>
      <c r="Y93" s="575" t="s">
        <v>2429</v>
      </c>
      <c r="Z93" s="575" t="s">
        <v>2429</v>
      </c>
      <c r="AA93" s="574" t="s">
        <v>1688</v>
      </c>
      <c r="AB93" s="574" t="s">
        <v>2430</v>
      </c>
      <c r="AC93" s="574" t="s">
        <v>2431</v>
      </c>
      <c r="AD93" s="574" t="s">
        <v>99</v>
      </c>
      <c r="AE93" s="574" t="s">
        <v>1531</v>
      </c>
      <c r="AF93" s="574" t="s">
        <v>99</v>
      </c>
      <c r="AG93" s="576">
        <v>0</v>
      </c>
      <c r="AH93" s="576">
        <v>791125</v>
      </c>
    </row>
    <row r="94" spans="1:34" customFormat="1" x14ac:dyDescent="0.25">
      <c r="A94" s="574" t="s">
        <v>2219</v>
      </c>
      <c r="B94" s="574" t="s">
        <v>2220</v>
      </c>
      <c r="C94" s="574" t="s">
        <v>2221</v>
      </c>
      <c r="D94" s="574" t="s">
        <v>2220</v>
      </c>
      <c r="E94" s="574" t="s">
        <v>2222</v>
      </c>
      <c r="F94" s="574" t="s">
        <v>2223</v>
      </c>
      <c r="G94" s="574" t="s">
        <v>2224</v>
      </c>
      <c r="H94" s="574" t="s">
        <v>2225</v>
      </c>
      <c r="I94" s="574" t="s">
        <v>2226</v>
      </c>
      <c r="J94" s="574" t="s">
        <v>2227</v>
      </c>
      <c r="K94" s="574" t="s">
        <v>2228</v>
      </c>
      <c r="L94" s="574" t="s">
        <v>2229</v>
      </c>
      <c r="M94" s="574" t="s">
        <v>2230</v>
      </c>
      <c r="N94" s="574" t="s">
        <v>2231</v>
      </c>
      <c r="O94" s="574" t="s">
        <v>2232</v>
      </c>
      <c r="P94" s="574" t="s">
        <v>2233</v>
      </c>
      <c r="Q94" s="574" t="s">
        <v>2234</v>
      </c>
      <c r="R94" s="574" t="s">
        <v>2225</v>
      </c>
      <c r="S94" s="574" t="s">
        <v>2235</v>
      </c>
      <c r="T94" s="574" t="s">
        <v>2236</v>
      </c>
      <c r="U94" s="574" t="s">
        <v>2436</v>
      </c>
      <c r="V94" s="574" t="s">
        <v>2238</v>
      </c>
      <c r="W94" s="574" t="s">
        <v>2239</v>
      </c>
      <c r="X94" s="574" t="s">
        <v>2437</v>
      </c>
      <c r="Y94" s="575" t="s">
        <v>2429</v>
      </c>
      <c r="Z94" s="575" t="s">
        <v>2429</v>
      </c>
      <c r="AA94" s="574" t="s">
        <v>1688</v>
      </c>
      <c r="AB94" s="574" t="s">
        <v>2430</v>
      </c>
      <c r="AC94" s="574" t="s">
        <v>2431</v>
      </c>
      <c r="AD94" s="574" t="s">
        <v>99</v>
      </c>
      <c r="AE94" s="574" t="s">
        <v>1531</v>
      </c>
      <c r="AF94" s="574" t="s">
        <v>99</v>
      </c>
      <c r="AG94" s="576">
        <v>0</v>
      </c>
      <c r="AH94" s="576">
        <v>1253100</v>
      </c>
    </row>
    <row r="95" spans="1:34" customFormat="1" x14ac:dyDescent="0.25">
      <c r="A95" s="574" t="s">
        <v>2219</v>
      </c>
      <c r="B95" s="574" t="s">
        <v>2220</v>
      </c>
      <c r="C95" s="574" t="s">
        <v>2221</v>
      </c>
      <c r="D95" s="574" t="s">
        <v>2220</v>
      </c>
      <c r="E95" s="574" t="s">
        <v>2222</v>
      </c>
      <c r="F95" s="574" t="s">
        <v>2223</v>
      </c>
      <c r="G95" s="574" t="s">
        <v>2224</v>
      </c>
      <c r="H95" s="574" t="s">
        <v>2225</v>
      </c>
      <c r="I95" s="574" t="s">
        <v>2226</v>
      </c>
      <c r="J95" s="574" t="s">
        <v>2227</v>
      </c>
      <c r="K95" s="574" t="s">
        <v>2228</v>
      </c>
      <c r="L95" s="574" t="s">
        <v>2229</v>
      </c>
      <c r="M95" s="574" t="s">
        <v>2230</v>
      </c>
      <c r="N95" s="574" t="s">
        <v>2231</v>
      </c>
      <c r="O95" s="574" t="s">
        <v>2232</v>
      </c>
      <c r="P95" s="574" t="s">
        <v>2233</v>
      </c>
      <c r="Q95" s="574" t="s">
        <v>2234</v>
      </c>
      <c r="R95" s="574" t="s">
        <v>2225</v>
      </c>
      <c r="S95" s="574" t="s">
        <v>2235</v>
      </c>
      <c r="T95" s="574" t="s">
        <v>2236</v>
      </c>
      <c r="U95" s="574" t="s">
        <v>2438</v>
      </c>
      <c r="V95" s="574" t="s">
        <v>2238</v>
      </c>
      <c r="W95" s="574" t="s">
        <v>2239</v>
      </c>
      <c r="X95" s="574" t="s">
        <v>2439</v>
      </c>
      <c r="Y95" s="575" t="s">
        <v>2429</v>
      </c>
      <c r="Z95" s="575" t="s">
        <v>2429</v>
      </c>
      <c r="AA95" s="574" t="s">
        <v>1691</v>
      </c>
      <c r="AB95" s="574" t="s">
        <v>2297</v>
      </c>
      <c r="AC95" s="574" t="s">
        <v>2298</v>
      </c>
      <c r="AD95" s="574" t="s">
        <v>2299</v>
      </c>
      <c r="AE95" s="574" t="s">
        <v>1468</v>
      </c>
      <c r="AF95" s="574" t="s">
        <v>2299</v>
      </c>
      <c r="AG95" s="576">
        <v>0</v>
      </c>
      <c r="AH95" s="576">
        <v>176250</v>
      </c>
    </row>
    <row r="96" spans="1:34" customFormat="1" x14ac:dyDescent="0.25">
      <c r="A96" s="574" t="s">
        <v>2219</v>
      </c>
      <c r="B96" s="574" t="s">
        <v>2220</v>
      </c>
      <c r="C96" s="574" t="s">
        <v>2221</v>
      </c>
      <c r="D96" s="574" t="s">
        <v>2220</v>
      </c>
      <c r="E96" s="574" t="s">
        <v>2222</v>
      </c>
      <c r="F96" s="574" t="s">
        <v>2223</v>
      </c>
      <c r="G96" s="574" t="s">
        <v>2224</v>
      </c>
      <c r="H96" s="574" t="s">
        <v>2225</v>
      </c>
      <c r="I96" s="574" t="s">
        <v>2226</v>
      </c>
      <c r="J96" s="574" t="s">
        <v>2227</v>
      </c>
      <c r="K96" s="574" t="s">
        <v>2228</v>
      </c>
      <c r="L96" s="574" t="s">
        <v>2229</v>
      </c>
      <c r="M96" s="574" t="s">
        <v>2230</v>
      </c>
      <c r="N96" s="574" t="s">
        <v>2231</v>
      </c>
      <c r="O96" s="574" t="s">
        <v>2232</v>
      </c>
      <c r="P96" s="574" t="s">
        <v>2233</v>
      </c>
      <c r="Q96" s="574" t="s">
        <v>2234</v>
      </c>
      <c r="R96" s="574" t="s">
        <v>2225</v>
      </c>
      <c r="S96" s="574" t="s">
        <v>2235</v>
      </c>
      <c r="T96" s="574" t="s">
        <v>2236</v>
      </c>
      <c r="U96" s="574" t="s">
        <v>2440</v>
      </c>
      <c r="V96" s="574" t="s">
        <v>2238</v>
      </c>
      <c r="W96" s="574" t="s">
        <v>2239</v>
      </c>
      <c r="X96" s="574" t="s">
        <v>2441</v>
      </c>
      <c r="Y96" s="575" t="s">
        <v>2429</v>
      </c>
      <c r="Z96" s="575" t="s">
        <v>2429</v>
      </c>
      <c r="AA96" s="574" t="s">
        <v>1695</v>
      </c>
      <c r="AB96" s="574" t="s">
        <v>2337</v>
      </c>
      <c r="AC96" s="574" t="s">
        <v>2338</v>
      </c>
      <c r="AD96" s="574" t="s">
        <v>2339</v>
      </c>
      <c r="AE96" s="574" t="s">
        <v>1436</v>
      </c>
      <c r="AF96" s="574" t="s">
        <v>2339</v>
      </c>
      <c r="AG96" s="576">
        <v>0</v>
      </c>
      <c r="AH96" s="576">
        <v>1176714.4099999999</v>
      </c>
    </row>
    <row r="97" spans="1:35" x14ac:dyDescent="0.25">
      <c r="A97" s="574" t="s">
        <v>2219</v>
      </c>
      <c r="B97" s="574" t="s">
        <v>2220</v>
      </c>
      <c r="C97" s="574" t="s">
        <v>2221</v>
      </c>
      <c r="D97" s="574" t="s">
        <v>2220</v>
      </c>
      <c r="E97" s="574" t="s">
        <v>2222</v>
      </c>
      <c r="F97" s="574" t="s">
        <v>2223</v>
      </c>
      <c r="G97" s="574" t="s">
        <v>2224</v>
      </c>
      <c r="H97" s="574" t="s">
        <v>2225</v>
      </c>
      <c r="I97" s="574" t="s">
        <v>2226</v>
      </c>
      <c r="J97" s="574" t="s">
        <v>2227</v>
      </c>
      <c r="K97" s="574" t="s">
        <v>2228</v>
      </c>
      <c r="L97" s="574" t="s">
        <v>2229</v>
      </c>
      <c r="M97" s="574" t="s">
        <v>2230</v>
      </c>
      <c r="N97" s="574" t="s">
        <v>2231</v>
      </c>
      <c r="O97" s="574" t="s">
        <v>2232</v>
      </c>
      <c r="P97" s="574" t="s">
        <v>2233</v>
      </c>
      <c r="Q97" s="574" t="s">
        <v>2234</v>
      </c>
      <c r="R97" s="574" t="s">
        <v>2225</v>
      </c>
      <c r="S97" s="574" t="s">
        <v>2235</v>
      </c>
      <c r="T97" s="574" t="s">
        <v>2236</v>
      </c>
      <c r="U97" s="574" t="s">
        <v>2442</v>
      </c>
      <c r="V97" s="574" t="s">
        <v>2238</v>
      </c>
      <c r="W97" s="574" t="s">
        <v>2239</v>
      </c>
      <c r="X97" s="574" t="s">
        <v>2443</v>
      </c>
      <c r="Y97" s="575" t="s">
        <v>2429</v>
      </c>
      <c r="Z97" s="575" t="s">
        <v>2429</v>
      </c>
      <c r="AA97" s="574" t="s">
        <v>1691</v>
      </c>
      <c r="AB97" s="574" t="s">
        <v>2297</v>
      </c>
      <c r="AC97" s="574" t="s">
        <v>2298</v>
      </c>
      <c r="AD97" s="574" t="s">
        <v>2299</v>
      </c>
      <c r="AE97" s="574" t="s">
        <v>1468</v>
      </c>
      <c r="AF97" s="574" t="s">
        <v>2299</v>
      </c>
      <c r="AG97" s="576">
        <v>0</v>
      </c>
      <c r="AH97" s="576">
        <v>84000</v>
      </c>
      <c r="AI97"/>
    </row>
    <row r="98" spans="1:35" x14ac:dyDescent="0.25">
      <c r="A98" s="574" t="s">
        <v>2219</v>
      </c>
      <c r="B98" s="574" t="s">
        <v>2220</v>
      </c>
      <c r="C98" s="574" t="s">
        <v>2221</v>
      </c>
      <c r="D98" s="574" t="s">
        <v>2220</v>
      </c>
      <c r="E98" s="574" t="s">
        <v>2222</v>
      </c>
      <c r="F98" s="574" t="s">
        <v>2223</v>
      </c>
      <c r="G98" s="574" t="s">
        <v>2224</v>
      </c>
      <c r="H98" s="574" t="s">
        <v>2225</v>
      </c>
      <c r="I98" s="574" t="s">
        <v>2226</v>
      </c>
      <c r="J98" s="574" t="s">
        <v>2227</v>
      </c>
      <c r="K98" s="574" t="s">
        <v>2228</v>
      </c>
      <c r="L98" s="574" t="s">
        <v>2229</v>
      </c>
      <c r="M98" s="574" t="s">
        <v>2230</v>
      </c>
      <c r="N98" s="574" t="s">
        <v>2231</v>
      </c>
      <c r="O98" s="574" t="s">
        <v>2232</v>
      </c>
      <c r="P98" s="574" t="s">
        <v>2233</v>
      </c>
      <c r="Q98" s="574" t="s">
        <v>2234</v>
      </c>
      <c r="R98" s="574" t="s">
        <v>2225</v>
      </c>
      <c r="S98" s="574" t="s">
        <v>2235</v>
      </c>
      <c r="T98" s="574" t="s">
        <v>2236</v>
      </c>
      <c r="U98" s="574" t="s">
        <v>2444</v>
      </c>
      <c r="V98" s="574" t="s">
        <v>2238</v>
      </c>
      <c r="W98" s="574" t="s">
        <v>2239</v>
      </c>
      <c r="X98" s="574" t="s">
        <v>2445</v>
      </c>
      <c r="Y98" s="575" t="s">
        <v>2429</v>
      </c>
      <c r="Z98" s="575" t="s">
        <v>2429</v>
      </c>
      <c r="AA98" s="574" t="s">
        <v>1695</v>
      </c>
      <c r="AB98" s="574" t="s">
        <v>2337</v>
      </c>
      <c r="AC98" s="574" t="s">
        <v>2338</v>
      </c>
      <c r="AD98" s="574" t="s">
        <v>2339</v>
      </c>
      <c r="AE98" s="574" t="s">
        <v>1436</v>
      </c>
      <c r="AF98" s="574" t="s">
        <v>2339</v>
      </c>
      <c r="AG98" s="576">
        <v>0</v>
      </c>
      <c r="AH98" s="576">
        <v>1230928.8</v>
      </c>
      <c r="AI98"/>
    </row>
    <row r="99" spans="1:35" x14ac:dyDescent="0.25">
      <c r="A99" s="574" t="s">
        <v>2219</v>
      </c>
      <c r="B99" s="574" t="s">
        <v>2220</v>
      </c>
      <c r="C99" s="574" t="s">
        <v>2221</v>
      </c>
      <c r="D99" s="574" t="s">
        <v>2220</v>
      </c>
      <c r="E99" s="574" t="s">
        <v>2222</v>
      </c>
      <c r="F99" s="574" t="s">
        <v>2223</v>
      </c>
      <c r="G99" s="574" t="s">
        <v>2224</v>
      </c>
      <c r="H99" s="574" t="s">
        <v>2225</v>
      </c>
      <c r="I99" s="574" t="s">
        <v>2226</v>
      </c>
      <c r="J99" s="574" t="s">
        <v>2227</v>
      </c>
      <c r="K99" s="574" t="s">
        <v>2228</v>
      </c>
      <c r="L99" s="574" t="s">
        <v>2229</v>
      </c>
      <c r="M99" s="574" t="s">
        <v>2230</v>
      </c>
      <c r="N99" s="574" t="s">
        <v>2231</v>
      </c>
      <c r="O99" s="574" t="s">
        <v>2232</v>
      </c>
      <c r="P99" s="574" t="s">
        <v>2233</v>
      </c>
      <c r="Q99" s="574" t="s">
        <v>2234</v>
      </c>
      <c r="R99" s="574" t="s">
        <v>2225</v>
      </c>
      <c r="S99" s="574" t="s">
        <v>2235</v>
      </c>
      <c r="T99" s="574" t="s">
        <v>2236</v>
      </c>
      <c r="U99" s="574" t="s">
        <v>2446</v>
      </c>
      <c r="V99" s="574" t="s">
        <v>2238</v>
      </c>
      <c r="W99" s="574" t="s">
        <v>2239</v>
      </c>
      <c r="X99" s="574" t="s">
        <v>2447</v>
      </c>
      <c r="Y99" s="575" t="s">
        <v>2429</v>
      </c>
      <c r="Z99" s="575" t="s">
        <v>2429</v>
      </c>
      <c r="AA99" s="574" t="s">
        <v>1695</v>
      </c>
      <c r="AB99" s="574" t="s">
        <v>2337</v>
      </c>
      <c r="AC99" s="574" t="s">
        <v>2338</v>
      </c>
      <c r="AD99" s="574" t="s">
        <v>2339</v>
      </c>
      <c r="AE99" s="574" t="s">
        <v>1436</v>
      </c>
      <c r="AF99" s="574" t="s">
        <v>2339</v>
      </c>
      <c r="AG99" s="576">
        <v>0</v>
      </c>
      <c r="AH99" s="576">
        <v>1132800</v>
      </c>
      <c r="AI99"/>
    </row>
    <row r="100" spans="1:35" x14ac:dyDescent="0.25">
      <c r="A100" s="574" t="s">
        <v>2219</v>
      </c>
      <c r="B100" s="574" t="s">
        <v>2220</v>
      </c>
      <c r="C100" s="574" t="s">
        <v>2221</v>
      </c>
      <c r="D100" s="574" t="s">
        <v>2220</v>
      </c>
      <c r="E100" s="574" t="s">
        <v>2222</v>
      </c>
      <c r="F100" s="574" t="s">
        <v>2223</v>
      </c>
      <c r="G100" s="574" t="s">
        <v>2224</v>
      </c>
      <c r="H100" s="574" t="s">
        <v>2225</v>
      </c>
      <c r="I100" s="574" t="s">
        <v>2226</v>
      </c>
      <c r="J100" s="574" t="s">
        <v>2227</v>
      </c>
      <c r="K100" s="574" t="s">
        <v>2228</v>
      </c>
      <c r="L100" s="574" t="s">
        <v>2229</v>
      </c>
      <c r="M100" s="574" t="s">
        <v>2230</v>
      </c>
      <c r="N100" s="574" t="s">
        <v>2231</v>
      </c>
      <c r="O100" s="574" t="s">
        <v>2232</v>
      </c>
      <c r="P100" s="574" t="s">
        <v>2233</v>
      </c>
      <c r="Q100" s="574" t="s">
        <v>2234</v>
      </c>
      <c r="R100" s="574" t="s">
        <v>2225</v>
      </c>
      <c r="S100" s="574" t="s">
        <v>2235</v>
      </c>
      <c r="T100" s="574" t="s">
        <v>2236</v>
      </c>
      <c r="U100" s="574" t="s">
        <v>2448</v>
      </c>
      <c r="V100" s="574" t="s">
        <v>2238</v>
      </c>
      <c r="W100" s="574" t="s">
        <v>2239</v>
      </c>
      <c r="X100" s="574" t="s">
        <v>2449</v>
      </c>
      <c r="Y100" s="575" t="s">
        <v>2429</v>
      </c>
      <c r="Z100" s="575" t="s">
        <v>2429</v>
      </c>
      <c r="AA100" s="574" t="s">
        <v>1695</v>
      </c>
      <c r="AB100" s="574" t="s">
        <v>2337</v>
      </c>
      <c r="AC100" s="574" t="s">
        <v>2338</v>
      </c>
      <c r="AD100" s="574" t="s">
        <v>2339</v>
      </c>
      <c r="AE100" s="574" t="s">
        <v>1436</v>
      </c>
      <c r="AF100" s="574" t="s">
        <v>2339</v>
      </c>
      <c r="AG100" s="576">
        <v>0</v>
      </c>
      <c r="AH100" s="576">
        <v>489346</v>
      </c>
      <c r="AI100"/>
    </row>
    <row r="101" spans="1:35" x14ac:dyDescent="0.25">
      <c r="A101" s="574" t="s">
        <v>2219</v>
      </c>
      <c r="B101" s="574" t="s">
        <v>2220</v>
      </c>
      <c r="C101" s="574" t="s">
        <v>2221</v>
      </c>
      <c r="D101" s="574" t="s">
        <v>2220</v>
      </c>
      <c r="E101" s="574" t="s">
        <v>2222</v>
      </c>
      <c r="F101" s="574" t="s">
        <v>2223</v>
      </c>
      <c r="G101" s="574" t="s">
        <v>2224</v>
      </c>
      <c r="H101" s="574" t="s">
        <v>2225</v>
      </c>
      <c r="I101" s="574" t="s">
        <v>2226</v>
      </c>
      <c r="J101" s="574" t="s">
        <v>2227</v>
      </c>
      <c r="K101" s="574" t="s">
        <v>2228</v>
      </c>
      <c r="L101" s="574" t="s">
        <v>2229</v>
      </c>
      <c r="M101" s="574" t="s">
        <v>2230</v>
      </c>
      <c r="N101" s="574" t="s">
        <v>2231</v>
      </c>
      <c r="O101" s="574" t="s">
        <v>2232</v>
      </c>
      <c r="P101" s="574" t="s">
        <v>2233</v>
      </c>
      <c r="Q101" s="574" t="s">
        <v>2234</v>
      </c>
      <c r="R101" s="574" t="s">
        <v>2225</v>
      </c>
      <c r="S101" s="574" t="s">
        <v>2235</v>
      </c>
      <c r="T101" s="574" t="s">
        <v>2236</v>
      </c>
      <c r="U101" s="574" t="s">
        <v>2450</v>
      </c>
      <c r="V101" s="574" t="s">
        <v>2238</v>
      </c>
      <c r="W101" s="574" t="s">
        <v>2239</v>
      </c>
      <c r="X101" s="574" t="s">
        <v>2451</v>
      </c>
      <c r="Y101" s="575" t="s">
        <v>2429</v>
      </c>
      <c r="Z101" s="575" t="s">
        <v>2429</v>
      </c>
      <c r="AA101" s="574" t="s">
        <v>1694</v>
      </c>
      <c r="AB101" s="574" t="s">
        <v>2314</v>
      </c>
      <c r="AC101" s="574" t="s">
        <v>2398</v>
      </c>
      <c r="AD101" s="574" t="s">
        <v>2399</v>
      </c>
      <c r="AE101" s="574" t="s">
        <v>1431</v>
      </c>
      <c r="AF101" s="574" t="s">
        <v>2399</v>
      </c>
      <c r="AG101" s="576">
        <v>0</v>
      </c>
      <c r="AH101" s="576">
        <v>20650</v>
      </c>
      <c r="AI101"/>
    </row>
    <row r="102" spans="1:35" x14ac:dyDescent="0.25">
      <c r="A102" s="574" t="s">
        <v>2219</v>
      </c>
      <c r="B102" s="574" t="s">
        <v>2220</v>
      </c>
      <c r="C102" s="574" t="s">
        <v>2221</v>
      </c>
      <c r="D102" s="574" t="s">
        <v>2220</v>
      </c>
      <c r="E102" s="574" t="s">
        <v>2222</v>
      </c>
      <c r="F102" s="574" t="s">
        <v>2223</v>
      </c>
      <c r="G102" s="574" t="s">
        <v>2224</v>
      </c>
      <c r="H102" s="574" t="s">
        <v>2225</v>
      </c>
      <c r="I102" s="574" t="s">
        <v>2226</v>
      </c>
      <c r="J102" s="574" t="s">
        <v>2227</v>
      </c>
      <c r="K102" s="574" t="s">
        <v>2228</v>
      </c>
      <c r="L102" s="574" t="s">
        <v>2229</v>
      </c>
      <c r="M102" s="574" t="s">
        <v>2230</v>
      </c>
      <c r="N102" s="574" t="s">
        <v>2231</v>
      </c>
      <c r="O102" s="574" t="s">
        <v>2232</v>
      </c>
      <c r="P102" s="574" t="s">
        <v>2233</v>
      </c>
      <c r="Q102" s="574" t="s">
        <v>2234</v>
      </c>
      <c r="R102" s="574" t="s">
        <v>2225</v>
      </c>
      <c r="S102" s="574" t="s">
        <v>2235</v>
      </c>
      <c r="T102" s="574" t="s">
        <v>2236</v>
      </c>
      <c r="U102" s="574" t="s">
        <v>2452</v>
      </c>
      <c r="V102" s="574" t="s">
        <v>2238</v>
      </c>
      <c r="W102" s="574" t="s">
        <v>2239</v>
      </c>
      <c r="X102" s="574" t="s">
        <v>2453</v>
      </c>
      <c r="Y102" s="575" t="s">
        <v>2454</v>
      </c>
      <c r="Z102" s="575" t="s">
        <v>2454</v>
      </c>
      <c r="AA102" s="574" t="s">
        <v>1694</v>
      </c>
      <c r="AB102" s="574" t="s">
        <v>2314</v>
      </c>
      <c r="AC102" s="574" t="s">
        <v>2315</v>
      </c>
      <c r="AD102" s="574" t="s">
        <v>2316</v>
      </c>
      <c r="AE102" s="574" t="s">
        <v>1470</v>
      </c>
      <c r="AF102" s="574" t="s">
        <v>2316</v>
      </c>
      <c r="AG102" s="576">
        <v>0</v>
      </c>
      <c r="AH102" s="576">
        <v>80719.08</v>
      </c>
      <c r="AI102"/>
    </row>
    <row r="103" spans="1:35" x14ac:dyDescent="0.25">
      <c r="A103" s="574" t="s">
        <v>2219</v>
      </c>
      <c r="B103" s="574" t="s">
        <v>2220</v>
      </c>
      <c r="C103" s="574" t="s">
        <v>2221</v>
      </c>
      <c r="D103" s="574" t="s">
        <v>2220</v>
      </c>
      <c r="E103" s="574" t="s">
        <v>2222</v>
      </c>
      <c r="F103" s="574" t="s">
        <v>2223</v>
      </c>
      <c r="G103" s="574" t="s">
        <v>2224</v>
      </c>
      <c r="H103" s="574" t="s">
        <v>2225</v>
      </c>
      <c r="I103" s="574" t="s">
        <v>2226</v>
      </c>
      <c r="J103" s="574" t="s">
        <v>2227</v>
      </c>
      <c r="K103" s="574" t="s">
        <v>2228</v>
      </c>
      <c r="L103" s="574" t="s">
        <v>2229</v>
      </c>
      <c r="M103" s="574" t="s">
        <v>2230</v>
      </c>
      <c r="N103" s="574" t="s">
        <v>2231</v>
      </c>
      <c r="O103" s="574" t="s">
        <v>2232</v>
      </c>
      <c r="P103" s="574" t="s">
        <v>2233</v>
      </c>
      <c r="Q103" s="574" t="s">
        <v>2234</v>
      </c>
      <c r="R103" s="574" t="s">
        <v>2225</v>
      </c>
      <c r="S103" s="574" t="s">
        <v>2235</v>
      </c>
      <c r="T103" s="574" t="s">
        <v>2236</v>
      </c>
      <c r="U103" s="574" t="s">
        <v>2455</v>
      </c>
      <c r="V103" s="574" t="s">
        <v>2238</v>
      </c>
      <c r="W103" s="574" t="s">
        <v>2239</v>
      </c>
      <c r="X103" s="574" t="s">
        <v>2456</v>
      </c>
      <c r="Y103" s="575" t="s">
        <v>2457</v>
      </c>
      <c r="Z103" s="575" t="s">
        <v>2457</v>
      </c>
      <c r="AA103" s="574" t="s">
        <v>1688</v>
      </c>
      <c r="AB103" s="574" t="s">
        <v>2430</v>
      </c>
      <c r="AC103" s="574" t="s">
        <v>2431</v>
      </c>
      <c r="AD103" s="574" t="s">
        <v>99</v>
      </c>
      <c r="AE103" s="574" t="s">
        <v>1531</v>
      </c>
      <c r="AF103" s="574" t="s">
        <v>99</v>
      </c>
      <c r="AG103" s="576">
        <v>0</v>
      </c>
      <c r="AH103" s="576">
        <v>361801</v>
      </c>
      <c r="AI103"/>
    </row>
    <row r="104" spans="1:35" x14ac:dyDescent="0.25">
      <c r="A104" s="574" t="s">
        <v>2219</v>
      </c>
      <c r="B104" s="574" t="s">
        <v>2220</v>
      </c>
      <c r="C104" s="574" t="s">
        <v>2221</v>
      </c>
      <c r="D104" s="574" t="s">
        <v>2220</v>
      </c>
      <c r="E104" s="574" t="s">
        <v>2222</v>
      </c>
      <c r="F104" s="574" t="s">
        <v>2223</v>
      </c>
      <c r="G104" s="574" t="s">
        <v>2224</v>
      </c>
      <c r="H104" s="574" t="s">
        <v>2225</v>
      </c>
      <c r="I104" s="574" t="s">
        <v>2226</v>
      </c>
      <c r="J104" s="574" t="s">
        <v>2227</v>
      </c>
      <c r="K104" s="574" t="s">
        <v>2228</v>
      </c>
      <c r="L104" s="574" t="s">
        <v>2229</v>
      </c>
      <c r="M104" s="574" t="s">
        <v>2230</v>
      </c>
      <c r="N104" s="574" t="s">
        <v>2231</v>
      </c>
      <c r="O104" s="574" t="s">
        <v>2232</v>
      </c>
      <c r="P104" s="574" t="s">
        <v>2233</v>
      </c>
      <c r="Q104" s="574" t="s">
        <v>2234</v>
      </c>
      <c r="R104" s="574" t="s">
        <v>2225</v>
      </c>
      <c r="S104" s="574" t="s">
        <v>2235</v>
      </c>
      <c r="T104" s="574" t="s">
        <v>2236</v>
      </c>
      <c r="U104" s="574" t="s">
        <v>2458</v>
      </c>
      <c r="V104" s="574" t="s">
        <v>2238</v>
      </c>
      <c r="W104" s="574" t="s">
        <v>2239</v>
      </c>
      <c r="X104" s="574" t="s">
        <v>2459</v>
      </c>
      <c r="Y104" s="575" t="s">
        <v>2457</v>
      </c>
      <c r="Z104" s="575" t="s">
        <v>2457</v>
      </c>
      <c r="AA104" s="574" t="s">
        <v>2242</v>
      </c>
      <c r="AB104" s="574" t="s">
        <v>2243</v>
      </c>
      <c r="AC104" s="574" t="s">
        <v>2244</v>
      </c>
      <c r="AD104" s="574" t="s">
        <v>2245</v>
      </c>
      <c r="AE104" s="574" t="s">
        <v>2246</v>
      </c>
      <c r="AF104" s="574" t="s">
        <v>2247</v>
      </c>
      <c r="AG104" s="576">
        <v>0</v>
      </c>
      <c r="AH104" s="576">
        <v>47416676.829999998</v>
      </c>
    </row>
    <row r="105" spans="1:35" x14ac:dyDescent="0.25">
      <c r="A105" s="574" t="s">
        <v>2219</v>
      </c>
      <c r="B105" s="574" t="s">
        <v>2220</v>
      </c>
      <c r="C105" s="574" t="s">
        <v>2221</v>
      </c>
      <c r="D105" s="574" t="s">
        <v>2220</v>
      </c>
      <c r="E105" s="574" t="s">
        <v>2222</v>
      </c>
      <c r="F105" s="574" t="s">
        <v>2223</v>
      </c>
      <c r="G105" s="574" t="s">
        <v>2224</v>
      </c>
      <c r="H105" s="574" t="s">
        <v>2225</v>
      </c>
      <c r="I105" s="574" t="s">
        <v>2226</v>
      </c>
      <c r="J105" s="574" t="s">
        <v>2227</v>
      </c>
      <c r="K105" s="574" t="s">
        <v>2228</v>
      </c>
      <c r="L105" s="574" t="s">
        <v>2229</v>
      </c>
      <c r="M105" s="574" t="s">
        <v>2230</v>
      </c>
      <c r="N105" s="574" t="s">
        <v>2231</v>
      </c>
      <c r="O105" s="574" t="s">
        <v>2232</v>
      </c>
      <c r="P105" s="574" t="s">
        <v>2233</v>
      </c>
      <c r="Q105" s="574" t="s">
        <v>2234</v>
      </c>
      <c r="R105" s="574" t="s">
        <v>2225</v>
      </c>
      <c r="S105" s="574" t="s">
        <v>2235</v>
      </c>
      <c r="T105" s="574" t="s">
        <v>2236</v>
      </c>
      <c r="U105" s="574" t="s">
        <v>2458</v>
      </c>
      <c r="V105" s="574" t="s">
        <v>2238</v>
      </c>
      <c r="W105" s="574" t="s">
        <v>2239</v>
      </c>
      <c r="X105" s="574" t="s">
        <v>2459</v>
      </c>
      <c r="Y105" s="575" t="s">
        <v>2457</v>
      </c>
      <c r="Z105" s="575" t="s">
        <v>2457</v>
      </c>
      <c r="AA105" s="574" t="s">
        <v>2248</v>
      </c>
      <c r="AB105" s="574" t="s">
        <v>2249</v>
      </c>
      <c r="AC105" s="574" t="s">
        <v>2250</v>
      </c>
      <c r="AD105" s="574" t="s">
        <v>2251</v>
      </c>
      <c r="AE105" s="574" t="s">
        <v>2252</v>
      </c>
      <c r="AF105" s="574" t="s">
        <v>2251</v>
      </c>
      <c r="AG105" s="576">
        <v>0</v>
      </c>
      <c r="AH105" s="576">
        <v>2420926.59</v>
      </c>
    </row>
    <row r="106" spans="1:35" x14ac:dyDescent="0.25">
      <c r="A106" s="574" t="s">
        <v>2219</v>
      </c>
      <c r="B106" s="574" t="s">
        <v>2220</v>
      </c>
      <c r="C106" s="574" t="s">
        <v>2221</v>
      </c>
      <c r="D106" s="574" t="s">
        <v>2220</v>
      </c>
      <c r="E106" s="574" t="s">
        <v>2222</v>
      </c>
      <c r="F106" s="574" t="s">
        <v>2223</v>
      </c>
      <c r="G106" s="574" t="s">
        <v>2224</v>
      </c>
      <c r="H106" s="574" t="s">
        <v>2225</v>
      </c>
      <c r="I106" s="574" t="s">
        <v>2226</v>
      </c>
      <c r="J106" s="574" t="s">
        <v>2227</v>
      </c>
      <c r="K106" s="574" t="s">
        <v>2228</v>
      </c>
      <c r="L106" s="574" t="s">
        <v>2229</v>
      </c>
      <c r="M106" s="574" t="s">
        <v>2230</v>
      </c>
      <c r="N106" s="574" t="s">
        <v>2231</v>
      </c>
      <c r="O106" s="574" t="s">
        <v>2232</v>
      </c>
      <c r="P106" s="574" t="s">
        <v>2233</v>
      </c>
      <c r="Q106" s="574" t="s">
        <v>2234</v>
      </c>
      <c r="R106" s="574" t="s">
        <v>2225</v>
      </c>
      <c r="S106" s="574" t="s">
        <v>2235</v>
      </c>
      <c r="T106" s="574" t="s">
        <v>2236</v>
      </c>
      <c r="U106" s="574" t="s">
        <v>2458</v>
      </c>
      <c r="V106" s="574" t="s">
        <v>2238</v>
      </c>
      <c r="W106" s="574" t="s">
        <v>2239</v>
      </c>
      <c r="X106" s="574" t="s">
        <v>2459</v>
      </c>
      <c r="Y106" s="575" t="s">
        <v>2457</v>
      </c>
      <c r="Z106" s="575" t="s">
        <v>2457</v>
      </c>
      <c r="AA106" s="574" t="s">
        <v>2248</v>
      </c>
      <c r="AB106" s="574" t="s">
        <v>2249</v>
      </c>
      <c r="AC106" s="574" t="s">
        <v>2253</v>
      </c>
      <c r="AD106" s="574" t="s">
        <v>2254</v>
      </c>
      <c r="AE106" s="574" t="s">
        <v>2255</v>
      </c>
      <c r="AF106" s="574" t="s">
        <v>2256</v>
      </c>
      <c r="AG106" s="576">
        <v>0</v>
      </c>
      <c r="AH106" s="576">
        <v>303200</v>
      </c>
    </row>
    <row r="107" spans="1:35" x14ac:dyDescent="0.25">
      <c r="A107" s="574" t="s">
        <v>2219</v>
      </c>
      <c r="B107" s="574" t="s">
        <v>2220</v>
      </c>
      <c r="C107" s="574" t="s">
        <v>2221</v>
      </c>
      <c r="D107" s="574" t="s">
        <v>2220</v>
      </c>
      <c r="E107" s="574" t="s">
        <v>2222</v>
      </c>
      <c r="F107" s="574" t="s">
        <v>2223</v>
      </c>
      <c r="G107" s="574" t="s">
        <v>2224</v>
      </c>
      <c r="H107" s="574" t="s">
        <v>2225</v>
      </c>
      <c r="I107" s="574" t="s">
        <v>2226</v>
      </c>
      <c r="J107" s="574" t="s">
        <v>2227</v>
      </c>
      <c r="K107" s="574" t="s">
        <v>2228</v>
      </c>
      <c r="L107" s="574" t="s">
        <v>2229</v>
      </c>
      <c r="M107" s="574" t="s">
        <v>2230</v>
      </c>
      <c r="N107" s="574" t="s">
        <v>2231</v>
      </c>
      <c r="O107" s="574" t="s">
        <v>2232</v>
      </c>
      <c r="P107" s="574" t="s">
        <v>2233</v>
      </c>
      <c r="Q107" s="574" t="s">
        <v>2234</v>
      </c>
      <c r="R107" s="574" t="s">
        <v>2225</v>
      </c>
      <c r="S107" s="574" t="s">
        <v>2235</v>
      </c>
      <c r="T107" s="574" t="s">
        <v>2236</v>
      </c>
      <c r="U107" s="574" t="s">
        <v>2458</v>
      </c>
      <c r="V107" s="574" t="s">
        <v>2238</v>
      </c>
      <c r="W107" s="574" t="s">
        <v>2239</v>
      </c>
      <c r="X107" s="574" t="s">
        <v>2459</v>
      </c>
      <c r="Y107" s="575" t="s">
        <v>2457</v>
      </c>
      <c r="Z107" s="575" t="s">
        <v>2457</v>
      </c>
      <c r="AA107" s="574" t="s">
        <v>2248</v>
      </c>
      <c r="AB107" s="574" t="s">
        <v>2249</v>
      </c>
      <c r="AC107" s="574" t="s">
        <v>2253</v>
      </c>
      <c r="AD107" s="574" t="s">
        <v>2254</v>
      </c>
      <c r="AE107" s="574" t="s">
        <v>2257</v>
      </c>
      <c r="AF107" s="574" t="s">
        <v>2258</v>
      </c>
      <c r="AG107" s="576">
        <v>0</v>
      </c>
      <c r="AH107" s="576">
        <v>10717.4</v>
      </c>
    </row>
    <row r="108" spans="1:35" x14ac:dyDescent="0.25">
      <c r="A108" s="574" t="s">
        <v>2219</v>
      </c>
      <c r="B108" s="574" t="s">
        <v>2220</v>
      </c>
      <c r="C108" s="574" t="s">
        <v>2221</v>
      </c>
      <c r="D108" s="574" t="s">
        <v>2220</v>
      </c>
      <c r="E108" s="574" t="s">
        <v>2222</v>
      </c>
      <c r="F108" s="574" t="s">
        <v>2223</v>
      </c>
      <c r="G108" s="574" t="s">
        <v>2224</v>
      </c>
      <c r="H108" s="574" t="s">
        <v>2225</v>
      </c>
      <c r="I108" s="574" t="s">
        <v>2226</v>
      </c>
      <c r="J108" s="574" t="s">
        <v>2227</v>
      </c>
      <c r="K108" s="574" t="s">
        <v>2228</v>
      </c>
      <c r="L108" s="574" t="s">
        <v>2229</v>
      </c>
      <c r="M108" s="574" t="s">
        <v>2230</v>
      </c>
      <c r="N108" s="574" t="s">
        <v>2231</v>
      </c>
      <c r="O108" s="574" t="s">
        <v>2232</v>
      </c>
      <c r="P108" s="574" t="s">
        <v>2233</v>
      </c>
      <c r="Q108" s="574" t="s">
        <v>2234</v>
      </c>
      <c r="R108" s="574" t="s">
        <v>2225</v>
      </c>
      <c r="S108" s="574" t="s">
        <v>2235</v>
      </c>
      <c r="T108" s="574" t="s">
        <v>2236</v>
      </c>
      <c r="U108" s="574" t="s">
        <v>2458</v>
      </c>
      <c r="V108" s="574" t="s">
        <v>2238</v>
      </c>
      <c r="W108" s="574" t="s">
        <v>2239</v>
      </c>
      <c r="X108" s="574" t="s">
        <v>2459</v>
      </c>
      <c r="Y108" s="575" t="s">
        <v>2457</v>
      </c>
      <c r="Z108" s="575" t="s">
        <v>2457</v>
      </c>
      <c r="AA108" s="574" t="s">
        <v>2248</v>
      </c>
      <c r="AB108" s="574" t="s">
        <v>2249</v>
      </c>
      <c r="AC108" s="574" t="s">
        <v>2253</v>
      </c>
      <c r="AD108" s="574" t="s">
        <v>2254</v>
      </c>
      <c r="AE108" s="574" t="s">
        <v>2259</v>
      </c>
      <c r="AF108" s="574" t="s">
        <v>2260</v>
      </c>
      <c r="AG108" s="576">
        <v>0</v>
      </c>
      <c r="AH108" s="576">
        <v>58945.7</v>
      </c>
    </row>
    <row r="109" spans="1:35" x14ac:dyDescent="0.25">
      <c r="A109" s="574" t="s">
        <v>2219</v>
      </c>
      <c r="B109" s="574" t="s">
        <v>2220</v>
      </c>
      <c r="C109" s="574" t="s">
        <v>2221</v>
      </c>
      <c r="D109" s="574" t="s">
        <v>2220</v>
      </c>
      <c r="E109" s="574" t="s">
        <v>2222</v>
      </c>
      <c r="F109" s="574" t="s">
        <v>2223</v>
      </c>
      <c r="G109" s="574" t="s">
        <v>2224</v>
      </c>
      <c r="H109" s="574" t="s">
        <v>2225</v>
      </c>
      <c r="I109" s="574" t="s">
        <v>2226</v>
      </c>
      <c r="J109" s="574" t="s">
        <v>2227</v>
      </c>
      <c r="K109" s="574" t="s">
        <v>2228</v>
      </c>
      <c r="L109" s="574" t="s">
        <v>2229</v>
      </c>
      <c r="M109" s="574" t="s">
        <v>2230</v>
      </c>
      <c r="N109" s="574" t="s">
        <v>2231</v>
      </c>
      <c r="O109" s="574" t="s">
        <v>2232</v>
      </c>
      <c r="P109" s="574" t="s">
        <v>2233</v>
      </c>
      <c r="Q109" s="574" t="s">
        <v>2234</v>
      </c>
      <c r="R109" s="574" t="s">
        <v>2225</v>
      </c>
      <c r="S109" s="574" t="s">
        <v>2235</v>
      </c>
      <c r="T109" s="574" t="s">
        <v>2236</v>
      </c>
      <c r="U109" s="574" t="s">
        <v>2458</v>
      </c>
      <c r="V109" s="574" t="s">
        <v>2238</v>
      </c>
      <c r="W109" s="574" t="s">
        <v>2239</v>
      </c>
      <c r="X109" s="574" t="s">
        <v>2459</v>
      </c>
      <c r="Y109" s="575" t="s">
        <v>2457</v>
      </c>
      <c r="Z109" s="575" t="s">
        <v>2457</v>
      </c>
      <c r="AA109" s="574" t="s">
        <v>2261</v>
      </c>
      <c r="AB109" s="574" t="s">
        <v>2262</v>
      </c>
      <c r="AC109" s="574" t="s">
        <v>2263</v>
      </c>
      <c r="AD109" s="574" t="s">
        <v>95</v>
      </c>
      <c r="AE109" s="574" t="s">
        <v>2264</v>
      </c>
      <c r="AF109" s="574" t="s">
        <v>95</v>
      </c>
      <c r="AG109" s="576">
        <v>0</v>
      </c>
      <c r="AH109" s="576">
        <v>3361841.41</v>
      </c>
    </row>
    <row r="110" spans="1:35" x14ac:dyDescent="0.25">
      <c r="A110" s="574" t="s">
        <v>2219</v>
      </c>
      <c r="B110" s="574" t="s">
        <v>2220</v>
      </c>
      <c r="C110" s="574" t="s">
        <v>2221</v>
      </c>
      <c r="D110" s="574" t="s">
        <v>2220</v>
      </c>
      <c r="E110" s="574" t="s">
        <v>2222</v>
      </c>
      <c r="F110" s="574" t="s">
        <v>2223</v>
      </c>
      <c r="G110" s="574" t="s">
        <v>2224</v>
      </c>
      <c r="H110" s="574" t="s">
        <v>2225</v>
      </c>
      <c r="I110" s="574" t="s">
        <v>2226</v>
      </c>
      <c r="J110" s="574" t="s">
        <v>2227</v>
      </c>
      <c r="K110" s="574" t="s">
        <v>2228</v>
      </c>
      <c r="L110" s="574" t="s">
        <v>2229</v>
      </c>
      <c r="M110" s="574" t="s">
        <v>2230</v>
      </c>
      <c r="N110" s="574" t="s">
        <v>2231</v>
      </c>
      <c r="O110" s="574" t="s">
        <v>2232</v>
      </c>
      <c r="P110" s="574" t="s">
        <v>2233</v>
      </c>
      <c r="Q110" s="574" t="s">
        <v>2234</v>
      </c>
      <c r="R110" s="574" t="s">
        <v>2225</v>
      </c>
      <c r="S110" s="574" t="s">
        <v>2235</v>
      </c>
      <c r="T110" s="574" t="s">
        <v>2236</v>
      </c>
      <c r="U110" s="574" t="s">
        <v>2458</v>
      </c>
      <c r="V110" s="574" t="s">
        <v>2238</v>
      </c>
      <c r="W110" s="574" t="s">
        <v>2239</v>
      </c>
      <c r="X110" s="574" t="s">
        <v>2459</v>
      </c>
      <c r="Y110" s="575" t="s">
        <v>2457</v>
      </c>
      <c r="Z110" s="575" t="s">
        <v>2457</v>
      </c>
      <c r="AA110" s="574" t="s">
        <v>2261</v>
      </c>
      <c r="AB110" s="574" t="s">
        <v>2262</v>
      </c>
      <c r="AC110" s="574" t="s">
        <v>2265</v>
      </c>
      <c r="AD110" s="574" t="s">
        <v>96</v>
      </c>
      <c r="AE110" s="574" t="s">
        <v>2266</v>
      </c>
      <c r="AF110" s="574" t="s">
        <v>96</v>
      </c>
      <c r="AG110" s="576">
        <v>0</v>
      </c>
      <c r="AH110" s="576">
        <v>3366583.5</v>
      </c>
    </row>
    <row r="111" spans="1:35" x14ac:dyDescent="0.25">
      <c r="A111" s="574" t="s">
        <v>2219</v>
      </c>
      <c r="B111" s="574" t="s">
        <v>2220</v>
      </c>
      <c r="C111" s="574" t="s">
        <v>2221</v>
      </c>
      <c r="D111" s="574" t="s">
        <v>2220</v>
      </c>
      <c r="E111" s="574" t="s">
        <v>2222</v>
      </c>
      <c r="F111" s="574" t="s">
        <v>2223</v>
      </c>
      <c r="G111" s="574" t="s">
        <v>2224</v>
      </c>
      <c r="H111" s="574" t="s">
        <v>2225</v>
      </c>
      <c r="I111" s="574" t="s">
        <v>2226</v>
      </c>
      <c r="J111" s="574" t="s">
        <v>2227</v>
      </c>
      <c r="K111" s="574" t="s">
        <v>2228</v>
      </c>
      <c r="L111" s="574" t="s">
        <v>2229</v>
      </c>
      <c r="M111" s="574" t="s">
        <v>2230</v>
      </c>
      <c r="N111" s="574" t="s">
        <v>2231</v>
      </c>
      <c r="O111" s="574" t="s">
        <v>2232</v>
      </c>
      <c r="P111" s="574" t="s">
        <v>2233</v>
      </c>
      <c r="Q111" s="574" t="s">
        <v>2234</v>
      </c>
      <c r="R111" s="574" t="s">
        <v>2225</v>
      </c>
      <c r="S111" s="574" t="s">
        <v>2235</v>
      </c>
      <c r="T111" s="574" t="s">
        <v>2236</v>
      </c>
      <c r="U111" s="574" t="s">
        <v>2458</v>
      </c>
      <c r="V111" s="574" t="s">
        <v>2238</v>
      </c>
      <c r="W111" s="574" t="s">
        <v>2239</v>
      </c>
      <c r="X111" s="574" t="s">
        <v>2459</v>
      </c>
      <c r="Y111" s="575" t="s">
        <v>2457</v>
      </c>
      <c r="Z111" s="575" t="s">
        <v>2457</v>
      </c>
      <c r="AA111" s="574" t="s">
        <v>2261</v>
      </c>
      <c r="AB111" s="574" t="s">
        <v>2262</v>
      </c>
      <c r="AC111" s="574" t="s">
        <v>2267</v>
      </c>
      <c r="AD111" s="574" t="s">
        <v>97</v>
      </c>
      <c r="AE111" s="574" t="s">
        <v>2268</v>
      </c>
      <c r="AF111" s="574" t="s">
        <v>97</v>
      </c>
      <c r="AG111" s="576">
        <v>0</v>
      </c>
      <c r="AH111" s="576">
        <v>567892.68999999994</v>
      </c>
    </row>
    <row r="112" spans="1:35" x14ac:dyDescent="0.25">
      <c r="A112" s="574" t="s">
        <v>2219</v>
      </c>
      <c r="B112" s="574" t="s">
        <v>2220</v>
      </c>
      <c r="C112" s="574" t="s">
        <v>2221</v>
      </c>
      <c r="D112" s="574" t="s">
        <v>2220</v>
      </c>
      <c r="E112" s="574" t="s">
        <v>2222</v>
      </c>
      <c r="F112" s="574" t="s">
        <v>2223</v>
      </c>
      <c r="G112" s="574" t="s">
        <v>2224</v>
      </c>
      <c r="H112" s="574" t="s">
        <v>2225</v>
      </c>
      <c r="I112" s="574" t="s">
        <v>2226</v>
      </c>
      <c r="J112" s="574" t="s">
        <v>2227</v>
      </c>
      <c r="K112" s="574" t="s">
        <v>2228</v>
      </c>
      <c r="L112" s="574" t="s">
        <v>2229</v>
      </c>
      <c r="M112" s="574" t="s">
        <v>2230</v>
      </c>
      <c r="N112" s="574" t="s">
        <v>2231</v>
      </c>
      <c r="O112" s="574" t="s">
        <v>2232</v>
      </c>
      <c r="P112" s="574" t="s">
        <v>2233</v>
      </c>
      <c r="Q112" s="574" t="s">
        <v>2234</v>
      </c>
      <c r="R112" s="574" t="s">
        <v>2225</v>
      </c>
      <c r="S112" s="574" t="s">
        <v>2235</v>
      </c>
      <c r="T112" s="574" t="s">
        <v>2236</v>
      </c>
      <c r="U112" s="574" t="s">
        <v>2460</v>
      </c>
      <c r="V112" s="574" t="s">
        <v>2238</v>
      </c>
      <c r="W112" s="574" t="s">
        <v>2239</v>
      </c>
      <c r="X112" s="574" t="s">
        <v>2461</v>
      </c>
      <c r="Y112" s="575" t="s">
        <v>2457</v>
      </c>
      <c r="Z112" s="575" t="s">
        <v>2457</v>
      </c>
      <c r="AA112" s="574" t="s">
        <v>2242</v>
      </c>
      <c r="AB112" s="574" t="s">
        <v>2243</v>
      </c>
      <c r="AC112" s="574" t="s">
        <v>2271</v>
      </c>
      <c r="AD112" s="574" t="s">
        <v>181</v>
      </c>
      <c r="AE112" s="574" t="s">
        <v>2272</v>
      </c>
      <c r="AF112" s="574" t="s">
        <v>2273</v>
      </c>
      <c r="AG112" s="576">
        <v>0</v>
      </c>
      <c r="AH112" s="576">
        <v>732074.29</v>
      </c>
    </row>
    <row r="113" spans="1:35" x14ac:dyDescent="0.25">
      <c r="A113" s="574" t="s">
        <v>2219</v>
      </c>
      <c r="B113" s="574" t="s">
        <v>2220</v>
      </c>
      <c r="C113" s="574" t="s">
        <v>2221</v>
      </c>
      <c r="D113" s="574" t="s">
        <v>2220</v>
      </c>
      <c r="E113" s="574" t="s">
        <v>2222</v>
      </c>
      <c r="F113" s="574" t="s">
        <v>2223</v>
      </c>
      <c r="G113" s="574" t="s">
        <v>2224</v>
      </c>
      <c r="H113" s="574" t="s">
        <v>2225</v>
      </c>
      <c r="I113" s="574" t="s">
        <v>2226</v>
      </c>
      <c r="J113" s="574" t="s">
        <v>2227</v>
      </c>
      <c r="K113" s="574" t="s">
        <v>2228</v>
      </c>
      <c r="L113" s="574" t="s">
        <v>2229</v>
      </c>
      <c r="M113" s="574" t="s">
        <v>2230</v>
      </c>
      <c r="N113" s="574" t="s">
        <v>2231</v>
      </c>
      <c r="O113" s="574" t="s">
        <v>2232</v>
      </c>
      <c r="P113" s="574" t="s">
        <v>2233</v>
      </c>
      <c r="Q113" s="574" t="s">
        <v>2234</v>
      </c>
      <c r="R113" s="574" t="s">
        <v>2225</v>
      </c>
      <c r="S113" s="574" t="s">
        <v>2235</v>
      </c>
      <c r="T113" s="574" t="s">
        <v>2236</v>
      </c>
      <c r="U113" s="574" t="s">
        <v>2460</v>
      </c>
      <c r="V113" s="574" t="s">
        <v>2238</v>
      </c>
      <c r="W113" s="574" t="s">
        <v>2239</v>
      </c>
      <c r="X113" s="574" t="s">
        <v>2461</v>
      </c>
      <c r="Y113" s="575" t="s">
        <v>2457</v>
      </c>
      <c r="Z113" s="575" t="s">
        <v>2457</v>
      </c>
      <c r="AA113" s="574" t="s">
        <v>2261</v>
      </c>
      <c r="AB113" s="574" t="s">
        <v>2262</v>
      </c>
      <c r="AC113" s="574" t="s">
        <v>2263</v>
      </c>
      <c r="AD113" s="574" t="s">
        <v>95</v>
      </c>
      <c r="AE113" s="574" t="s">
        <v>2264</v>
      </c>
      <c r="AF113" s="574" t="s">
        <v>95</v>
      </c>
      <c r="AG113" s="576">
        <v>0</v>
      </c>
      <c r="AH113" s="576">
        <v>51904.07</v>
      </c>
    </row>
    <row r="114" spans="1:35" x14ac:dyDescent="0.25">
      <c r="A114" s="574" t="s">
        <v>2219</v>
      </c>
      <c r="B114" s="574" t="s">
        <v>2220</v>
      </c>
      <c r="C114" s="574" t="s">
        <v>2221</v>
      </c>
      <c r="D114" s="574" t="s">
        <v>2220</v>
      </c>
      <c r="E114" s="574" t="s">
        <v>2222</v>
      </c>
      <c r="F114" s="574" t="s">
        <v>2223</v>
      </c>
      <c r="G114" s="574" t="s">
        <v>2224</v>
      </c>
      <c r="H114" s="574" t="s">
        <v>2225</v>
      </c>
      <c r="I114" s="574" t="s">
        <v>2226</v>
      </c>
      <c r="J114" s="574" t="s">
        <v>2227</v>
      </c>
      <c r="K114" s="574" t="s">
        <v>2228</v>
      </c>
      <c r="L114" s="574" t="s">
        <v>2229</v>
      </c>
      <c r="M114" s="574" t="s">
        <v>2230</v>
      </c>
      <c r="N114" s="574" t="s">
        <v>2231</v>
      </c>
      <c r="O114" s="574" t="s">
        <v>2232</v>
      </c>
      <c r="P114" s="574" t="s">
        <v>2233</v>
      </c>
      <c r="Q114" s="574" t="s">
        <v>2234</v>
      </c>
      <c r="R114" s="574" t="s">
        <v>2225</v>
      </c>
      <c r="S114" s="574" t="s">
        <v>2235</v>
      </c>
      <c r="T114" s="574" t="s">
        <v>2236</v>
      </c>
      <c r="U114" s="574" t="s">
        <v>2460</v>
      </c>
      <c r="V114" s="574" t="s">
        <v>2238</v>
      </c>
      <c r="W114" s="574" t="s">
        <v>2239</v>
      </c>
      <c r="X114" s="574" t="s">
        <v>2461</v>
      </c>
      <c r="Y114" s="575" t="s">
        <v>2457</v>
      </c>
      <c r="Z114" s="575" t="s">
        <v>2457</v>
      </c>
      <c r="AA114" s="574" t="s">
        <v>2261</v>
      </c>
      <c r="AB114" s="574" t="s">
        <v>2262</v>
      </c>
      <c r="AC114" s="574" t="s">
        <v>2265</v>
      </c>
      <c r="AD114" s="574" t="s">
        <v>96</v>
      </c>
      <c r="AE114" s="574" t="s">
        <v>2266</v>
      </c>
      <c r="AF114" s="574" t="s">
        <v>96</v>
      </c>
      <c r="AG114" s="576">
        <v>0</v>
      </c>
      <c r="AH114" s="576">
        <v>51977.27</v>
      </c>
    </row>
    <row r="115" spans="1:35" x14ac:dyDescent="0.25">
      <c r="A115" s="574" t="s">
        <v>2219</v>
      </c>
      <c r="B115" s="574" t="s">
        <v>2220</v>
      </c>
      <c r="C115" s="574" t="s">
        <v>2221</v>
      </c>
      <c r="D115" s="574" t="s">
        <v>2220</v>
      </c>
      <c r="E115" s="574" t="s">
        <v>2222</v>
      </c>
      <c r="F115" s="574" t="s">
        <v>2223</v>
      </c>
      <c r="G115" s="574" t="s">
        <v>2224</v>
      </c>
      <c r="H115" s="574" t="s">
        <v>2225</v>
      </c>
      <c r="I115" s="574" t="s">
        <v>2226</v>
      </c>
      <c r="J115" s="574" t="s">
        <v>2227</v>
      </c>
      <c r="K115" s="574" t="s">
        <v>2228</v>
      </c>
      <c r="L115" s="574" t="s">
        <v>2229</v>
      </c>
      <c r="M115" s="574" t="s">
        <v>2230</v>
      </c>
      <c r="N115" s="574" t="s">
        <v>2231</v>
      </c>
      <c r="O115" s="574" t="s">
        <v>2232</v>
      </c>
      <c r="P115" s="574" t="s">
        <v>2233</v>
      </c>
      <c r="Q115" s="574" t="s">
        <v>2234</v>
      </c>
      <c r="R115" s="574" t="s">
        <v>2225</v>
      </c>
      <c r="S115" s="574" t="s">
        <v>2235</v>
      </c>
      <c r="T115" s="574" t="s">
        <v>2236</v>
      </c>
      <c r="U115" s="574" t="s">
        <v>2460</v>
      </c>
      <c r="V115" s="574" t="s">
        <v>2238</v>
      </c>
      <c r="W115" s="574" t="s">
        <v>2239</v>
      </c>
      <c r="X115" s="574" t="s">
        <v>2461</v>
      </c>
      <c r="Y115" s="575" t="s">
        <v>2457</v>
      </c>
      <c r="Z115" s="575" t="s">
        <v>2457</v>
      </c>
      <c r="AA115" s="574" t="s">
        <v>2261</v>
      </c>
      <c r="AB115" s="574" t="s">
        <v>2262</v>
      </c>
      <c r="AC115" s="574" t="s">
        <v>2267</v>
      </c>
      <c r="AD115" s="574" t="s">
        <v>97</v>
      </c>
      <c r="AE115" s="574" t="s">
        <v>2268</v>
      </c>
      <c r="AF115" s="574" t="s">
        <v>97</v>
      </c>
      <c r="AG115" s="576">
        <v>0</v>
      </c>
      <c r="AH115" s="576">
        <v>8693.81</v>
      </c>
    </row>
    <row r="116" spans="1:35" x14ac:dyDescent="0.25">
      <c r="A116" s="574" t="s">
        <v>2219</v>
      </c>
      <c r="B116" s="574" t="s">
        <v>2220</v>
      </c>
      <c r="C116" s="574" t="s">
        <v>2221</v>
      </c>
      <c r="D116" s="574" t="s">
        <v>2220</v>
      </c>
      <c r="E116" s="574" t="s">
        <v>2222</v>
      </c>
      <c r="F116" s="574" t="s">
        <v>2223</v>
      </c>
      <c r="G116" s="574" t="s">
        <v>2224</v>
      </c>
      <c r="H116" s="574" t="s">
        <v>2225</v>
      </c>
      <c r="I116" s="574" t="s">
        <v>2226</v>
      </c>
      <c r="J116" s="574" t="s">
        <v>2227</v>
      </c>
      <c r="K116" s="574" t="s">
        <v>2228</v>
      </c>
      <c r="L116" s="574" t="s">
        <v>2229</v>
      </c>
      <c r="M116" s="574" t="s">
        <v>2230</v>
      </c>
      <c r="N116" s="574" t="s">
        <v>2231</v>
      </c>
      <c r="O116" s="574" t="s">
        <v>2232</v>
      </c>
      <c r="P116" s="574" t="s">
        <v>2233</v>
      </c>
      <c r="Q116" s="574" t="s">
        <v>2234</v>
      </c>
      <c r="R116" s="574" t="s">
        <v>2225</v>
      </c>
      <c r="S116" s="574" t="s">
        <v>2235</v>
      </c>
      <c r="T116" s="574" t="s">
        <v>2236</v>
      </c>
      <c r="U116" s="574" t="s">
        <v>2462</v>
      </c>
      <c r="V116" s="574" t="s">
        <v>2238</v>
      </c>
      <c r="W116" s="574" t="s">
        <v>2239</v>
      </c>
      <c r="X116" s="574" t="s">
        <v>2463</v>
      </c>
      <c r="Y116" s="575" t="s">
        <v>2464</v>
      </c>
      <c r="Z116" s="575" t="s">
        <v>2464</v>
      </c>
      <c r="AA116" s="574" t="s">
        <v>1688</v>
      </c>
      <c r="AB116" s="574" t="s">
        <v>2430</v>
      </c>
      <c r="AC116" s="574" t="s">
        <v>2431</v>
      </c>
      <c r="AD116" s="574" t="s">
        <v>99</v>
      </c>
      <c r="AE116" s="574" t="s">
        <v>1531</v>
      </c>
      <c r="AF116" s="574" t="s">
        <v>99</v>
      </c>
      <c r="AG116" s="576">
        <v>0</v>
      </c>
      <c r="AH116" s="576">
        <v>436518</v>
      </c>
      <c r="AI116"/>
    </row>
    <row r="117" spans="1:35" x14ac:dyDescent="0.25">
      <c r="A117" s="574" t="s">
        <v>2219</v>
      </c>
      <c r="B117" s="574" t="s">
        <v>2220</v>
      </c>
      <c r="C117" s="574" t="s">
        <v>2221</v>
      </c>
      <c r="D117" s="574" t="s">
        <v>2220</v>
      </c>
      <c r="E117" s="574" t="s">
        <v>2222</v>
      </c>
      <c r="F117" s="574" t="s">
        <v>2223</v>
      </c>
      <c r="G117" s="574" t="s">
        <v>2224</v>
      </c>
      <c r="H117" s="574" t="s">
        <v>2225</v>
      </c>
      <c r="I117" s="574" t="s">
        <v>2226</v>
      </c>
      <c r="J117" s="574" t="s">
        <v>2227</v>
      </c>
      <c r="K117" s="574" t="s">
        <v>2228</v>
      </c>
      <c r="L117" s="574" t="s">
        <v>2229</v>
      </c>
      <c r="M117" s="574" t="s">
        <v>2230</v>
      </c>
      <c r="N117" s="574" t="s">
        <v>2231</v>
      </c>
      <c r="O117" s="574" t="s">
        <v>2232</v>
      </c>
      <c r="P117" s="574" t="s">
        <v>2233</v>
      </c>
      <c r="Q117" s="574" t="s">
        <v>2234</v>
      </c>
      <c r="R117" s="574" t="s">
        <v>2225</v>
      </c>
      <c r="S117" s="574" t="s">
        <v>2235</v>
      </c>
      <c r="T117" s="574" t="s">
        <v>2236</v>
      </c>
      <c r="U117" s="574" t="s">
        <v>2465</v>
      </c>
      <c r="V117" s="574" t="s">
        <v>2238</v>
      </c>
      <c r="W117" s="574" t="s">
        <v>2239</v>
      </c>
      <c r="X117" s="574" t="s">
        <v>2466</v>
      </c>
      <c r="Y117" s="575" t="s">
        <v>2464</v>
      </c>
      <c r="Z117" s="575" t="s">
        <v>2464</v>
      </c>
      <c r="AA117" s="574" t="s">
        <v>1691</v>
      </c>
      <c r="AB117" s="574" t="s">
        <v>2297</v>
      </c>
      <c r="AC117" s="574" t="s">
        <v>2298</v>
      </c>
      <c r="AD117" s="574" t="s">
        <v>2299</v>
      </c>
      <c r="AE117" s="574" t="s">
        <v>1468</v>
      </c>
      <c r="AF117" s="574" t="s">
        <v>2299</v>
      </c>
      <c r="AG117" s="576">
        <v>0</v>
      </c>
      <c r="AH117" s="576">
        <v>70080</v>
      </c>
      <c r="AI117"/>
    </row>
    <row r="118" spans="1:35" x14ac:dyDescent="0.25">
      <c r="A118" s="574" t="s">
        <v>2219</v>
      </c>
      <c r="B118" s="574" t="s">
        <v>2220</v>
      </c>
      <c r="C118" s="574" t="s">
        <v>2221</v>
      </c>
      <c r="D118" s="574" t="s">
        <v>2220</v>
      </c>
      <c r="E118" s="574" t="s">
        <v>2222</v>
      </c>
      <c r="F118" s="574" t="s">
        <v>2223</v>
      </c>
      <c r="G118" s="574" t="s">
        <v>2224</v>
      </c>
      <c r="H118" s="574" t="s">
        <v>2225</v>
      </c>
      <c r="I118" s="574" t="s">
        <v>2226</v>
      </c>
      <c r="J118" s="574" t="s">
        <v>2227</v>
      </c>
      <c r="K118" s="574" t="s">
        <v>2228</v>
      </c>
      <c r="L118" s="574" t="s">
        <v>2229</v>
      </c>
      <c r="M118" s="574" t="s">
        <v>2230</v>
      </c>
      <c r="N118" s="574" t="s">
        <v>2231</v>
      </c>
      <c r="O118" s="574" t="s">
        <v>2232</v>
      </c>
      <c r="P118" s="574" t="s">
        <v>2233</v>
      </c>
      <c r="Q118" s="574" t="s">
        <v>2234</v>
      </c>
      <c r="R118" s="574" t="s">
        <v>2225</v>
      </c>
      <c r="S118" s="574" t="s">
        <v>2235</v>
      </c>
      <c r="T118" s="574" t="s">
        <v>2236</v>
      </c>
      <c r="U118" s="574" t="s">
        <v>2467</v>
      </c>
      <c r="V118" s="574" t="s">
        <v>2238</v>
      </c>
      <c r="W118" s="574" t="s">
        <v>2239</v>
      </c>
      <c r="X118" s="574" t="s">
        <v>2468</v>
      </c>
      <c r="Y118" s="575" t="s">
        <v>2464</v>
      </c>
      <c r="Z118" s="575" t="s">
        <v>2464</v>
      </c>
      <c r="AA118" s="574" t="s">
        <v>1692</v>
      </c>
      <c r="AB118" s="574" t="s">
        <v>2307</v>
      </c>
      <c r="AC118" s="574" t="s">
        <v>2308</v>
      </c>
      <c r="AD118" s="574" t="s">
        <v>2309</v>
      </c>
      <c r="AE118" s="574" t="s">
        <v>1490</v>
      </c>
      <c r="AF118" s="574" t="s">
        <v>176</v>
      </c>
      <c r="AG118" s="576">
        <v>0</v>
      </c>
      <c r="AH118" s="576">
        <v>114170</v>
      </c>
      <c r="AI118"/>
    </row>
    <row r="119" spans="1:35" x14ac:dyDescent="0.25">
      <c r="A119" s="574" t="s">
        <v>2219</v>
      </c>
      <c r="B119" s="574" t="s">
        <v>2220</v>
      </c>
      <c r="C119" s="574" t="s">
        <v>2221</v>
      </c>
      <c r="D119" s="574" t="s">
        <v>2220</v>
      </c>
      <c r="E119" s="574" t="s">
        <v>2222</v>
      </c>
      <c r="F119" s="574" t="s">
        <v>2223</v>
      </c>
      <c r="G119" s="574" t="s">
        <v>2224</v>
      </c>
      <c r="H119" s="574" t="s">
        <v>2225</v>
      </c>
      <c r="I119" s="574" t="s">
        <v>2226</v>
      </c>
      <c r="J119" s="574" t="s">
        <v>2227</v>
      </c>
      <c r="K119" s="574" t="s">
        <v>2228</v>
      </c>
      <c r="L119" s="574" t="s">
        <v>2229</v>
      </c>
      <c r="M119" s="574" t="s">
        <v>2230</v>
      </c>
      <c r="N119" s="574" t="s">
        <v>2231</v>
      </c>
      <c r="O119" s="574" t="s">
        <v>2232</v>
      </c>
      <c r="P119" s="574" t="s">
        <v>2233</v>
      </c>
      <c r="Q119" s="574" t="s">
        <v>2234</v>
      </c>
      <c r="R119" s="574" t="s">
        <v>2225</v>
      </c>
      <c r="S119" s="574" t="s">
        <v>2235</v>
      </c>
      <c r="T119" s="574" t="s">
        <v>2236</v>
      </c>
      <c r="U119" s="574" t="s">
        <v>2467</v>
      </c>
      <c r="V119" s="574" t="s">
        <v>2238</v>
      </c>
      <c r="W119" s="574" t="s">
        <v>2239</v>
      </c>
      <c r="X119" s="574" t="s">
        <v>2468</v>
      </c>
      <c r="Y119" s="575" t="s">
        <v>2464</v>
      </c>
      <c r="Z119" s="575" t="s">
        <v>2464</v>
      </c>
      <c r="AA119" s="574" t="s">
        <v>1693</v>
      </c>
      <c r="AB119" s="574" t="s">
        <v>2319</v>
      </c>
      <c r="AC119" s="574" t="s">
        <v>2320</v>
      </c>
      <c r="AD119" s="574" t="s">
        <v>2321</v>
      </c>
      <c r="AE119" s="574" t="s">
        <v>1446</v>
      </c>
      <c r="AF119" s="574" t="s">
        <v>2321</v>
      </c>
      <c r="AG119" s="576">
        <v>0</v>
      </c>
      <c r="AH119" s="576">
        <v>75166.8</v>
      </c>
      <c r="AI119"/>
    </row>
    <row r="120" spans="1:35" x14ac:dyDescent="0.25">
      <c r="A120" s="574" t="s">
        <v>2219</v>
      </c>
      <c r="B120" s="574" t="s">
        <v>2220</v>
      </c>
      <c r="C120" s="574" t="s">
        <v>2221</v>
      </c>
      <c r="D120" s="574" t="s">
        <v>2220</v>
      </c>
      <c r="E120" s="574" t="s">
        <v>2222</v>
      </c>
      <c r="F120" s="574" t="s">
        <v>2223</v>
      </c>
      <c r="G120" s="574" t="s">
        <v>2224</v>
      </c>
      <c r="H120" s="574" t="s">
        <v>2225</v>
      </c>
      <c r="I120" s="574" t="s">
        <v>2226</v>
      </c>
      <c r="J120" s="574" t="s">
        <v>2227</v>
      </c>
      <c r="K120" s="574" t="s">
        <v>2228</v>
      </c>
      <c r="L120" s="574" t="s">
        <v>2229</v>
      </c>
      <c r="M120" s="574" t="s">
        <v>2230</v>
      </c>
      <c r="N120" s="574" t="s">
        <v>2231</v>
      </c>
      <c r="O120" s="574" t="s">
        <v>2232</v>
      </c>
      <c r="P120" s="574" t="s">
        <v>2233</v>
      </c>
      <c r="Q120" s="574" t="s">
        <v>2234</v>
      </c>
      <c r="R120" s="574" t="s">
        <v>2225</v>
      </c>
      <c r="S120" s="574" t="s">
        <v>2235</v>
      </c>
      <c r="T120" s="574" t="s">
        <v>2236</v>
      </c>
      <c r="U120" s="574" t="s">
        <v>2469</v>
      </c>
      <c r="V120" s="574" t="s">
        <v>2238</v>
      </c>
      <c r="W120" s="574" t="s">
        <v>2239</v>
      </c>
      <c r="X120" s="574" t="s">
        <v>2470</v>
      </c>
      <c r="Y120" s="575" t="s">
        <v>2471</v>
      </c>
      <c r="Z120" s="575" t="s">
        <v>2471</v>
      </c>
      <c r="AA120" s="574" t="s">
        <v>1691</v>
      </c>
      <c r="AB120" s="574" t="s">
        <v>2297</v>
      </c>
      <c r="AC120" s="574" t="s">
        <v>2298</v>
      </c>
      <c r="AD120" s="574" t="s">
        <v>2299</v>
      </c>
      <c r="AE120" s="574" t="s">
        <v>1468</v>
      </c>
      <c r="AF120" s="574" t="s">
        <v>2299</v>
      </c>
      <c r="AG120" s="576">
        <v>0</v>
      </c>
      <c r="AH120" s="576">
        <v>148500</v>
      </c>
      <c r="AI120"/>
    </row>
    <row r="121" spans="1:35" x14ac:dyDescent="0.25">
      <c r="A121" s="574" t="s">
        <v>2219</v>
      </c>
      <c r="B121" s="574" t="s">
        <v>2220</v>
      </c>
      <c r="C121" s="574" t="s">
        <v>2221</v>
      </c>
      <c r="D121" s="574" t="s">
        <v>2220</v>
      </c>
      <c r="E121" s="574" t="s">
        <v>2222</v>
      </c>
      <c r="F121" s="574" t="s">
        <v>2223</v>
      </c>
      <c r="G121" s="574" t="s">
        <v>2224</v>
      </c>
      <c r="H121" s="574" t="s">
        <v>2225</v>
      </c>
      <c r="I121" s="574" t="s">
        <v>2226</v>
      </c>
      <c r="J121" s="574" t="s">
        <v>2227</v>
      </c>
      <c r="K121" s="574" t="s">
        <v>2228</v>
      </c>
      <c r="L121" s="574" t="s">
        <v>2229</v>
      </c>
      <c r="M121" s="574" t="s">
        <v>2230</v>
      </c>
      <c r="N121" s="574" t="s">
        <v>2231</v>
      </c>
      <c r="O121" s="574" t="s">
        <v>2232</v>
      </c>
      <c r="P121" s="574" t="s">
        <v>2233</v>
      </c>
      <c r="Q121" s="574" t="s">
        <v>2234</v>
      </c>
      <c r="R121" s="574" t="s">
        <v>2225</v>
      </c>
      <c r="S121" s="574" t="s">
        <v>2235</v>
      </c>
      <c r="T121" s="574" t="s">
        <v>2236</v>
      </c>
      <c r="U121" s="574" t="s">
        <v>2472</v>
      </c>
      <c r="V121" s="574" t="s">
        <v>2238</v>
      </c>
      <c r="W121" s="574" t="s">
        <v>2239</v>
      </c>
      <c r="X121" s="574" t="s">
        <v>2473</v>
      </c>
      <c r="Y121" s="575" t="s">
        <v>2474</v>
      </c>
      <c r="Z121" s="575" t="s">
        <v>2474</v>
      </c>
      <c r="AA121" s="574" t="s">
        <v>1690</v>
      </c>
      <c r="AB121" s="574" t="s">
        <v>2475</v>
      </c>
      <c r="AC121" s="574" t="s">
        <v>2476</v>
      </c>
      <c r="AD121" s="574" t="s">
        <v>104</v>
      </c>
      <c r="AE121" s="574" t="s">
        <v>1676</v>
      </c>
      <c r="AF121" s="574" t="s">
        <v>104</v>
      </c>
      <c r="AG121" s="576">
        <v>0</v>
      </c>
      <c r="AH121" s="576">
        <v>627.16999999999996</v>
      </c>
      <c r="AI121"/>
    </row>
    <row r="122" spans="1:35" x14ac:dyDescent="0.25">
      <c r="A122" s="574" t="s">
        <v>2219</v>
      </c>
      <c r="B122" s="574" t="s">
        <v>2220</v>
      </c>
      <c r="C122" s="574" t="s">
        <v>2221</v>
      </c>
      <c r="D122" s="574" t="s">
        <v>2220</v>
      </c>
      <c r="E122" s="574" t="s">
        <v>2222</v>
      </c>
      <c r="F122" s="574" t="s">
        <v>2223</v>
      </c>
      <c r="G122" s="574" t="s">
        <v>2224</v>
      </c>
      <c r="H122" s="574" t="s">
        <v>2225</v>
      </c>
      <c r="I122" s="574" t="s">
        <v>2226</v>
      </c>
      <c r="J122" s="574" t="s">
        <v>2227</v>
      </c>
      <c r="K122" s="574" t="s">
        <v>2228</v>
      </c>
      <c r="L122" s="574" t="s">
        <v>2229</v>
      </c>
      <c r="M122" s="574" t="s">
        <v>2230</v>
      </c>
      <c r="N122" s="574" t="s">
        <v>2231</v>
      </c>
      <c r="O122" s="574" t="s">
        <v>2232</v>
      </c>
      <c r="P122" s="574" t="s">
        <v>2233</v>
      </c>
      <c r="Q122" s="574" t="s">
        <v>2234</v>
      </c>
      <c r="R122" s="574" t="s">
        <v>2225</v>
      </c>
      <c r="S122" s="574" t="s">
        <v>2235</v>
      </c>
      <c r="T122" s="574" t="s">
        <v>2236</v>
      </c>
      <c r="U122" s="574" t="s">
        <v>2472</v>
      </c>
      <c r="V122" s="574" t="s">
        <v>2238</v>
      </c>
      <c r="W122" s="574" t="s">
        <v>2239</v>
      </c>
      <c r="X122" s="574" t="s">
        <v>2473</v>
      </c>
      <c r="Y122" s="575" t="s">
        <v>2474</v>
      </c>
      <c r="Z122" s="575" t="s">
        <v>2474</v>
      </c>
      <c r="AA122" s="574" t="s">
        <v>1692</v>
      </c>
      <c r="AB122" s="574" t="s">
        <v>2307</v>
      </c>
      <c r="AC122" s="574" t="s">
        <v>2308</v>
      </c>
      <c r="AD122" s="574" t="s">
        <v>2309</v>
      </c>
      <c r="AE122" s="574" t="s">
        <v>1490</v>
      </c>
      <c r="AF122" s="574" t="s">
        <v>176</v>
      </c>
      <c r="AG122" s="576">
        <v>0</v>
      </c>
      <c r="AH122" s="576">
        <v>183318.36</v>
      </c>
      <c r="AI122"/>
    </row>
    <row r="123" spans="1:35" x14ac:dyDescent="0.25">
      <c r="A123" s="574" t="s">
        <v>2219</v>
      </c>
      <c r="B123" s="574" t="s">
        <v>2220</v>
      </c>
      <c r="C123" s="574" t="s">
        <v>2221</v>
      </c>
      <c r="D123" s="574" t="s">
        <v>2220</v>
      </c>
      <c r="E123" s="574" t="s">
        <v>2222</v>
      </c>
      <c r="F123" s="574" t="s">
        <v>2223</v>
      </c>
      <c r="G123" s="574" t="s">
        <v>2224</v>
      </c>
      <c r="H123" s="574" t="s">
        <v>2225</v>
      </c>
      <c r="I123" s="574" t="s">
        <v>2226</v>
      </c>
      <c r="J123" s="574" t="s">
        <v>2227</v>
      </c>
      <c r="K123" s="574" t="s">
        <v>2228</v>
      </c>
      <c r="L123" s="574" t="s">
        <v>2229</v>
      </c>
      <c r="M123" s="574" t="s">
        <v>2230</v>
      </c>
      <c r="N123" s="574" t="s">
        <v>2231</v>
      </c>
      <c r="O123" s="574" t="s">
        <v>2232</v>
      </c>
      <c r="P123" s="574" t="s">
        <v>2233</v>
      </c>
      <c r="Q123" s="574" t="s">
        <v>2234</v>
      </c>
      <c r="R123" s="574" t="s">
        <v>2225</v>
      </c>
      <c r="S123" s="574" t="s">
        <v>2235</v>
      </c>
      <c r="T123" s="574" t="s">
        <v>2236</v>
      </c>
      <c r="U123" s="574" t="s">
        <v>2477</v>
      </c>
      <c r="V123" s="574" t="s">
        <v>2238</v>
      </c>
      <c r="W123" s="574" t="s">
        <v>2239</v>
      </c>
      <c r="X123" s="574" t="s">
        <v>2478</v>
      </c>
      <c r="Y123" s="575" t="s">
        <v>2474</v>
      </c>
      <c r="Z123" s="575" t="s">
        <v>2474</v>
      </c>
      <c r="AA123" s="574" t="s">
        <v>1693</v>
      </c>
      <c r="AB123" s="574" t="s">
        <v>2319</v>
      </c>
      <c r="AC123" s="574" t="s">
        <v>2320</v>
      </c>
      <c r="AD123" s="574" t="s">
        <v>2321</v>
      </c>
      <c r="AE123" s="574" t="s">
        <v>1446</v>
      </c>
      <c r="AF123" s="574" t="s">
        <v>2321</v>
      </c>
      <c r="AG123" s="576">
        <v>0</v>
      </c>
      <c r="AH123" s="576">
        <v>29087</v>
      </c>
      <c r="AI123"/>
    </row>
    <row r="124" spans="1:35" x14ac:dyDescent="0.25">
      <c r="A124" s="574" t="s">
        <v>2219</v>
      </c>
      <c r="B124" s="574" t="s">
        <v>2220</v>
      </c>
      <c r="C124" s="574" t="s">
        <v>2221</v>
      </c>
      <c r="D124" s="574" t="s">
        <v>2220</v>
      </c>
      <c r="E124" s="574" t="s">
        <v>2222</v>
      </c>
      <c r="F124" s="574" t="s">
        <v>2223</v>
      </c>
      <c r="G124" s="574" t="s">
        <v>2224</v>
      </c>
      <c r="H124" s="574" t="s">
        <v>2225</v>
      </c>
      <c r="I124" s="574" t="s">
        <v>2226</v>
      </c>
      <c r="J124" s="574" t="s">
        <v>2227</v>
      </c>
      <c r="K124" s="574" t="s">
        <v>2228</v>
      </c>
      <c r="L124" s="574" t="s">
        <v>2229</v>
      </c>
      <c r="M124" s="574" t="s">
        <v>2230</v>
      </c>
      <c r="N124" s="574" t="s">
        <v>2231</v>
      </c>
      <c r="O124" s="574" t="s">
        <v>2232</v>
      </c>
      <c r="P124" s="574" t="s">
        <v>2233</v>
      </c>
      <c r="Q124" s="574" t="s">
        <v>2234</v>
      </c>
      <c r="R124" s="574" t="s">
        <v>2225</v>
      </c>
      <c r="S124" s="574" t="s">
        <v>2235</v>
      </c>
      <c r="T124" s="574" t="s">
        <v>2236</v>
      </c>
      <c r="U124" s="574" t="s">
        <v>2479</v>
      </c>
      <c r="V124" s="574" t="s">
        <v>2238</v>
      </c>
      <c r="W124" s="574" t="s">
        <v>2239</v>
      </c>
      <c r="X124" s="574" t="s">
        <v>2480</v>
      </c>
      <c r="Y124" s="575" t="s">
        <v>2481</v>
      </c>
      <c r="Z124" s="575" t="s">
        <v>2481</v>
      </c>
      <c r="AA124" s="574" t="s">
        <v>1692</v>
      </c>
      <c r="AB124" s="574" t="s">
        <v>2307</v>
      </c>
      <c r="AC124" s="574" t="s">
        <v>2308</v>
      </c>
      <c r="AD124" s="574" t="s">
        <v>2309</v>
      </c>
      <c r="AE124" s="574" t="s">
        <v>1490</v>
      </c>
      <c r="AF124" s="574" t="s">
        <v>176</v>
      </c>
      <c r="AG124" s="576">
        <v>0</v>
      </c>
      <c r="AH124" s="576">
        <v>9900</v>
      </c>
      <c r="AI124"/>
    </row>
    <row r="125" spans="1:35" x14ac:dyDescent="0.25">
      <c r="A125" s="574" t="s">
        <v>2219</v>
      </c>
      <c r="B125" s="574" t="s">
        <v>2220</v>
      </c>
      <c r="C125" s="574" t="s">
        <v>2221</v>
      </c>
      <c r="D125" s="574" t="s">
        <v>2220</v>
      </c>
      <c r="E125" s="574" t="s">
        <v>2222</v>
      </c>
      <c r="F125" s="574" t="s">
        <v>2223</v>
      </c>
      <c r="G125" s="574" t="s">
        <v>2224</v>
      </c>
      <c r="H125" s="574" t="s">
        <v>2225</v>
      </c>
      <c r="I125" s="574" t="s">
        <v>2226</v>
      </c>
      <c r="J125" s="574" t="s">
        <v>2227</v>
      </c>
      <c r="K125" s="574" t="s">
        <v>2228</v>
      </c>
      <c r="L125" s="574" t="s">
        <v>2229</v>
      </c>
      <c r="M125" s="574" t="s">
        <v>2230</v>
      </c>
      <c r="N125" s="574" t="s">
        <v>2231</v>
      </c>
      <c r="O125" s="574" t="s">
        <v>2232</v>
      </c>
      <c r="P125" s="574" t="s">
        <v>2233</v>
      </c>
      <c r="Q125" s="574" t="s">
        <v>2234</v>
      </c>
      <c r="R125" s="574" t="s">
        <v>2225</v>
      </c>
      <c r="S125" s="574" t="s">
        <v>2235</v>
      </c>
      <c r="T125" s="574" t="s">
        <v>2236</v>
      </c>
      <c r="U125" s="574" t="s">
        <v>2482</v>
      </c>
      <c r="V125" s="574" t="s">
        <v>2238</v>
      </c>
      <c r="W125" s="574" t="s">
        <v>2239</v>
      </c>
      <c r="X125" s="574" t="s">
        <v>2483</v>
      </c>
      <c r="Y125" s="575" t="s">
        <v>2484</v>
      </c>
      <c r="Z125" s="575" t="s">
        <v>2484</v>
      </c>
      <c r="AA125" s="574" t="s">
        <v>1694</v>
      </c>
      <c r="AB125" s="574" t="s">
        <v>2314</v>
      </c>
      <c r="AC125" s="574" t="s">
        <v>2315</v>
      </c>
      <c r="AD125" s="574" t="s">
        <v>2316</v>
      </c>
      <c r="AE125" s="574" t="s">
        <v>1470</v>
      </c>
      <c r="AF125" s="574" t="s">
        <v>2316</v>
      </c>
      <c r="AG125" s="576">
        <v>0</v>
      </c>
      <c r="AH125" s="576">
        <v>153395.56</v>
      </c>
      <c r="AI125"/>
    </row>
    <row r="126" spans="1:35" x14ac:dyDescent="0.25">
      <c r="A126" s="574" t="s">
        <v>2219</v>
      </c>
      <c r="B126" s="574" t="s">
        <v>2220</v>
      </c>
      <c r="C126" s="574" t="s">
        <v>2221</v>
      </c>
      <c r="D126" s="574" t="s">
        <v>2220</v>
      </c>
      <c r="E126" s="574" t="s">
        <v>2222</v>
      </c>
      <c r="F126" s="574" t="s">
        <v>2223</v>
      </c>
      <c r="G126" s="574" t="s">
        <v>2224</v>
      </c>
      <c r="H126" s="574" t="s">
        <v>2225</v>
      </c>
      <c r="I126" s="574" t="s">
        <v>2226</v>
      </c>
      <c r="J126" s="574" t="s">
        <v>2227</v>
      </c>
      <c r="K126" s="574" t="s">
        <v>2228</v>
      </c>
      <c r="L126" s="574" t="s">
        <v>2229</v>
      </c>
      <c r="M126" s="574" t="s">
        <v>2230</v>
      </c>
      <c r="N126" s="574" t="s">
        <v>2231</v>
      </c>
      <c r="O126" s="574" t="s">
        <v>2232</v>
      </c>
      <c r="P126" s="574" t="s">
        <v>2233</v>
      </c>
      <c r="Q126" s="574" t="s">
        <v>2234</v>
      </c>
      <c r="R126" s="574" t="s">
        <v>2225</v>
      </c>
      <c r="S126" s="574" t="s">
        <v>2235</v>
      </c>
      <c r="T126" s="574" t="s">
        <v>2236</v>
      </c>
      <c r="U126" s="574" t="s">
        <v>2485</v>
      </c>
      <c r="V126" s="574" t="s">
        <v>2238</v>
      </c>
      <c r="W126" s="574" t="s">
        <v>2239</v>
      </c>
      <c r="X126" s="574" t="s">
        <v>2486</v>
      </c>
      <c r="Y126" s="575" t="s">
        <v>2484</v>
      </c>
      <c r="Z126" s="575" t="s">
        <v>2484</v>
      </c>
      <c r="AA126" s="574" t="s">
        <v>1688</v>
      </c>
      <c r="AB126" s="574" t="s">
        <v>2430</v>
      </c>
      <c r="AC126" s="574" t="s">
        <v>2431</v>
      </c>
      <c r="AD126" s="574" t="s">
        <v>99</v>
      </c>
      <c r="AE126" s="574" t="s">
        <v>1531</v>
      </c>
      <c r="AF126" s="574" t="s">
        <v>99</v>
      </c>
      <c r="AG126" s="576">
        <v>0</v>
      </c>
      <c r="AH126" s="576">
        <v>851100</v>
      </c>
      <c r="AI126"/>
    </row>
    <row r="127" spans="1:35" x14ac:dyDescent="0.25">
      <c r="A127" s="574" t="s">
        <v>2219</v>
      </c>
      <c r="B127" s="574" t="s">
        <v>2220</v>
      </c>
      <c r="C127" s="574" t="s">
        <v>2221</v>
      </c>
      <c r="D127" s="574" t="s">
        <v>2220</v>
      </c>
      <c r="E127" s="574" t="s">
        <v>2222</v>
      </c>
      <c r="F127" s="574" t="s">
        <v>2223</v>
      </c>
      <c r="G127" s="574" t="s">
        <v>2224</v>
      </c>
      <c r="H127" s="574" t="s">
        <v>2225</v>
      </c>
      <c r="I127" s="574" t="s">
        <v>2226</v>
      </c>
      <c r="J127" s="574" t="s">
        <v>2227</v>
      </c>
      <c r="K127" s="574" t="s">
        <v>2228</v>
      </c>
      <c r="L127" s="574" t="s">
        <v>2229</v>
      </c>
      <c r="M127" s="574" t="s">
        <v>2230</v>
      </c>
      <c r="N127" s="574" t="s">
        <v>2231</v>
      </c>
      <c r="O127" s="574" t="s">
        <v>2232</v>
      </c>
      <c r="P127" s="574" t="s">
        <v>2233</v>
      </c>
      <c r="Q127" s="574" t="s">
        <v>2234</v>
      </c>
      <c r="R127" s="574" t="s">
        <v>2225</v>
      </c>
      <c r="S127" s="574" t="s">
        <v>2235</v>
      </c>
      <c r="T127" s="574" t="s">
        <v>2236</v>
      </c>
      <c r="U127" s="574" t="s">
        <v>2487</v>
      </c>
      <c r="V127" s="574" t="s">
        <v>2238</v>
      </c>
      <c r="W127" s="574" t="s">
        <v>2239</v>
      </c>
      <c r="X127" s="574" t="s">
        <v>2488</v>
      </c>
      <c r="Y127" s="575" t="s">
        <v>2484</v>
      </c>
      <c r="Z127" s="575" t="s">
        <v>2484</v>
      </c>
      <c r="AA127" s="574" t="s">
        <v>1691</v>
      </c>
      <c r="AB127" s="574" t="s">
        <v>2297</v>
      </c>
      <c r="AC127" s="574" t="s">
        <v>2298</v>
      </c>
      <c r="AD127" s="574" t="s">
        <v>2299</v>
      </c>
      <c r="AE127" s="574" t="s">
        <v>1468</v>
      </c>
      <c r="AF127" s="574" t="s">
        <v>2299</v>
      </c>
      <c r="AG127" s="576">
        <v>0</v>
      </c>
      <c r="AH127" s="576">
        <v>148000</v>
      </c>
      <c r="AI127"/>
    </row>
    <row r="128" spans="1:35" x14ac:dyDescent="0.25">
      <c r="A128" s="574" t="s">
        <v>2219</v>
      </c>
      <c r="B128" s="574" t="s">
        <v>2220</v>
      </c>
      <c r="C128" s="574" t="s">
        <v>2221</v>
      </c>
      <c r="D128" s="574" t="s">
        <v>2220</v>
      </c>
      <c r="E128" s="574" t="s">
        <v>2222</v>
      </c>
      <c r="F128" s="574" t="s">
        <v>2223</v>
      </c>
      <c r="G128" s="574" t="s">
        <v>2224</v>
      </c>
      <c r="H128" s="574" t="s">
        <v>2225</v>
      </c>
      <c r="I128" s="574" t="s">
        <v>2226</v>
      </c>
      <c r="J128" s="574" t="s">
        <v>2227</v>
      </c>
      <c r="K128" s="574" t="s">
        <v>2228</v>
      </c>
      <c r="L128" s="574" t="s">
        <v>2229</v>
      </c>
      <c r="M128" s="574" t="s">
        <v>2230</v>
      </c>
      <c r="N128" s="574" t="s">
        <v>2231</v>
      </c>
      <c r="O128" s="574" t="s">
        <v>2232</v>
      </c>
      <c r="P128" s="574" t="s">
        <v>2233</v>
      </c>
      <c r="Q128" s="574" t="s">
        <v>2234</v>
      </c>
      <c r="R128" s="574" t="s">
        <v>2225</v>
      </c>
      <c r="S128" s="574" t="s">
        <v>2235</v>
      </c>
      <c r="T128" s="574" t="s">
        <v>2236</v>
      </c>
      <c r="U128" s="574" t="s">
        <v>2489</v>
      </c>
      <c r="V128" s="574" t="s">
        <v>2238</v>
      </c>
      <c r="W128" s="574" t="s">
        <v>2239</v>
      </c>
      <c r="X128" s="574" t="s">
        <v>2490</v>
      </c>
      <c r="Y128" s="575" t="s">
        <v>2491</v>
      </c>
      <c r="Z128" s="575" t="s">
        <v>2491</v>
      </c>
      <c r="AA128" s="574" t="s">
        <v>1696</v>
      </c>
      <c r="AB128" s="574" t="s">
        <v>2404</v>
      </c>
      <c r="AC128" s="574" t="s">
        <v>2405</v>
      </c>
      <c r="AD128" s="574" t="s">
        <v>2406</v>
      </c>
      <c r="AE128" s="574" t="s">
        <v>2407</v>
      </c>
      <c r="AF128" s="574" t="s">
        <v>2406</v>
      </c>
      <c r="AG128" s="576">
        <v>0</v>
      </c>
      <c r="AH128" s="576">
        <v>181720</v>
      </c>
      <c r="AI128"/>
    </row>
    <row r="129" spans="1:35" x14ac:dyDescent="0.25">
      <c r="A129" s="574" t="s">
        <v>2219</v>
      </c>
      <c r="B129" s="574" t="s">
        <v>2220</v>
      </c>
      <c r="C129" s="574" t="s">
        <v>2221</v>
      </c>
      <c r="D129" s="574" t="s">
        <v>2220</v>
      </c>
      <c r="E129" s="574" t="s">
        <v>2222</v>
      </c>
      <c r="F129" s="574" t="s">
        <v>2223</v>
      </c>
      <c r="G129" s="574" t="s">
        <v>2224</v>
      </c>
      <c r="H129" s="574" t="s">
        <v>2225</v>
      </c>
      <c r="I129" s="574" t="s">
        <v>2226</v>
      </c>
      <c r="J129" s="574" t="s">
        <v>2227</v>
      </c>
      <c r="K129" s="574" t="s">
        <v>2228</v>
      </c>
      <c r="L129" s="574" t="s">
        <v>2229</v>
      </c>
      <c r="M129" s="574" t="s">
        <v>2230</v>
      </c>
      <c r="N129" s="574" t="s">
        <v>2231</v>
      </c>
      <c r="O129" s="574" t="s">
        <v>2232</v>
      </c>
      <c r="P129" s="574" t="s">
        <v>2233</v>
      </c>
      <c r="Q129" s="574" t="s">
        <v>2234</v>
      </c>
      <c r="R129" s="574" t="s">
        <v>2225</v>
      </c>
      <c r="S129" s="574" t="s">
        <v>2235</v>
      </c>
      <c r="T129" s="574" t="s">
        <v>2236</v>
      </c>
      <c r="U129" s="574" t="s">
        <v>2492</v>
      </c>
      <c r="V129" s="574" t="s">
        <v>2238</v>
      </c>
      <c r="W129" s="574" t="s">
        <v>2239</v>
      </c>
      <c r="X129" s="574" t="s">
        <v>2493</v>
      </c>
      <c r="Y129" s="575" t="s">
        <v>2491</v>
      </c>
      <c r="Z129" s="575" t="s">
        <v>2491</v>
      </c>
      <c r="AA129" s="574" t="s">
        <v>2242</v>
      </c>
      <c r="AB129" s="574" t="s">
        <v>2243</v>
      </c>
      <c r="AC129" s="574" t="s">
        <v>2244</v>
      </c>
      <c r="AD129" s="574" t="s">
        <v>2245</v>
      </c>
      <c r="AE129" s="574" t="s">
        <v>2246</v>
      </c>
      <c r="AF129" s="574" t="s">
        <v>2247</v>
      </c>
      <c r="AG129" s="576">
        <v>0</v>
      </c>
      <c r="AH129" s="576">
        <v>69663.100000000006</v>
      </c>
    </row>
    <row r="130" spans="1:35" x14ac:dyDescent="0.25">
      <c r="A130" s="574" t="s">
        <v>2219</v>
      </c>
      <c r="B130" s="574" t="s">
        <v>2220</v>
      </c>
      <c r="C130" s="574" t="s">
        <v>2221</v>
      </c>
      <c r="D130" s="574" t="s">
        <v>2220</v>
      </c>
      <c r="E130" s="574" t="s">
        <v>2222</v>
      </c>
      <c r="F130" s="574" t="s">
        <v>2223</v>
      </c>
      <c r="G130" s="574" t="s">
        <v>2224</v>
      </c>
      <c r="H130" s="574" t="s">
        <v>2225</v>
      </c>
      <c r="I130" s="574" t="s">
        <v>2226</v>
      </c>
      <c r="J130" s="574" t="s">
        <v>2227</v>
      </c>
      <c r="K130" s="574" t="s">
        <v>2228</v>
      </c>
      <c r="L130" s="574" t="s">
        <v>2229</v>
      </c>
      <c r="M130" s="574" t="s">
        <v>2230</v>
      </c>
      <c r="N130" s="574" t="s">
        <v>2231</v>
      </c>
      <c r="O130" s="574" t="s">
        <v>2232</v>
      </c>
      <c r="P130" s="574" t="s">
        <v>2233</v>
      </c>
      <c r="Q130" s="574" t="s">
        <v>2234</v>
      </c>
      <c r="R130" s="574" t="s">
        <v>2225</v>
      </c>
      <c r="S130" s="574" t="s">
        <v>2235</v>
      </c>
      <c r="T130" s="574" t="s">
        <v>2236</v>
      </c>
      <c r="U130" s="574" t="s">
        <v>2492</v>
      </c>
      <c r="V130" s="574" t="s">
        <v>2238</v>
      </c>
      <c r="W130" s="574" t="s">
        <v>2239</v>
      </c>
      <c r="X130" s="574" t="s">
        <v>2493</v>
      </c>
      <c r="Y130" s="575" t="s">
        <v>2491</v>
      </c>
      <c r="Z130" s="575" t="s">
        <v>2491</v>
      </c>
      <c r="AA130" s="574" t="s">
        <v>2261</v>
      </c>
      <c r="AB130" s="574" t="s">
        <v>2262</v>
      </c>
      <c r="AC130" s="574" t="s">
        <v>2263</v>
      </c>
      <c r="AD130" s="574" t="s">
        <v>95</v>
      </c>
      <c r="AE130" s="574" t="s">
        <v>2264</v>
      </c>
      <c r="AF130" s="574" t="s">
        <v>95</v>
      </c>
      <c r="AG130" s="576">
        <v>0</v>
      </c>
      <c r="AH130" s="576">
        <v>4939.1099999999997</v>
      </c>
    </row>
    <row r="131" spans="1:35" x14ac:dyDescent="0.25">
      <c r="A131" s="574" t="s">
        <v>2219</v>
      </c>
      <c r="B131" s="574" t="s">
        <v>2220</v>
      </c>
      <c r="C131" s="574" t="s">
        <v>2221</v>
      </c>
      <c r="D131" s="574" t="s">
        <v>2220</v>
      </c>
      <c r="E131" s="574" t="s">
        <v>2222</v>
      </c>
      <c r="F131" s="574" t="s">
        <v>2223</v>
      </c>
      <c r="G131" s="574" t="s">
        <v>2224</v>
      </c>
      <c r="H131" s="574" t="s">
        <v>2225</v>
      </c>
      <c r="I131" s="574" t="s">
        <v>2226</v>
      </c>
      <c r="J131" s="574" t="s">
        <v>2227</v>
      </c>
      <c r="K131" s="574" t="s">
        <v>2228</v>
      </c>
      <c r="L131" s="574" t="s">
        <v>2229</v>
      </c>
      <c r="M131" s="574" t="s">
        <v>2230</v>
      </c>
      <c r="N131" s="574" t="s">
        <v>2231</v>
      </c>
      <c r="O131" s="574" t="s">
        <v>2232</v>
      </c>
      <c r="P131" s="574" t="s">
        <v>2233</v>
      </c>
      <c r="Q131" s="574" t="s">
        <v>2234</v>
      </c>
      <c r="R131" s="574" t="s">
        <v>2225</v>
      </c>
      <c r="S131" s="574" t="s">
        <v>2235</v>
      </c>
      <c r="T131" s="574" t="s">
        <v>2236</v>
      </c>
      <c r="U131" s="574" t="s">
        <v>2492</v>
      </c>
      <c r="V131" s="574" t="s">
        <v>2238</v>
      </c>
      <c r="W131" s="574" t="s">
        <v>2239</v>
      </c>
      <c r="X131" s="574" t="s">
        <v>2493</v>
      </c>
      <c r="Y131" s="575" t="s">
        <v>2491</v>
      </c>
      <c r="Z131" s="575" t="s">
        <v>2491</v>
      </c>
      <c r="AA131" s="574" t="s">
        <v>2261</v>
      </c>
      <c r="AB131" s="574" t="s">
        <v>2262</v>
      </c>
      <c r="AC131" s="574" t="s">
        <v>2265</v>
      </c>
      <c r="AD131" s="574" t="s">
        <v>96</v>
      </c>
      <c r="AE131" s="574" t="s">
        <v>2266</v>
      </c>
      <c r="AF131" s="574" t="s">
        <v>96</v>
      </c>
      <c r="AG131" s="576">
        <v>0</v>
      </c>
      <c r="AH131" s="576">
        <v>4946.08</v>
      </c>
    </row>
    <row r="132" spans="1:35" x14ac:dyDescent="0.25">
      <c r="A132" s="574" t="s">
        <v>2219</v>
      </c>
      <c r="B132" s="574" t="s">
        <v>2220</v>
      </c>
      <c r="C132" s="574" t="s">
        <v>2221</v>
      </c>
      <c r="D132" s="574" t="s">
        <v>2220</v>
      </c>
      <c r="E132" s="574" t="s">
        <v>2222</v>
      </c>
      <c r="F132" s="574" t="s">
        <v>2223</v>
      </c>
      <c r="G132" s="574" t="s">
        <v>2224</v>
      </c>
      <c r="H132" s="574" t="s">
        <v>2225</v>
      </c>
      <c r="I132" s="574" t="s">
        <v>2226</v>
      </c>
      <c r="J132" s="574" t="s">
        <v>2227</v>
      </c>
      <c r="K132" s="574" t="s">
        <v>2228</v>
      </c>
      <c r="L132" s="574" t="s">
        <v>2229</v>
      </c>
      <c r="M132" s="574" t="s">
        <v>2230</v>
      </c>
      <c r="N132" s="574" t="s">
        <v>2231</v>
      </c>
      <c r="O132" s="574" t="s">
        <v>2232</v>
      </c>
      <c r="P132" s="574" t="s">
        <v>2233</v>
      </c>
      <c r="Q132" s="574" t="s">
        <v>2234</v>
      </c>
      <c r="R132" s="574" t="s">
        <v>2225</v>
      </c>
      <c r="S132" s="574" t="s">
        <v>2235</v>
      </c>
      <c r="T132" s="574" t="s">
        <v>2236</v>
      </c>
      <c r="U132" s="574" t="s">
        <v>2492</v>
      </c>
      <c r="V132" s="574" t="s">
        <v>2238</v>
      </c>
      <c r="W132" s="574" t="s">
        <v>2239</v>
      </c>
      <c r="X132" s="574" t="s">
        <v>2493</v>
      </c>
      <c r="Y132" s="575" t="s">
        <v>2491</v>
      </c>
      <c r="Z132" s="575" t="s">
        <v>2491</v>
      </c>
      <c r="AA132" s="574" t="s">
        <v>2261</v>
      </c>
      <c r="AB132" s="574" t="s">
        <v>2262</v>
      </c>
      <c r="AC132" s="574" t="s">
        <v>2267</v>
      </c>
      <c r="AD132" s="574" t="s">
        <v>97</v>
      </c>
      <c r="AE132" s="574" t="s">
        <v>2268</v>
      </c>
      <c r="AF132" s="574" t="s">
        <v>97</v>
      </c>
      <c r="AG132" s="576">
        <v>0</v>
      </c>
      <c r="AH132" s="576">
        <v>835.96</v>
      </c>
    </row>
    <row r="133" spans="1:35" x14ac:dyDescent="0.25">
      <c r="A133" s="574" t="s">
        <v>2219</v>
      </c>
      <c r="B133" s="574" t="s">
        <v>2220</v>
      </c>
      <c r="C133" s="574" t="s">
        <v>2221</v>
      </c>
      <c r="D133" s="574" t="s">
        <v>2220</v>
      </c>
      <c r="E133" s="574" t="s">
        <v>2222</v>
      </c>
      <c r="F133" s="574" t="s">
        <v>2223</v>
      </c>
      <c r="G133" s="574" t="s">
        <v>2224</v>
      </c>
      <c r="H133" s="574" t="s">
        <v>2225</v>
      </c>
      <c r="I133" s="574" t="s">
        <v>2226</v>
      </c>
      <c r="J133" s="574" t="s">
        <v>2227</v>
      </c>
      <c r="K133" s="574" t="s">
        <v>2228</v>
      </c>
      <c r="L133" s="574" t="s">
        <v>2229</v>
      </c>
      <c r="M133" s="574" t="s">
        <v>2230</v>
      </c>
      <c r="N133" s="574" t="s">
        <v>2231</v>
      </c>
      <c r="O133" s="574" t="s">
        <v>2232</v>
      </c>
      <c r="P133" s="574" t="s">
        <v>2233</v>
      </c>
      <c r="Q133" s="574" t="s">
        <v>2234</v>
      </c>
      <c r="R133" s="574" t="s">
        <v>2225</v>
      </c>
      <c r="S133" s="574" t="s">
        <v>2235</v>
      </c>
      <c r="T133" s="574" t="s">
        <v>2236</v>
      </c>
      <c r="U133" s="574" t="s">
        <v>2494</v>
      </c>
      <c r="V133" s="574" t="s">
        <v>2238</v>
      </c>
      <c r="W133" s="574" t="s">
        <v>2239</v>
      </c>
      <c r="X133" s="574" t="s">
        <v>2495</v>
      </c>
      <c r="Y133" s="575" t="s">
        <v>2496</v>
      </c>
      <c r="Z133" s="575" t="s">
        <v>2496</v>
      </c>
      <c r="AA133" s="574" t="s">
        <v>1695</v>
      </c>
      <c r="AB133" s="574" t="s">
        <v>2337</v>
      </c>
      <c r="AC133" s="574" t="s">
        <v>2338</v>
      </c>
      <c r="AD133" s="574" t="s">
        <v>2339</v>
      </c>
      <c r="AE133" s="574" t="s">
        <v>1436</v>
      </c>
      <c r="AF133" s="574" t="s">
        <v>2339</v>
      </c>
      <c r="AG133" s="576">
        <v>0</v>
      </c>
      <c r="AH133" s="576">
        <v>239693.4</v>
      </c>
      <c r="AI133"/>
    </row>
    <row r="134" spans="1:35" x14ac:dyDescent="0.25">
      <c r="A134" s="574" t="s">
        <v>2219</v>
      </c>
      <c r="B134" s="574" t="s">
        <v>2220</v>
      </c>
      <c r="C134" s="574" t="s">
        <v>2221</v>
      </c>
      <c r="D134" s="574" t="s">
        <v>2220</v>
      </c>
      <c r="E134" s="574" t="s">
        <v>2222</v>
      </c>
      <c r="F134" s="574" t="s">
        <v>2223</v>
      </c>
      <c r="G134" s="574" t="s">
        <v>2224</v>
      </c>
      <c r="H134" s="574" t="s">
        <v>2225</v>
      </c>
      <c r="I134" s="574" t="s">
        <v>2226</v>
      </c>
      <c r="J134" s="574" t="s">
        <v>2227</v>
      </c>
      <c r="K134" s="574" t="s">
        <v>2228</v>
      </c>
      <c r="L134" s="574" t="s">
        <v>2229</v>
      </c>
      <c r="M134" s="574" t="s">
        <v>2230</v>
      </c>
      <c r="N134" s="574" t="s">
        <v>2231</v>
      </c>
      <c r="O134" s="574" t="s">
        <v>2232</v>
      </c>
      <c r="P134" s="574" t="s">
        <v>2233</v>
      </c>
      <c r="Q134" s="574" t="s">
        <v>2234</v>
      </c>
      <c r="R134" s="574" t="s">
        <v>2225</v>
      </c>
      <c r="S134" s="574" t="s">
        <v>2235</v>
      </c>
      <c r="T134" s="574" t="s">
        <v>2236</v>
      </c>
      <c r="U134" s="574" t="s">
        <v>2497</v>
      </c>
      <c r="V134" s="574" t="s">
        <v>2238</v>
      </c>
      <c r="W134" s="574" t="s">
        <v>2239</v>
      </c>
      <c r="X134" s="574" t="s">
        <v>2498</v>
      </c>
      <c r="Y134" s="575" t="s">
        <v>2496</v>
      </c>
      <c r="Z134" s="575" t="s">
        <v>2496</v>
      </c>
      <c r="AA134" s="574" t="s">
        <v>1693</v>
      </c>
      <c r="AB134" s="574" t="s">
        <v>2319</v>
      </c>
      <c r="AC134" s="574" t="s">
        <v>2320</v>
      </c>
      <c r="AD134" s="574" t="s">
        <v>2321</v>
      </c>
      <c r="AE134" s="574" t="s">
        <v>1446</v>
      </c>
      <c r="AF134" s="574" t="s">
        <v>2321</v>
      </c>
      <c r="AG134" s="576">
        <v>0</v>
      </c>
      <c r="AH134" s="576">
        <v>180600</v>
      </c>
      <c r="AI134"/>
    </row>
    <row r="135" spans="1:35" x14ac:dyDescent="0.25">
      <c r="A135" s="574" t="s">
        <v>2219</v>
      </c>
      <c r="B135" s="574" t="s">
        <v>2220</v>
      </c>
      <c r="C135" s="574" t="s">
        <v>2221</v>
      </c>
      <c r="D135" s="574" t="s">
        <v>2220</v>
      </c>
      <c r="E135" s="574" t="s">
        <v>2222</v>
      </c>
      <c r="F135" s="574" t="s">
        <v>2223</v>
      </c>
      <c r="G135" s="574" t="s">
        <v>2224</v>
      </c>
      <c r="H135" s="574" t="s">
        <v>2225</v>
      </c>
      <c r="I135" s="574" t="s">
        <v>2226</v>
      </c>
      <c r="J135" s="574" t="s">
        <v>2227</v>
      </c>
      <c r="K135" s="574" t="s">
        <v>2228</v>
      </c>
      <c r="L135" s="574" t="s">
        <v>2229</v>
      </c>
      <c r="M135" s="574" t="s">
        <v>2230</v>
      </c>
      <c r="N135" s="574" t="s">
        <v>2231</v>
      </c>
      <c r="O135" s="574" t="s">
        <v>2232</v>
      </c>
      <c r="P135" s="574" t="s">
        <v>2233</v>
      </c>
      <c r="Q135" s="574" t="s">
        <v>2234</v>
      </c>
      <c r="R135" s="574" t="s">
        <v>2225</v>
      </c>
      <c r="S135" s="574" t="s">
        <v>2235</v>
      </c>
      <c r="T135" s="574" t="s">
        <v>2236</v>
      </c>
      <c r="U135" s="574" t="s">
        <v>2499</v>
      </c>
      <c r="V135" s="574" t="s">
        <v>2238</v>
      </c>
      <c r="W135" s="574" t="s">
        <v>2239</v>
      </c>
      <c r="X135" s="574" t="s">
        <v>2500</v>
      </c>
      <c r="Y135" s="575" t="s">
        <v>2501</v>
      </c>
      <c r="Z135" s="575" t="s">
        <v>2501</v>
      </c>
      <c r="AA135" s="574" t="s">
        <v>1695</v>
      </c>
      <c r="AB135" s="574" t="s">
        <v>2337</v>
      </c>
      <c r="AC135" s="574" t="s">
        <v>2338</v>
      </c>
      <c r="AD135" s="574" t="s">
        <v>2339</v>
      </c>
      <c r="AE135" s="574" t="s">
        <v>1436</v>
      </c>
      <c r="AF135" s="574" t="s">
        <v>2339</v>
      </c>
      <c r="AG135" s="576">
        <v>0</v>
      </c>
      <c r="AH135" s="576">
        <v>32544.400000000001</v>
      </c>
      <c r="AI135"/>
    </row>
    <row r="136" spans="1:35" x14ac:dyDescent="0.25">
      <c r="A136" s="574" t="s">
        <v>2219</v>
      </c>
      <c r="B136" s="574" t="s">
        <v>2220</v>
      </c>
      <c r="C136" s="574" t="s">
        <v>2221</v>
      </c>
      <c r="D136" s="574" t="s">
        <v>2220</v>
      </c>
      <c r="E136" s="574" t="s">
        <v>2222</v>
      </c>
      <c r="F136" s="574" t="s">
        <v>2223</v>
      </c>
      <c r="G136" s="574" t="s">
        <v>2224</v>
      </c>
      <c r="H136" s="574" t="s">
        <v>2225</v>
      </c>
      <c r="I136" s="574" t="s">
        <v>2226</v>
      </c>
      <c r="J136" s="574" t="s">
        <v>2227</v>
      </c>
      <c r="K136" s="574" t="s">
        <v>2228</v>
      </c>
      <c r="L136" s="574" t="s">
        <v>2229</v>
      </c>
      <c r="M136" s="574" t="s">
        <v>2230</v>
      </c>
      <c r="N136" s="574" t="s">
        <v>2231</v>
      </c>
      <c r="O136" s="574" t="s">
        <v>2232</v>
      </c>
      <c r="P136" s="574" t="s">
        <v>2233</v>
      </c>
      <c r="Q136" s="574" t="s">
        <v>2234</v>
      </c>
      <c r="R136" s="574" t="s">
        <v>2225</v>
      </c>
      <c r="S136" s="574" t="s">
        <v>2235</v>
      </c>
      <c r="T136" s="574" t="s">
        <v>2236</v>
      </c>
      <c r="U136" s="574" t="s">
        <v>2502</v>
      </c>
      <c r="V136" s="574" t="s">
        <v>2238</v>
      </c>
      <c r="W136" s="574" t="s">
        <v>2239</v>
      </c>
      <c r="X136" s="574" t="s">
        <v>2503</v>
      </c>
      <c r="Y136" s="575" t="s">
        <v>2504</v>
      </c>
      <c r="Z136" s="575" t="s">
        <v>2504</v>
      </c>
      <c r="AA136" s="574" t="s">
        <v>1695</v>
      </c>
      <c r="AB136" s="574" t="s">
        <v>2337</v>
      </c>
      <c r="AC136" s="574" t="s">
        <v>2338</v>
      </c>
      <c r="AD136" s="574" t="s">
        <v>2339</v>
      </c>
      <c r="AE136" s="574" t="s">
        <v>1436</v>
      </c>
      <c r="AF136" s="574" t="s">
        <v>2339</v>
      </c>
      <c r="AG136" s="576">
        <v>0</v>
      </c>
      <c r="AH136" s="576">
        <v>929250</v>
      </c>
      <c r="AI136"/>
    </row>
    <row r="137" spans="1:35" x14ac:dyDescent="0.25">
      <c r="A137" s="574" t="s">
        <v>2219</v>
      </c>
      <c r="B137" s="574" t="s">
        <v>2220</v>
      </c>
      <c r="C137" s="574" t="s">
        <v>2221</v>
      </c>
      <c r="D137" s="574" t="s">
        <v>2220</v>
      </c>
      <c r="E137" s="574" t="s">
        <v>2222</v>
      </c>
      <c r="F137" s="574" t="s">
        <v>2223</v>
      </c>
      <c r="G137" s="574" t="s">
        <v>2224</v>
      </c>
      <c r="H137" s="574" t="s">
        <v>2225</v>
      </c>
      <c r="I137" s="574" t="s">
        <v>2226</v>
      </c>
      <c r="J137" s="574" t="s">
        <v>2227</v>
      </c>
      <c r="K137" s="574" t="s">
        <v>2228</v>
      </c>
      <c r="L137" s="574" t="s">
        <v>2229</v>
      </c>
      <c r="M137" s="574" t="s">
        <v>2230</v>
      </c>
      <c r="N137" s="574" t="s">
        <v>2231</v>
      </c>
      <c r="O137" s="574" t="s">
        <v>2232</v>
      </c>
      <c r="P137" s="574" t="s">
        <v>2233</v>
      </c>
      <c r="Q137" s="574" t="s">
        <v>2234</v>
      </c>
      <c r="R137" s="574" t="s">
        <v>2225</v>
      </c>
      <c r="S137" s="574" t="s">
        <v>2235</v>
      </c>
      <c r="T137" s="574" t="s">
        <v>2236</v>
      </c>
      <c r="U137" s="574" t="s">
        <v>2505</v>
      </c>
      <c r="V137" s="574" t="s">
        <v>2238</v>
      </c>
      <c r="W137" s="574" t="s">
        <v>2239</v>
      </c>
      <c r="X137" s="574" t="s">
        <v>2506</v>
      </c>
      <c r="Y137" s="575" t="s">
        <v>2507</v>
      </c>
      <c r="Z137" s="575" t="s">
        <v>2507</v>
      </c>
      <c r="AA137" s="574" t="s">
        <v>1695</v>
      </c>
      <c r="AB137" s="574" t="s">
        <v>2337</v>
      </c>
      <c r="AC137" s="574" t="s">
        <v>2338</v>
      </c>
      <c r="AD137" s="574" t="s">
        <v>2339</v>
      </c>
      <c r="AE137" s="574" t="s">
        <v>1436</v>
      </c>
      <c r="AF137" s="574" t="s">
        <v>2339</v>
      </c>
      <c r="AG137" s="576">
        <v>0</v>
      </c>
      <c r="AH137" s="576">
        <v>371700</v>
      </c>
      <c r="AI137"/>
    </row>
    <row r="138" spans="1:35" x14ac:dyDescent="0.25">
      <c r="A138" s="574" t="s">
        <v>2219</v>
      </c>
      <c r="B138" s="574" t="s">
        <v>2220</v>
      </c>
      <c r="C138" s="574" t="s">
        <v>2221</v>
      </c>
      <c r="D138" s="574" t="s">
        <v>2220</v>
      </c>
      <c r="E138" s="574" t="s">
        <v>2222</v>
      </c>
      <c r="F138" s="574" t="s">
        <v>2223</v>
      </c>
      <c r="G138" s="574" t="s">
        <v>2224</v>
      </c>
      <c r="H138" s="574" t="s">
        <v>2225</v>
      </c>
      <c r="I138" s="574" t="s">
        <v>2226</v>
      </c>
      <c r="J138" s="574" t="s">
        <v>2227</v>
      </c>
      <c r="K138" s="574" t="s">
        <v>2228</v>
      </c>
      <c r="L138" s="574" t="s">
        <v>2229</v>
      </c>
      <c r="M138" s="574" t="s">
        <v>2230</v>
      </c>
      <c r="N138" s="574" t="s">
        <v>2231</v>
      </c>
      <c r="O138" s="574" t="s">
        <v>2232</v>
      </c>
      <c r="P138" s="574" t="s">
        <v>2233</v>
      </c>
      <c r="Q138" s="574" t="s">
        <v>2234</v>
      </c>
      <c r="R138" s="574" t="s">
        <v>2225</v>
      </c>
      <c r="S138" s="574" t="s">
        <v>2235</v>
      </c>
      <c r="T138" s="574" t="s">
        <v>2236</v>
      </c>
      <c r="U138" s="574" t="s">
        <v>2508</v>
      </c>
      <c r="V138" s="574" t="s">
        <v>2238</v>
      </c>
      <c r="W138" s="574" t="s">
        <v>2239</v>
      </c>
      <c r="X138" s="574" t="s">
        <v>2509</v>
      </c>
      <c r="Y138" s="575" t="s">
        <v>2507</v>
      </c>
      <c r="Z138" s="575" t="s">
        <v>2507</v>
      </c>
      <c r="AA138" s="574" t="s">
        <v>1694</v>
      </c>
      <c r="AB138" s="574" t="s">
        <v>2314</v>
      </c>
      <c r="AC138" s="574" t="s">
        <v>2418</v>
      </c>
      <c r="AD138" s="574" t="s">
        <v>2419</v>
      </c>
      <c r="AE138" s="574" t="s">
        <v>2420</v>
      </c>
      <c r="AF138" s="574" t="s">
        <v>2421</v>
      </c>
      <c r="AG138" s="576">
        <v>0</v>
      </c>
      <c r="AH138" s="576">
        <v>182267.51999999999</v>
      </c>
      <c r="AI138"/>
    </row>
    <row r="139" spans="1:35" x14ac:dyDescent="0.25">
      <c r="A139" s="574" t="s">
        <v>2219</v>
      </c>
      <c r="B139" s="574" t="s">
        <v>2220</v>
      </c>
      <c r="C139" s="574" t="s">
        <v>2221</v>
      </c>
      <c r="D139" s="574" t="s">
        <v>2220</v>
      </c>
      <c r="E139" s="574" t="s">
        <v>2222</v>
      </c>
      <c r="F139" s="574" t="s">
        <v>2223</v>
      </c>
      <c r="G139" s="574" t="s">
        <v>2224</v>
      </c>
      <c r="H139" s="574" t="s">
        <v>2225</v>
      </c>
      <c r="I139" s="574" t="s">
        <v>2226</v>
      </c>
      <c r="J139" s="574" t="s">
        <v>2227</v>
      </c>
      <c r="K139" s="574" t="s">
        <v>2228</v>
      </c>
      <c r="L139" s="574" t="s">
        <v>2229</v>
      </c>
      <c r="M139" s="574" t="s">
        <v>2230</v>
      </c>
      <c r="N139" s="574" t="s">
        <v>2231</v>
      </c>
      <c r="O139" s="574" t="s">
        <v>2232</v>
      </c>
      <c r="P139" s="574" t="s">
        <v>2233</v>
      </c>
      <c r="Q139" s="574" t="s">
        <v>2234</v>
      </c>
      <c r="R139" s="574" t="s">
        <v>2225</v>
      </c>
      <c r="S139" s="574" t="s">
        <v>2235</v>
      </c>
      <c r="T139" s="574" t="s">
        <v>2236</v>
      </c>
      <c r="U139" s="574" t="s">
        <v>2510</v>
      </c>
      <c r="V139" s="574" t="s">
        <v>2238</v>
      </c>
      <c r="W139" s="574" t="s">
        <v>2239</v>
      </c>
      <c r="X139" s="574" t="s">
        <v>2511</v>
      </c>
      <c r="Y139" s="575" t="s">
        <v>2512</v>
      </c>
      <c r="Z139" s="575" t="s">
        <v>2512</v>
      </c>
      <c r="AA139" s="574" t="s">
        <v>2242</v>
      </c>
      <c r="AB139" s="574" t="s">
        <v>2243</v>
      </c>
      <c r="AC139" s="574" t="s">
        <v>2271</v>
      </c>
      <c r="AD139" s="574" t="s">
        <v>181</v>
      </c>
      <c r="AE139" s="574" t="s">
        <v>2272</v>
      </c>
      <c r="AF139" s="574" t="s">
        <v>2273</v>
      </c>
      <c r="AG139" s="576">
        <v>0</v>
      </c>
      <c r="AH139" s="576">
        <v>732074.29</v>
      </c>
    </row>
    <row r="140" spans="1:35" x14ac:dyDescent="0.25">
      <c r="A140" s="574" t="s">
        <v>2219</v>
      </c>
      <c r="B140" s="574" t="s">
        <v>2220</v>
      </c>
      <c r="C140" s="574" t="s">
        <v>2221</v>
      </c>
      <c r="D140" s="574" t="s">
        <v>2220</v>
      </c>
      <c r="E140" s="574" t="s">
        <v>2222</v>
      </c>
      <c r="F140" s="574" t="s">
        <v>2223</v>
      </c>
      <c r="G140" s="574" t="s">
        <v>2224</v>
      </c>
      <c r="H140" s="574" t="s">
        <v>2225</v>
      </c>
      <c r="I140" s="574" t="s">
        <v>2226</v>
      </c>
      <c r="J140" s="574" t="s">
        <v>2227</v>
      </c>
      <c r="K140" s="574" t="s">
        <v>2228</v>
      </c>
      <c r="L140" s="574" t="s">
        <v>2229</v>
      </c>
      <c r="M140" s="574" t="s">
        <v>2230</v>
      </c>
      <c r="N140" s="574" t="s">
        <v>2231</v>
      </c>
      <c r="O140" s="574" t="s">
        <v>2232</v>
      </c>
      <c r="P140" s="574" t="s">
        <v>2233</v>
      </c>
      <c r="Q140" s="574" t="s">
        <v>2234</v>
      </c>
      <c r="R140" s="574" t="s">
        <v>2225</v>
      </c>
      <c r="S140" s="574" t="s">
        <v>2235</v>
      </c>
      <c r="T140" s="574" t="s">
        <v>2236</v>
      </c>
      <c r="U140" s="574" t="s">
        <v>2510</v>
      </c>
      <c r="V140" s="574" t="s">
        <v>2238</v>
      </c>
      <c r="W140" s="574" t="s">
        <v>2239</v>
      </c>
      <c r="X140" s="574" t="s">
        <v>2511</v>
      </c>
      <c r="Y140" s="575" t="s">
        <v>2512</v>
      </c>
      <c r="Z140" s="575" t="s">
        <v>2512</v>
      </c>
      <c r="AA140" s="574" t="s">
        <v>2261</v>
      </c>
      <c r="AB140" s="574" t="s">
        <v>2262</v>
      </c>
      <c r="AC140" s="574" t="s">
        <v>2263</v>
      </c>
      <c r="AD140" s="574" t="s">
        <v>95</v>
      </c>
      <c r="AE140" s="574" t="s">
        <v>2264</v>
      </c>
      <c r="AF140" s="574" t="s">
        <v>95</v>
      </c>
      <c r="AG140" s="576">
        <v>0</v>
      </c>
      <c r="AH140" s="576">
        <v>51904.07</v>
      </c>
    </row>
    <row r="141" spans="1:35" x14ac:dyDescent="0.25">
      <c r="A141" s="574" t="s">
        <v>2219</v>
      </c>
      <c r="B141" s="574" t="s">
        <v>2220</v>
      </c>
      <c r="C141" s="574" t="s">
        <v>2221</v>
      </c>
      <c r="D141" s="574" t="s">
        <v>2220</v>
      </c>
      <c r="E141" s="574" t="s">
        <v>2222</v>
      </c>
      <c r="F141" s="574" t="s">
        <v>2223</v>
      </c>
      <c r="G141" s="574" t="s">
        <v>2224</v>
      </c>
      <c r="H141" s="574" t="s">
        <v>2225</v>
      </c>
      <c r="I141" s="574" t="s">
        <v>2226</v>
      </c>
      <c r="J141" s="574" t="s">
        <v>2227</v>
      </c>
      <c r="K141" s="574" t="s">
        <v>2228</v>
      </c>
      <c r="L141" s="574" t="s">
        <v>2229</v>
      </c>
      <c r="M141" s="574" t="s">
        <v>2230</v>
      </c>
      <c r="N141" s="574" t="s">
        <v>2231</v>
      </c>
      <c r="O141" s="574" t="s">
        <v>2232</v>
      </c>
      <c r="P141" s="574" t="s">
        <v>2233</v>
      </c>
      <c r="Q141" s="574" t="s">
        <v>2234</v>
      </c>
      <c r="R141" s="574" t="s">
        <v>2225</v>
      </c>
      <c r="S141" s="574" t="s">
        <v>2235</v>
      </c>
      <c r="T141" s="574" t="s">
        <v>2236</v>
      </c>
      <c r="U141" s="574" t="s">
        <v>2510</v>
      </c>
      <c r="V141" s="574" t="s">
        <v>2238</v>
      </c>
      <c r="W141" s="574" t="s">
        <v>2239</v>
      </c>
      <c r="X141" s="574" t="s">
        <v>2511</v>
      </c>
      <c r="Y141" s="575" t="s">
        <v>2512</v>
      </c>
      <c r="Z141" s="575" t="s">
        <v>2512</v>
      </c>
      <c r="AA141" s="574" t="s">
        <v>2261</v>
      </c>
      <c r="AB141" s="574" t="s">
        <v>2262</v>
      </c>
      <c r="AC141" s="574" t="s">
        <v>2265</v>
      </c>
      <c r="AD141" s="574" t="s">
        <v>96</v>
      </c>
      <c r="AE141" s="574" t="s">
        <v>2266</v>
      </c>
      <c r="AF141" s="574" t="s">
        <v>96</v>
      </c>
      <c r="AG141" s="576">
        <v>0</v>
      </c>
      <c r="AH141" s="576">
        <v>51977.27</v>
      </c>
    </row>
    <row r="142" spans="1:35" x14ac:dyDescent="0.25">
      <c r="A142" s="574" t="s">
        <v>2219</v>
      </c>
      <c r="B142" s="574" t="s">
        <v>2220</v>
      </c>
      <c r="C142" s="574" t="s">
        <v>2221</v>
      </c>
      <c r="D142" s="574" t="s">
        <v>2220</v>
      </c>
      <c r="E142" s="574" t="s">
        <v>2222</v>
      </c>
      <c r="F142" s="574" t="s">
        <v>2223</v>
      </c>
      <c r="G142" s="574" t="s">
        <v>2224</v>
      </c>
      <c r="H142" s="574" t="s">
        <v>2225</v>
      </c>
      <c r="I142" s="574" t="s">
        <v>2226</v>
      </c>
      <c r="J142" s="574" t="s">
        <v>2227</v>
      </c>
      <c r="K142" s="574" t="s">
        <v>2228</v>
      </c>
      <c r="L142" s="574" t="s">
        <v>2229</v>
      </c>
      <c r="M142" s="574" t="s">
        <v>2230</v>
      </c>
      <c r="N142" s="574" t="s">
        <v>2231</v>
      </c>
      <c r="O142" s="574" t="s">
        <v>2232</v>
      </c>
      <c r="P142" s="574" t="s">
        <v>2233</v>
      </c>
      <c r="Q142" s="574" t="s">
        <v>2234</v>
      </c>
      <c r="R142" s="574" t="s">
        <v>2225</v>
      </c>
      <c r="S142" s="574" t="s">
        <v>2235</v>
      </c>
      <c r="T142" s="574" t="s">
        <v>2236</v>
      </c>
      <c r="U142" s="574" t="s">
        <v>2510</v>
      </c>
      <c r="V142" s="574" t="s">
        <v>2238</v>
      </c>
      <c r="W142" s="574" t="s">
        <v>2239</v>
      </c>
      <c r="X142" s="574" t="s">
        <v>2511</v>
      </c>
      <c r="Y142" s="575" t="s">
        <v>2512</v>
      </c>
      <c r="Z142" s="575" t="s">
        <v>2512</v>
      </c>
      <c r="AA142" s="574" t="s">
        <v>2261</v>
      </c>
      <c r="AB142" s="574" t="s">
        <v>2262</v>
      </c>
      <c r="AC142" s="574" t="s">
        <v>2267</v>
      </c>
      <c r="AD142" s="574" t="s">
        <v>97</v>
      </c>
      <c r="AE142" s="574" t="s">
        <v>2268</v>
      </c>
      <c r="AF142" s="574" t="s">
        <v>97</v>
      </c>
      <c r="AG142" s="576">
        <v>0</v>
      </c>
      <c r="AH142" s="576">
        <v>8693.81</v>
      </c>
    </row>
    <row r="143" spans="1:35" x14ac:dyDescent="0.25">
      <c r="A143" s="574" t="s">
        <v>2219</v>
      </c>
      <c r="B143" s="574" t="s">
        <v>2220</v>
      </c>
      <c r="C143" s="574" t="s">
        <v>2221</v>
      </c>
      <c r="D143" s="574" t="s">
        <v>2220</v>
      </c>
      <c r="E143" s="574" t="s">
        <v>2222</v>
      </c>
      <c r="F143" s="574" t="s">
        <v>2223</v>
      </c>
      <c r="G143" s="574" t="s">
        <v>2224</v>
      </c>
      <c r="H143" s="574" t="s">
        <v>2225</v>
      </c>
      <c r="I143" s="574" t="s">
        <v>2226</v>
      </c>
      <c r="J143" s="574" t="s">
        <v>2227</v>
      </c>
      <c r="K143" s="574" t="s">
        <v>2228</v>
      </c>
      <c r="L143" s="574" t="s">
        <v>2229</v>
      </c>
      <c r="M143" s="574" t="s">
        <v>2230</v>
      </c>
      <c r="N143" s="574" t="s">
        <v>2231</v>
      </c>
      <c r="O143" s="574" t="s">
        <v>2232</v>
      </c>
      <c r="P143" s="574" t="s">
        <v>2233</v>
      </c>
      <c r="Q143" s="574" t="s">
        <v>2234</v>
      </c>
      <c r="R143" s="574" t="s">
        <v>2225</v>
      </c>
      <c r="S143" s="574" t="s">
        <v>2235</v>
      </c>
      <c r="T143" s="574" t="s">
        <v>2236</v>
      </c>
      <c r="U143" s="574" t="s">
        <v>2513</v>
      </c>
      <c r="V143" s="574" t="s">
        <v>2238</v>
      </c>
      <c r="W143" s="574" t="s">
        <v>2239</v>
      </c>
      <c r="X143" s="574" t="s">
        <v>2514</v>
      </c>
      <c r="Y143" s="575" t="s">
        <v>2512</v>
      </c>
      <c r="Z143" s="575" t="s">
        <v>2512</v>
      </c>
      <c r="AA143" s="574" t="s">
        <v>2242</v>
      </c>
      <c r="AB143" s="574" t="s">
        <v>2243</v>
      </c>
      <c r="AC143" s="574" t="s">
        <v>2244</v>
      </c>
      <c r="AD143" s="574" t="s">
        <v>2245</v>
      </c>
      <c r="AE143" s="574" t="s">
        <v>2246</v>
      </c>
      <c r="AF143" s="574" t="s">
        <v>2247</v>
      </c>
      <c r="AG143" s="576">
        <v>0</v>
      </c>
      <c r="AH143" s="576">
        <v>47606610.130000003</v>
      </c>
    </row>
    <row r="144" spans="1:35" x14ac:dyDescent="0.25">
      <c r="A144" s="574" t="s">
        <v>2219</v>
      </c>
      <c r="B144" s="574" t="s">
        <v>2220</v>
      </c>
      <c r="C144" s="574" t="s">
        <v>2221</v>
      </c>
      <c r="D144" s="574" t="s">
        <v>2220</v>
      </c>
      <c r="E144" s="574" t="s">
        <v>2222</v>
      </c>
      <c r="F144" s="574" t="s">
        <v>2223</v>
      </c>
      <c r="G144" s="574" t="s">
        <v>2224</v>
      </c>
      <c r="H144" s="574" t="s">
        <v>2225</v>
      </c>
      <c r="I144" s="574" t="s">
        <v>2226</v>
      </c>
      <c r="J144" s="574" t="s">
        <v>2227</v>
      </c>
      <c r="K144" s="574" t="s">
        <v>2228</v>
      </c>
      <c r="L144" s="574" t="s">
        <v>2229</v>
      </c>
      <c r="M144" s="574" t="s">
        <v>2230</v>
      </c>
      <c r="N144" s="574" t="s">
        <v>2231</v>
      </c>
      <c r="O144" s="574" t="s">
        <v>2232</v>
      </c>
      <c r="P144" s="574" t="s">
        <v>2233</v>
      </c>
      <c r="Q144" s="574" t="s">
        <v>2234</v>
      </c>
      <c r="R144" s="574" t="s">
        <v>2225</v>
      </c>
      <c r="S144" s="574" t="s">
        <v>2235</v>
      </c>
      <c r="T144" s="574" t="s">
        <v>2236</v>
      </c>
      <c r="U144" s="574" t="s">
        <v>2513</v>
      </c>
      <c r="V144" s="574" t="s">
        <v>2238</v>
      </c>
      <c r="W144" s="574" t="s">
        <v>2239</v>
      </c>
      <c r="X144" s="574" t="s">
        <v>2514</v>
      </c>
      <c r="Y144" s="575" t="s">
        <v>2512</v>
      </c>
      <c r="Z144" s="575" t="s">
        <v>2512</v>
      </c>
      <c r="AA144" s="574" t="s">
        <v>2248</v>
      </c>
      <c r="AB144" s="574" t="s">
        <v>2249</v>
      </c>
      <c r="AC144" s="574" t="s">
        <v>2250</v>
      </c>
      <c r="AD144" s="574" t="s">
        <v>2251</v>
      </c>
      <c r="AE144" s="574" t="s">
        <v>2252</v>
      </c>
      <c r="AF144" s="574" t="s">
        <v>2251</v>
      </c>
      <c r="AG144" s="576">
        <v>0</v>
      </c>
      <c r="AH144" s="576">
        <v>2391782.42</v>
      </c>
    </row>
    <row r="145" spans="1:35" x14ac:dyDescent="0.25">
      <c r="A145" s="574" t="s">
        <v>2219</v>
      </c>
      <c r="B145" s="574" t="s">
        <v>2220</v>
      </c>
      <c r="C145" s="574" t="s">
        <v>2221</v>
      </c>
      <c r="D145" s="574" t="s">
        <v>2220</v>
      </c>
      <c r="E145" s="574" t="s">
        <v>2222</v>
      </c>
      <c r="F145" s="574" t="s">
        <v>2223</v>
      </c>
      <c r="G145" s="574" t="s">
        <v>2224</v>
      </c>
      <c r="H145" s="574" t="s">
        <v>2225</v>
      </c>
      <c r="I145" s="574" t="s">
        <v>2226</v>
      </c>
      <c r="J145" s="574" t="s">
        <v>2227</v>
      </c>
      <c r="K145" s="574" t="s">
        <v>2228</v>
      </c>
      <c r="L145" s="574" t="s">
        <v>2229</v>
      </c>
      <c r="M145" s="574" t="s">
        <v>2230</v>
      </c>
      <c r="N145" s="574" t="s">
        <v>2231</v>
      </c>
      <c r="O145" s="574" t="s">
        <v>2232</v>
      </c>
      <c r="P145" s="574" t="s">
        <v>2233</v>
      </c>
      <c r="Q145" s="574" t="s">
        <v>2234</v>
      </c>
      <c r="R145" s="574" t="s">
        <v>2225</v>
      </c>
      <c r="S145" s="574" t="s">
        <v>2235</v>
      </c>
      <c r="T145" s="574" t="s">
        <v>2236</v>
      </c>
      <c r="U145" s="574" t="s">
        <v>2513</v>
      </c>
      <c r="V145" s="574" t="s">
        <v>2238</v>
      </c>
      <c r="W145" s="574" t="s">
        <v>2239</v>
      </c>
      <c r="X145" s="574" t="s">
        <v>2514</v>
      </c>
      <c r="Y145" s="575" t="s">
        <v>2512</v>
      </c>
      <c r="Z145" s="575" t="s">
        <v>2512</v>
      </c>
      <c r="AA145" s="574" t="s">
        <v>2248</v>
      </c>
      <c r="AB145" s="574" t="s">
        <v>2249</v>
      </c>
      <c r="AC145" s="574" t="s">
        <v>2253</v>
      </c>
      <c r="AD145" s="574" t="s">
        <v>2254</v>
      </c>
      <c r="AE145" s="574" t="s">
        <v>2255</v>
      </c>
      <c r="AF145" s="574" t="s">
        <v>2256</v>
      </c>
      <c r="AG145" s="576">
        <v>0</v>
      </c>
      <c r="AH145" s="576">
        <v>266200</v>
      </c>
    </row>
    <row r="146" spans="1:35" x14ac:dyDescent="0.25">
      <c r="A146" s="574" t="s">
        <v>2219</v>
      </c>
      <c r="B146" s="574" t="s">
        <v>2220</v>
      </c>
      <c r="C146" s="574" t="s">
        <v>2221</v>
      </c>
      <c r="D146" s="574" t="s">
        <v>2220</v>
      </c>
      <c r="E146" s="574" t="s">
        <v>2222</v>
      </c>
      <c r="F146" s="574" t="s">
        <v>2223</v>
      </c>
      <c r="G146" s="574" t="s">
        <v>2224</v>
      </c>
      <c r="H146" s="574" t="s">
        <v>2225</v>
      </c>
      <c r="I146" s="574" t="s">
        <v>2226</v>
      </c>
      <c r="J146" s="574" t="s">
        <v>2227</v>
      </c>
      <c r="K146" s="574" t="s">
        <v>2228</v>
      </c>
      <c r="L146" s="574" t="s">
        <v>2229</v>
      </c>
      <c r="M146" s="574" t="s">
        <v>2230</v>
      </c>
      <c r="N146" s="574" t="s">
        <v>2231</v>
      </c>
      <c r="O146" s="574" t="s">
        <v>2232</v>
      </c>
      <c r="P146" s="574" t="s">
        <v>2233</v>
      </c>
      <c r="Q146" s="574" t="s">
        <v>2234</v>
      </c>
      <c r="R146" s="574" t="s">
        <v>2225</v>
      </c>
      <c r="S146" s="574" t="s">
        <v>2235</v>
      </c>
      <c r="T146" s="574" t="s">
        <v>2236</v>
      </c>
      <c r="U146" s="574" t="s">
        <v>2513</v>
      </c>
      <c r="V146" s="574" t="s">
        <v>2238</v>
      </c>
      <c r="W146" s="574" t="s">
        <v>2239</v>
      </c>
      <c r="X146" s="574" t="s">
        <v>2514</v>
      </c>
      <c r="Y146" s="575" t="s">
        <v>2512</v>
      </c>
      <c r="Z146" s="575" t="s">
        <v>2512</v>
      </c>
      <c r="AA146" s="574" t="s">
        <v>2248</v>
      </c>
      <c r="AB146" s="574" t="s">
        <v>2249</v>
      </c>
      <c r="AC146" s="574" t="s">
        <v>2253</v>
      </c>
      <c r="AD146" s="574" t="s">
        <v>2254</v>
      </c>
      <c r="AE146" s="574" t="s">
        <v>2257</v>
      </c>
      <c r="AF146" s="574" t="s">
        <v>2258</v>
      </c>
      <c r="AG146" s="576">
        <v>0</v>
      </c>
      <c r="AH146" s="576">
        <v>10717.4</v>
      </c>
    </row>
    <row r="147" spans="1:35" x14ac:dyDescent="0.25">
      <c r="A147" s="574" t="s">
        <v>2219</v>
      </c>
      <c r="B147" s="574" t="s">
        <v>2220</v>
      </c>
      <c r="C147" s="574" t="s">
        <v>2221</v>
      </c>
      <c r="D147" s="574" t="s">
        <v>2220</v>
      </c>
      <c r="E147" s="574" t="s">
        <v>2222</v>
      </c>
      <c r="F147" s="574" t="s">
        <v>2223</v>
      </c>
      <c r="G147" s="574" t="s">
        <v>2224</v>
      </c>
      <c r="H147" s="574" t="s">
        <v>2225</v>
      </c>
      <c r="I147" s="574" t="s">
        <v>2226</v>
      </c>
      <c r="J147" s="574" t="s">
        <v>2227</v>
      </c>
      <c r="K147" s="574" t="s">
        <v>2228</v>
      </c>
      <c r="L147" s="574" t="s">
        <v>2229</v>
      </c>
      <c r="M147" s="574" t="s">
        <v>2230</v>
      </c>
      <c r="N147" s="574" t="s">
        <v>2231</v>
      </c>
      <c r="O147" s="574" t="s">
        <v>2232</v>
      </c>
      <c r="P147" s="574" t="s">
        <v>2233</v>
      </c>
      <c r="Q147" s="574" t="s">
        <v>2234</v>
      </c>
      <c r="R147" s="574" t="s">
        <v>2225</v>
      </c>
      <c r="S147" s="574" t="s">
        <v>2235</v>
      </c>
      <c r="T147" s="574" t="s">
        <v>2236</v>
      </c>
      <c r="U147" s="574" t="s">
        <v>2513</v>
      </c>
      <c r="V147" s="574" t="s">
        <v>2238</v>
      </c>
      <c r="W147" s="574" t="s">
        <v>2239</v>
      </c>
      <c r="X147" s="574" t="s">
        <v>2514</v>
      </c>
      <c r="Y147" s="575" t="s">
        <v>2512</v>
      </c>
      <c r="Z147" s="575" t="s">
        <v>2512</v>
      </c>
      <c r="AA147" s="574" t="s">
        <v>2248</v>
      </c>
      <c r="AB147" s="574" t="s">
        <v>2249</v>
      </c>
      <c r="AC147" s="574" t="s">
        <v>2253</v>
      </c>
      <c r="AD147" s="574" t="s">
        <v>2254</v>
      </c>
      <c r="AE147" s="574" t="s">
        <v>2259</v>
      </c>
      <c r="AF147" s="574" t="s">
        <v>2260</v>
      </c>
      <c r="AG147" s="576">
        <v>0</v>
      </c>
      <c r="AH147" s="576">
        <v>58945.7</v>
      </c>
    </row>
    <row r="148" spans="1:35" x14ac:dyDescent="0.25">
      <c r="A148" s="574" t="s">
        <v>2219</v>
      </c>
      <c r="B148" s="574" t="s">
        <v>2220</v>
      </c>
      <c r="C148" s="574" t="s">
        <v>2221</v>
      </c>
      <c r="D148" s="574" t="s">
        <v>2220</v>
      </c>
      <c r="E148" s="574" t="s">
        <v>2222</v>
      </c>
      <c r="F148" s="574" t="s">
        <v>2223</v>
      </c>
      <c r="G148" s="574" t="s">
        <v>2224</v>
      </c>
      <c r="H148" s="574" t="s">
        <v>2225</v>
      </c>
      <c r="I148" s="574" t="s">
        <v>2226</v>
      </c>
      <c r="J148" s="574" t="s">
        <v>2227</v>
      </c>
      <c r="K148" s="574" t="s">
        <v>2228</v>
      </c>
      <c r="L148" s="574" t="s">
        <v>2229</v>
      </c>
      <c r="M148" s="574" t="s">
        <v>2230</v>
      </c>
      <c r="N148" s="574" t="s">
        <v>2231</v>
      </c>
      <c r="O148" s="574" t="s">
        <v>2232</v>
      </c>
      <c r="P148" s="574" t="s">
        <v>2233</v>
      </c>
      <c r="Q148" s="574" t="s">
        <v>2234</v>
      </c>
      <c r="R148" s="574" t="s">
        <v>2225</v>
      </c>
      <c r="S148" s="574" t="s">
        <v>2235</v>
      </c>
      <c r="T148" s="574" t="s">
        <v>2236</v>
      </c>
      <c r="U148" s="574" t="s">
        <v>2513</v>
      </c>
      <c r="V148" s="574" t="s">
        <v>2238</v>
      </c>
      <c r="W148" s="574" t="s">
        <v>2239</v>
      </c>
      <c r="X148" s="574" t="s">
        <v>2514</v>
      </c>
      <c r="Y148" s="575" t="s">
        <v>2512</v>
      </c>
      <c r="Z148" s="575" t="s">
        <v>2512</v>
      </c>
      <c r="AA148" s="574" t="s">
        <v>2261</v>
      </c>
      <c r="AB148" s="574" t="s">
        <v>2262</v>
      </c>
      <c r="AC148" s="574" t="s">
        <v>2263</v>
      </c>
      <c r="AD148" s="574" t="s">
        <v>95</v>
      </c>
      <c r="AE148" s="574" t="s">
        <v>2264</v>
      </c>
      <c r="AF148" s="574" t="s">
        <v>95</v>
      </c>
      <c r="AG148" s="576">
        <v>0</v>
      </c>
      <c r="AH148" s="576">
        <v>3375307.68</v>
      </c>
    </row>
    <row r="149" spans="1:35" x14ac:dyDescent="0.25">
      <c r="A149" s="574" t="s">
        <v>2219</v>
      </c>
      <c r="B149" s="574" t="s">
        <v>2220</v>
      </c>
      <c r="C149" s="574" t="s">
        <v>2221</v>
      </c>
      <c r="D149" s="574" t="s">
        <v>2220</v>
      </c>
      <c r="E149" s="574" t="s">
        <v>2222</v>
      </c>
      <c r="F149" s="574" t="s">
        <v>2223</v>
      </c>
      <c r="G149" s="574" t="s">
        <v>2224</v>
      </c>
      <c r="H149" s="574" t="s">
        <v>2225</v>
      </c>
      <c r="I149" s="574" t="s">
        <v>2226</v>
      </c>
      <c r="J149" s="574" t="s">
        <v>2227</v>
      </c>
      <c r="K149" s="574" t="s">
        <v>2228</v>
      </c>
      <c r="L149" s="574" t="s">
        <v>2229</v>
      </c>
      <c r="M149" s="574" t="s">
        <v>2230</v>
      </c>
      <c r="N149" s="574" t="s">
        <v>2231</v>
      </c>
      <c r="O149" s="574" t="s">
        <v>2232</v>
      </c>
      <c r="P149" s="574" t="s">
        <v>2233</v>
      </c>
      <c r="Q149" s="574" t="s">
        <v>2234</v>
      </c>
      <c r="R149" s="574" t="s">
        <v>2225</v>
      </c>
      <c r="S149" s="574" t="s">
        <v>2235</v>
      </c>
      <c r="T149" s="574" t="s">
        <v>2236</v>
      </c>
      <c r="U149" s="574" t="s">
        <v>2513</v>
      </c>
      <c r="V149" s="574" t="s">
        <v>2238</v>
      </c>
      <c r="W149" s="574" t="s">
        <v>2239</v>
      </c>
      <c r="X149" s="574" t="s">
        <v>2514</v>
      </c>
      <c r="Y149" s="575" t="s">
        <v>2512</v>
      </c>
      <c r="Z149" s="575" t="s">
        <v>2512</v>
      </c>
      <c r="AA149" s="574" t="s">
        <v>2261</v>
      </c>
      <c r="AB149" s="574" t="s">
        <v>2262</v>
      </c>
      <c r="AC149" s="574" t="s">
        <v>2265</v>
      </c>
      <c r="AD149" s="574" t="s">
        <v>96</v>
      </c>
      <c r="AE149" s="574" t="s">
        <v>2266</v>
      </c>
      <c r="AF149" s="574" t="s">
        <v>96</v>
      </c>
      <c r="AG149" s="576">
        <v>0</v>
      </c>
      <c r="AH149" s="576">
        <v>3380068.77</v>
      </c>
    </row>
    <row r="150" spans="1:35" x14ac:dyDescent="0.25">
      <c r="A150" s="574" t="s">
        <v>2219</v>
      </c>
      <c r="B150" s="574" t="s">
        <v>2220</v>
      </c>
      <c r="C150" s="574" t="s">
        <v>2221</v>
      </c>
      <c r="D150" s="574" t="s">
        <v>2220</v>
      </c>
      <c r="E150" s="574" t="s">
        <v>2222</v>
      </c>
      <c r="F150" s="574" t="s">
        <v>2223</v>
      </c>
      <c r="G150" s="574" t="s">
        <v>2224</v>
      </c>
      <c r="H150" s="574" t="s">
        <v>2225</v>
      </c>
      <c r="I150" s="574" t="s">
        <v>2226</v>
      </c>
      <c r="J150" s="574" t="s">
        <v>2227</v>
      </c>
      <c r="K150" s="574" t="s">
        <v>2228</v>
      </c>
      <c r="L150" s="574" t="s">
        <v>2229</v>
      </c>
      <c r="M150" s="574" t="s">
        <v>2230</v>
      </c>
      <c r="N150" s="574" t="s">
        <v>2231</v>
      </c>
      <c r="O150" s="574" t="s">
        <v>2232</v>
      </c>
      <c r="P150" s="574" t="s">
        <v>2233</v>
      </c>
      <c r="Q150" s="574" t="s">
        <v>2234</v>
      </c>
      <c r="R150" s="574" t="s">
        <v>2225</v>
      </c>
      <c r="S150" s="574" t="s">
        <v>2235</v>
      </c>
      <c r="T150" s="574" t="s">
        <v>2236</v>
      </c>
      <c r="U150" s="574" t="s">
        <v>2513</v>
      </c>
      <c r="V150" s="574" t="s">
        <v>2238</v>
      </c>
      <c r="W150" s="574" t="s">
        <v>2239</v>
      </c>
      <c r="X150" s="574" t="s">
        <v>2514</v>
      </c>
      <c r="Y150" s="575" t="s">
        <v>2512</v>
      </c>
      <c r="Z150" s="575" t="s">
        <v>2512</v>
      </c>
      <c r="AA150" s="574" t="s">
        <v>2261</v>
      </c>
      <c r="AB150" s="574" t="s">
        <v>2262</v>
      </c>
      <c r="AC150" s="574" t="s">
        <v>2267</v>
      </c>
      <c r="AD150" s="574" t="s">
        <v>97</v>
      </c>
      <c r="AE150" s="574" t="s">
        <v>2268</v>
      </c>
      <c r="AF150" s="574" t="s">
        <v>97</v>
      </c>
      <c r="AG150" s="576">
        <v>0</v>
      </c>
      <c r="AH150" s="576">
        <v>570171.89</v>
      </c>
    </row>
    <row r="151" spans="1:35" x14ac:dyDescent="0.25">
      <c r="A151" s="574" t="s">
        <v>2219</v>
      </c>
      <c r="B151" s="574" t="s">
        <v>2220</v>
      </c>
      <c r="C151" s="574" t="s">
        <v>2221</v>
      </c>
      <c r="D151" s="574" t="s">
        <v>2220</v>
      </c>
      <c r="E151" s="574" t="s">
        <v>2222</v>
      </c>
      <c r="F151" s="574" t="s">
        <v>2223</v>
      </c>
      <c r="G151" s="574" t="s">
        <v>2224</v>
      </c>
      <c r="H151" s="574" t="s">
        <v>2225</v>
      </c>
      <c r="I151" s="574" t="s">
        <v>2226</v>
      </c>
      <c r="J151" s="574" t="s">
        <v>2227</v>
      </c>
      <c r="K151" s="574" t="s">
        <v>2228</v>
      </c>
      <c r="L151" s="574" t="s">
        <v>2229</v>
      </c>
      <c r="M151" s="574" t="s">
        <v>2230</v>
      </c>
      <c r="N151" s="574" t="s">
        <v>2231</v>
      </c>
      <c r="O151" s="574" t="s">
        <v>2232</v>
      </c>
      <c r="P151" s="574" t="s">
        <v>2233</v>
      </c>
      <c r="Q151" s="574" t="s">
        <v>2234</v>
      </c>
      <c r="R151" s="574" t="s">
        <v>2225</v>
      </c>
      <c r="S151" s="574" t="s">
        <v>2235</v>
      </c>
      <c r="T151" s="574" t="s">
        <v>2236</v>
      </c>
      <c r="U151" s="574" t="s">
        <v>2515</v>
      </c>
      <c r="V151" s="574" t="s">
        <v>2238</v>
      </c>
      <c r="W151" s="574" t="s">
        <v>2239</v>
      </c>
      <c r="X151" s="574" t="s">
        <v>2516</v>
      </c>
      <c r="Y151" s="575" t="s">
        <v>2517</v>
      </c>
      <c r="Z151" s="575" t="s">
        <v>2517</v>
      </c>
      <c r="AA151" s="574" t="s">
        <v>1692</v>
      </c>
      <c r="AB151" s="574" t="s">
        <v>2307</v>
      </c>
      <c r="AC151" s="574" t="s">
        <v>2308</v>
      </c>
      <c r="AD151" s="574" t="s">
        <v>2309</v>
      </c>
      <c r="AE151" s="574" t="s">
        <v>1490</v>
      </c>
      <c r="AF151" s="574" t="s">
        <v>176</v>
      </c>
      <c r="AG151" s="576">
        <v>0</v>
      </c>
      <c r="AH151" s="576">
        <v>8750</v>
      </c>
      <c r="AI151"/>
    </row>
    <row r="152" spans="1:35" x14ac:dyDescent="0.25">
      <c r="A152" s="574" t="s">
        <v>2219</v>
      </c>
      <c r="B152" s="574" t="s">
        <v>2220</v>
      </c>
      <c r="C152" s="574" t="s">
        <v>2221</v>
      </c>
      <c r="D152" s="574" t="s">
        <v>2220</v>
      </c>
      <c r="E152" s="574" t="s">
        <v>2222</v>
      </c>
      <c r="F152" s="574" t="s">
        <v>2223</v>
      </c>
      <c r="G152" s="574" t="s">
        <v>2224</v>
      </c>
      <c r="H152" s="574" t="s">
        <v>2225</v>
      </c>
      <c r="I152" s="574" t="s">
        <v>2226</v>
      </c>
      <c r="J152" s="574" t="s">
        <v>2227</v>
      </c>
      <c r="K152" s="574" t="s">
        <v>2228</v>
      </c>
      <c r="L152" s="574" t="s">
        <v>2229</v>
      </c>
      <c r="M152" s="574" t="s">
        <v>2230</v>
      </c>
      <c r="N152" s="574" t="s">
        <v>2231</v>
      </c>
      <c r="O152" s="574" t="s">
        <v>2232</v>
      </c>
      <c r="P152" s="574" t="s">
        <v>2233</v>
      </c>
      <c r="Q152" s="574" t="s">
        <v>2234</v>
      </c>
      <c r="R152" s="574" t="s">
        <v>2225</v>
      </c>
      <c r="S152" s="574" t="s">
        <v>2235</v>
      </c>
      <c r="T152" s="574" t="s">
        <v>2236</v>
      </c>
      <c r="U152" s="574" t="s">
        <v>2515</v>
      </c>
      <c r="V152" s="574" t="s">
        <v>2238</v>
      </c>
      <c r="W152" s="574" t="s">
        <v>2239</v>
      </c>
      <c r="X152" s="574" t="s">
        <v>2516</v>
      </c>
      <c r="Y152" s="575" t="s">
        <v>2517</v>
      </c>
      <c r="Z152" s="575" t="s">
        <v>2517</v>
      </c>
      <c r="AA152" s="574" t="s">
        <v>1693</v>
      </c>
      <c r="AB152" s="574" t="s">
        <v>2319</v>
      </c>
      <c r="AC152" s="574" t="s">
        <v>2402</v>
      </c>
      <c r="AD152" s="574" t="s">
        <v>2403</v>
      </c>
      <c r="AE152" s="574" t="s">
        <v>1486</v>
      </c>
      <c r="AF152" s="574" t="s">
        <v>2403</v>
      </c>
      <c r="AG152" s="576">
        <v>0</v>
      </c>
      <c r="AH152" s="576">
        <v>2000</v>
      </c>
      <c r="AI152"/>
    </row>
    <row r="153" spans="1:35" x14ac:dyDescent="0.25">
      <c r="A153" s="574" t="s">
        <v>2219</v>
      </c>
      <c r="B153" s="574" t="s">
        <v>2220</v>
      </c>
      <c r="C153" s="574" t="s">
        <v>2221</v>
      </c>
      <c r="D153" s="574" t="s">
        <v>2220</v>
      </c>
      <c r="E153" s="574" t="s">
        <v>2222</v>
      </c>
      <c r="F153" s="574" t="s">
        <v>2223</v>
      </c>
      <c r="G153" s="574" t="s">
        <v>2224</v>
      </c>
      <c r="H153" s="574" t="s">
        <v>2225</v>
      </c>
      <c r="I153" s="574" t="s">
        <v>2226</v>
      </c>
      <c r="J153" s="574" t="s">
        <v>2227</v>
      </c>
      <c r="K153" s="574" t="s">
        <v>2228</v>
      </c>
      <c r="L153" s="574" t="s">
        <v>2229</v>
      </c>
      <c r="M153" s="574" t="s">
        <v>2230</v>
      </c>
      <c r="N153" s="574" t="s">
        <v>2231</v>
      </c>
      <c r="O153" s="574" t="s">
        <v>2232</v>
      </c>
      <c r="P153" s="574" t="s">
        <v>2233</v>
      </c>
      <c r="Q153" s="574" t="s">
        <v>2234</v>
      </c>
      <c r="R153" s="574" t="s">
        <v>2225</v>
      </c>
      <c r="S153" s="574" t="s">
        <v>2235</v>
      </c>
      <c r="T153" s="574" t="s">
        <v>2236</v>
      </c>
      <c r="U153" s="574" t="s">
        <v>2515</v>
      </c>
      <c r="V153" s="574" t="s">
        <v>2238</v>
      </c>
      <c r="W153" s="574" t="s">
        <v>2239</v>
      </c>
      <c r="X153" s="574" t="s">
        <v>2516</v>
      </c>
      <c r="Y153" s="575" t="s">
        <v>2517</v>
      </c>
      <c r="Z153" s="575" t="s">
        <v>2517</v>
      </c>
      <c r="AA153" s="574" t="s">
        <v>1693</v>
      </c>
      <c r="AB153" s="574" t="s">
        <v>2319</v>
      </c>
      <c r="AC153" s="574" t="s">
        <v>2320</v>
      </c>
      <c r="AD153" s="574" t="s">
        <v>2321</v>
      </c>
      <c r="AE153" s="574" t="s">
        <v>1446</v>
      </c>
      <c r="AF153" s="574" t="s">
        <v>2321</v>
      </c>
      <c r="AG153" s="576">
        <v>0</v>
      </c>
      <c r="AH153" s="576">
        <v>42500</v>
      </c>
      <c r="AI153"/>
    </row>
    <row r="154" spans="1:35" x14ac:dyDescent="0.25">
      <c r="A154" s="574" t="s">
        <v>2219</v>
      </c>
      <c r="B154" s="574" t="s">
        <v>2220</v>
      </c>
      <c r="C154" s="574" t="s">
        <v>2221</v>
      </c>
      <c r="D154" s="574" t="s">
        <v>2220</v>
      </c>
      <c r="E154" s="574" t="s">
        <v>2222</v>
      </c>
      <c r="F154" s="574" t="s">
        <v>2223</v>
      </c>
      <c r="G154" s="574" t="s">
        <v>2224</v>
      </c>
      <c r="H154" s="574" t="s">
        <v>2225</v>
      </c>
      <c r="I154" s="574" t="s">
        <v>2226</v>
      </c>
      <c r="J154" s="574" t="s">
        <v>2227</v>
      </c>
      <c r="K154" s="574" t="s">
        <v>2228</v>
      </c>
      <c r="L154" s="574" t="s">
        <v>2229</v>
      </c>
      <c r="M154" s="574" t="s">
        <v>2230</v>
      </c>
      <c r="N154" s="574" t="s">
        <v>2231</v>
      </c>
      <c r="O154" s="574" t="s">
        <v>2232</v>
      </c>
      <c r="P154" s="574" t="s">
        <v>2233</v>
      </c>
      <c r="Q154" s="574" t="s">
        <v>2234</v>
      </c>
      <c r="R154" s="574" t="s">
        <v>2225</v>
      </c>
      <c r="S154" s="574" t="s">
        <v>2235</v>
      </c>
      <c r="T154" s="574" t="s">
        <v>2236</v>
      </c>
      <c r="U154" s="574" t="s">
        <v>2518</v>
      </c>
      <c r="V154" s="574" t="s">
        <v>2238</v>
      </c>
      <c r="W154" s="574" t="s">
        <v>2239</v>
      </c>
      <c r="X154" s="574" t="s">
        <v>2519</v>
      </c>
      <c r="Y154" s="575" t="s">
        <v>2517</v>
      </c>
      <c r="Z154" s="575" t="s">
        <v>2517</v>
      </c>
      <c r="AA154" s="574" t="s">
        <v>1693</v>
      </c>
      <c r="AB154" s="574" t="s">
        <v>2319</v>
      </c>
      <c r="AC154" s="574" t="s">
        <v>2402</v>
      </c>
      <c r="AD154" s="574" t="s">
        <v>2403</v>
      </c>
      <c r="AE154" s="574" t="s">
        <v>1486</v>
      </c>
      <c r="AF154" s="574" t="s">
        <v>2403</v>
      </c>
      <c r="AG154" s="576">
        <v>0</v>
      </c>
      <c r="AH154" s="576">
        <v>1353342</v>
      </c>
      <c r="AI154"/>
    </row>
    <row r="155" spans="1:35" x14ac:dyDescent="0.25">
      <c r="A155" s="574" t="s">
        <v>2219</v>
      </c>
      <c r="B155" s="574" t="s">
        <v>2220</v>
      </c>
      <c r="C155" s="574" t="s">
        <v>2221</v>
      </c>
      <c r="D155" s="574" t="s">
        <v>2220</v>
      </c>
      <c r="E155" s="574" t="s">
        <v>2222</v>
      </c>
      <c r="F155" s="574" t="s">
        <v>2223</v>
      </c>
      <c r="G155" s="574" t="s">
        <v>2224</v>
      </c>
      <c r="H155" s="574" t="s">
        <v>2225</v>
      </c>
      <c r="I155" s="574" t="s">
        <v>2226</v>
      </c>
      <c r="J155" s="574" t="s">
        <v>2227</v>
      </c>
      <c r="K155" s="574" t="s">
        <v>2228</v>
      </c>
      <c r="L155" s="574" t="s">
        <v>2229</v>
      </c>
      <c r="M155" s="574" t="s">
        <v>2230</v>
      </c>
      <c r="N155" s="574" t="s">
        <v>2231</v>
      </c>
      <c r="O155" s="574" t="s">
        <v>2232</v>
      </c>
      <c r="P155" s="574" t="s">
        <v>2233</v>
      </c>
      <c r="Q155" s="574" t="s">
        <v>2234</v>
      </c>
      <c r="R155" s="574" t="s">
        <v>2225</v>
      </c>
      <c r="S155" s="574" t="s">
        <v>2235</v>
      </c>
      <c r="T155" s="574" t="s">
        <v>2236</v>
      </c>
      <c r="U155" s="574" t="s">
        <v>2520</v>
      </c>
      <c r="V155" s="574" t="s">
        <v>2238</v>
      </c>
      <c r="W155" s="574" t="s">
        <v>2239</v>
      </c>
      <c r="X155" s="574" t="s">
        <v>2521</v>
      </c>
      <c r="Y155" s="575" t="s">
        <v>2517</v>
      </c>
      <c r="Z155" s="575" t="s">
        <v>2517</v>
      </c>
      <c r="AA155" s="574" t="s">
        <v>1695</v>
      </c>
      <c r="AB155" s="574" t="s">
        <v>2337</v>
      </c>
      <c r="AC155" s="574" t="s">
        <v>2338</v>
      </c>
      <c r="AD155" s="574" t="s">
        <v>2339</v>
      </c>
      <c r="AE155" s="574" t="s">
        <v>1436</v>
      </c>
      <c r="AF155" s="574" t="s">
        <v>2339</v>
      </c>
      <c r="AG155" s="576">
        <v>0</v>
      </c>
      <c r="AH155" s="576">
        <v>120836.72</v>
      </c>
      <c r="AI155"/>
    </row>
    <row r="156" spans="1:35" x14ac:dyDescent="0.25">
      <c r="A156" s="574" t="s">
        <v>2219</v>
      </c>
      <c r="B156" s="574" t="s">
        <v>2220</v>
      </c>
      <c r="C156" s="574" t="s">
        <v>2221</v>
      </c>
      <c r="D156" s="574" t="s">
        <v>2220</v>
      </c>
      <c r="E156" s="574" t="s">
        <v>2222</v>
      </c>
      <c r="F156" s="574" t="s">
        <v>2223</v>
      </c>
      <c r="G156" s="574" t="s">
        <v>2224</v>
      </c>
      <c r="H156" s="574" t="s">
        <v>2225</v>
      </c>
      <c r="I156" s="574" t="s">
        <v>2226</v>
      </c>
      <c r="J156" s="574" t="s">
        <v>2227</v>
      </c>
      <c r="K156" s="574" t="s">
        <v>2228</v>
      </c>
      <c r="L156" s="574" t="s">
        <v>2229</v>
      </c>
      <c r="M156" s="574" t="s">
        <v>2230</v>
      </c>
      <c r="N156" s="574" t="s">
        <v>2231</v>
      </c>
      <c r="O156" s="574" t="s">
        <v>2232</v>
      </c>
      <c r="P156" s="574" t="s">
        <v>2233</v>
      </c>
      <c r="Q156" s="574" t="s">
        <v>2234</v>
      </c>
      <c r="R156" s="574" t="s">
        <v>2225</v>
      </c>
      <c r="S156" s="574" t="s">
        <v>2235</v>
      </c>
      <c r="T156" s="574" t="s">
        <v>2236</v>
      </c>
      <c r="U156" s="574" t="s">
        <v>2522</v>
      </c>
      <c r="V156" s="574" t="s">
        <v>2238</v>
      </c>
      <c r="W156" s="574" t="s">
        <v>2239</v>
      </c>
      <c r="X156" s="574" t="s">
        <v>2523</v>
      </c>
      <c r="Y156" s="575" t="s">
        <v>2517</v>
      </c>
      <c r="Z156" s="575" t="s">
        <v>2517</v>
      </c>
      <c r="AA156" s="574" t="s">
        <v>1690</v>
      </c>
      <c r="AB156" s="574" t="s">
        <v>2475</v>
      </c>
      <c r="AC156" s="574" t="s">
        <v>2524</v>
      </c>
      <c r="AD156" s="574" t="s">
        <v>2525</v>
      </c>
      <c r="AE156" s="574" t="s">
        <v>1457</v>
      </c>
      <c r="AF156" s="574" t="s">
        <v>2525</v>
      </c>
      <c r="AG156" s="576">
        <v>0</v>
      </c>
      <c r="AH156" s="576">
        <v>435632.4</v>
      </c>
      <c r="AI156"/>
    </row>
    <row r="157" spans="1:35" x14ac:dyDescent="0.25">
      <c r="A157" s="574" t="s">
        <v>2219</v>
      </c>
      <c r="B157" s="574" t="s">
        <v>2220</v>
      </c>
      <c r="C157" s="574" t="s">
        <v>2221</v>
      </c>
      <c r="D157" s="574" t="s">
        <v>2220</v>
      </c>
      <c r="E157" s="574" t="s">
        <v>2222</v>
      </c>
      <c r="F157" s="574" t="s">
        <v>2223</v>
      </c>
      <c r="G157" s="574" t="s">
        <v>2224</v>
      </c>
      <c r="H157" s="574" t="s">
        <v>2225</v>
      </c>
      <c r="I157" s="574" t="s">
        <v>2226</v>
      </c>
      <c r="J157" s="574" t="s">
        <v>2227</v>
      </c>
      <c r="K157" s="574" t="s">
        <v>2228</v>
      </c>
      <c r="L157" s="574" t="s">
        <v>2229</v>
      </c>
      <c r="M157" s="574" t="s">
        <v>2230</v>
      </c>
      <c r="N157" s="574" t="s">
        <v>2231</v>
      </c>
      <c r="O157" s="574" t="s">
        <v>2232</v>
      </c>
      <c r="P157" s="574" t="s">
        <v>2233</v>
      </c>
      <c r="Q157" s="574" t="s">
        <v>2234</v>
      </c>
      <c r="R157" s="574" t="s">
        <v>2225</v>
      </c>
      <c r="S157" s="574" t="s">
        <v>2235</v>
      </c>
      <c r="T157" s="574" t="s">
        <v>2236</v>
      </c>
      <c r="U157" s="574" t="s">
        <v>2526</v>
      </c>
      <c r="V157" s="574" t="s">
        <v>2238</v>
      </c>
      <c r="W157" s="574" t="s">
        <v>2239</v>
      </c>
      <c r="X157" s="574" t="s">
        <v>2527</v>
      </c>
      <c r="Y157" s="575" t="s">
        <v>2528</v>
      </c>
      <c r="Z157" s="575" t="s">
        <v>2528</v>
      </c>
      <c r="AA157" s="574" t="s">
        <v>1694</v>
      </c>
      <c r="AB157" s="574" t="s">
        <v>2314</v>
      </c>
      <c r="AC157" s="574" t="s">
        <v>2315</v>
      </c>
      <c r="AD157" s="574" t="s">
        <v>2316</v>
      </c>
      <c r="AE157" s="574" t="s">
        <v>1470</v>
      </c>
      <c r="AF157" s="574" t="s">
        <v>2316</v>
      </c>
      <c r="AG157" s="576">
        <v>0</v>
      </c>
      <c r="AH157" s="576">
        <v>94400</v>
      </c>
      <c r="AI157"/>
    </row>
    <row r="158" spans="1:35" x14ac:dyDescent="0.25">
      <c r="A158" s="574" t="s">
        <v>2219</v>
      </c>
      <c r="B158" s="574" t="s">
        <v>2220</v>
      </c>
      <c r="C158" s="574" t="s">
        <v>2221</v>
      </c>
      <c r="D158" s="574" t="s">
        <v>2220</v>
      </c>
      <c r="E158" s="574" t="s">
        <v>2222</v>
      </c>
      <c r="F158" s="574" t="s">
        <v>2223</v>
      </c>
      <c r="G158" s="574" t="s">
        <v>2224</v>
      </c>
      <c r="H158" s="574" t="s">
        <v>2225</v>
      </c>
      <c r="I158" s="574" t="s">
        <v>2226</v>
      </c>
      <c r="J158" s="574" t="s">
        <v>2227</v>
      </c>
      <c r="K158" s="574" t="s">
        <v>2228</v>
      </c>
      <c r="L158" s="574" t="s">
        <v>2229</v>
      </c>
      <c r="M158" s="574" t="s">
        <v>2230</v>
      </c>
      <c r="N158" s="574" t="s">
        <v>2231</v>
      </c>
      <c r="O158" s="574" t="s">
        <v>2232</v>
      </c>
      <c r="P158" s="574" t="s">
        <v>2233</v>
      </c>
      <c r="Q158" s="574" t="s">
        <v>2234</v>
      </c>
      <c r="R158" s="574" t="s">
        <v>2225</v>
      </c>
      <c r="S158" s="574" t="s">
        <v>2235</v>
      </c>
      <c r="T158" s="574" t="s">
        <v>2236</v>
      </c>
      <c r="U158" s="574" t="s">
        <v>2529</v>
      </c>
      <c r="V158" s="574" t="s">
        <v>2238</v>
      </c>
      <c r="W158" s="574" t="s">
        <v>2239</v>
      </c>
      <c r="X158" s="574" t="s">
        <v>2530</v>
      </c>
      <c r="Y158" s="575" t="s">
        <v>2531</v>
      </c>
      <c r="Z158" s="575" t="s">
        <v>2531</v>
      </c>
      <c r="AA158" s="574" t="s">
        <v>1690</v>
      </c>
      <c r="AB158" s="574" t="s">
        <v>2475</v>
      </c>
      <c r="AC158" s="574" t="s">
        <v>2524</v>
      </c>
      <c r="AD158" s="574" t="s">
        <v>2525</v>
      </c>
      <c r="AE158" s="574" t="s">
        <v>1457</v>
      </c>
      <c r="AF158" s="574" t="s">
        <v>2525</v>
      </c>
      <c r="AG158" s="576">
        <v>0</v>
      </c>
      <c r="AH158" s="576">
        <v>429225</v>
      </c>
      <c r="AI158"/>
    </row>
    <row r="159" spans="1:35" x14ac:dyDescent="0.25">
      <c r="A159" s="574" t="s">
        <v>2219</v>
      </c>
      <c r="B159" s="574" t="s">
        <v>2220</v>
      </c>
      <c r="C159" s="574" t="s">
        <v>2221</v>
      </c>
      <c r="D159" s="574" t="s">
        <v>2220</v>
      </c>
      <c r="E159" s="574" t="s">
        <v>2222</v>
      </c>
      <c r="F159" s="574" t="s">
        <v>2223</v>
      </c>
      <c r="G159" s="574" t="s">
        <v>2224</v>
      </c>
      <c r="H159" s="574" t="s">
        <v>2225</v>
      </c>
      <c r="I159" s="574" t="s">
        <v>2226</v>
      </c>
      <c r="J159" s="574" t="s">
        <v>2227</v>
      </c>
      <c r="K159" s="574" t="s">
        <v>2228</v>
      </c>
      <c r="L159" s="574" t="s">
        <v>2229</v>
      </c>
      <c r="M159" s="574" t="s">
        <v>2230</v>
      </c>
      <c r="N159" s="574" t="s">
        <v>2231</v>
      </c>
      <c r="O159" s="574" t="s">
        <v>2232</v>
      </c>
      <c r="P159" s="574" t="s">
        <v>2233</v>
      </c>
      <c r="Q159" s="574" t="s">
        <v>2234</v>
      </c>
      <c r="R159" s="574" t="s">
        <v>2225</v>
      </c>
      <c r="S159" s="574" t="s">
        <v>2235</v>
      </c>
      <c r="T159" s="574" t="s">
        <v>2236</v>
      </c>
      <c r="U159" s="574" t="s">
        <v>2532</v>
      </c>
      <c r="V159" s="574" t="s">
        <v>2238</v>
      </c>
      <c r="W159" s="574" t="s">
        <v>2239</v>
      </c>
      <c r="X159" s="574" t="s">
        <v>2533</v>
      </c>
      <c r="Y159" s="575" t="s">
        <v>2531</v>
      </c>
      <c r="Z159" s="575" t="s">
        <v>2531</v>
      </c>
      <c r="AA159" s="574" t="s">
        <v>1690</v>
      </c>
      <c r="AB159" s="574" t="s">
        <v>2475</v>
      </c>
      <c r="AC159" s="574" t="s">
        <v>2534</v>
      </c>
      <c r="AD159" s="574" t="s">
        <v>2535</v>
      </c>
      <c r="AE159" s="574" t="s">
        <v>2536</v>
      </c>
      <c r="AF159" s="574" t="s">
        <v>2535</v>
      </c>
      <c r="AG159" s="576">
        <v>0</v>
      </c>
      <c r="AH159" s="576">
        <v>23364</v>
      </c>
      <c r="AI159"/>
    </row>
    <row r="160" spans="1:35" x14ac:dyDescent="0.25">
      <c r="A160" s="574" t="s">
        <v>2219</v>
      </c>
      <c r="B160" s="574" t="s">
        <v>2220</v>
      </c>
      <c r="C160" s="574" t="s">
        <v>2221</v>
      </c>
      <c r="D160" s="574" t="s">
        <v>2220</v>
      </c>
      <c r="E160" s="574" t="s">
        <v>2222</v>
      </c>
      <c r="F160" s="574" t="s">
        <v>2223</v>
      </c>
      <c r="G160" s="574" t="s">
        <v>2224</v>
      </c>
      <c r="H160" s="574" t="s">
        <v>2225</v>
      </c>
      <c r="I160" s="574" t="s">
        <v>2226</v>
      </c>
      <c r="J160" s="574" t="s">
        <v>2227</v>
      </c>
      <c r="K160" s="574" t="s">
        <v>2228</v>
      </c>
      <c r="L160" s="574" t="s">
        <v>2229</v>
      </c>
      <c r="M160" s="574" t="s">
        <v>2230</v>
      </c>
      <c r="N160" s="574" t="s">
        <v>2231</v>
      </c>
      <c r="O160" s="574" t="s">
        <v>2232</v>
      </c>
      <c r="P160" s="574" t="s">
        <v>2233</v>
      </c>
      <c r="Q160" s="574" t="s">
        <v>2234</v>
      </c>
      <c r="R160" s="574" t="s">
        <v>2225</v>
      </c>
      <c r="S160" s="574" t="s">
        <v>2235</v>
      </c>
      <c r="T160" s="574" t="s">
        <v>2236</v>
      </c>
      <c r="U160" s="574" t="s">
        <v>2537</v>
      </c>
      <c r="V160" s="574" t="s">
        <v>2238</v>
      </c>
      <c r="W160" s="574" t="s">
        <v>2239</v>
      </c>
      <c r="X160" s="574" t="s">
        <v>2538</v>
      </c>
      <c r="Y160" s="575" t="s">
        <v>2531</v>
      </c>
      <c r="Z160" s="575" t="s">
        <v>2531</v>
      </c>
      <c r="AA160" s="574" t="s">
        <v>1693</v>
      </c>
      <c r="AB160" s="574" t="s">
        <v>2319</v>
      </c>
      <c r="AC160" s="574" t="s">
        <v>2402</v>
      </c>
      <c r="AD160" s="574" t="s">
        <v>2403</v>
      </c>
      <c r="AE160" s="574" t="s">
        <v>1486</v>
      </c>
      <c r="AF160" s="574" t="s">
        <v>2403</v>
      </c>
      <c r="AG160" s="576">
        <v>0</v>
      </c>
      <c r="AH160" s="576">
        <v>531590</v>
      </c>
      <c r="AI160"/>
    </row>
    <row r="161" spans="1:35" x14ac:dyDescent="0.25">
      <c r="A161" s="574" t="s">
        <v>2219</v>
      </c>
      <c r="B161" s="574" t="s">
        <v>2220</v>
      </c>
      <c r="C161" s="574" t="s">
        <v>2221</v>
      </c>
      <c r="D161" s="574" t="s">
        <v>2220</v>
      </c>
      <c r="E161" s="574" t="s">
        <v>2222</v>
      </c>
      <c r="F161" s="574" t="s">
        <v>2223</v>
      </c>
      <c r="G161" s="574" t="s">
        <v>2224</v>
      </c>
      <c r="H161" s="574" t="s">
        <v>2225</v>
      </c>
      <c r="I161" s="574" t="s">
        <v>2226</v>
      </c>
      <c r="J161" s="574" t="s">
        <v>2227</v>
      </c>
      <c r="K161" s="574" t="s">
        <v>2228</v>
      </c>
      <c r="L161" s="574" t="s">
        <v>2229</v>
      </c>
      <c r="M161" s="574" t="s">
        <v>2230</v>
      </c>
      <c r="N161" s="574" t="s">
        <v>2231</v>
      </c>
      <c r="O161" s="574" t="s">
        <v>2232</v>
      </c>
      <c r="P161" s="574" t="s">
        <v>2233</v>
      </c>
      <c r="Q161" s="574" t="s">
        <v>2234</v>
      </c>
      <c r="R161" s="574" t="s">
        <v>2225</v>
      </c>
      <c r="S161" s="574" t="s">
        <v>2235</v>
      </c>
      <c r="T161" s="574" t="s">
        <v>2236</v>
      </c>
      <c r="U161" s="574" t="s">
        <v>2539</v>
      </c>
      <c r="V161" s="574" t="s">
        <v>2238</v>
      </c>
      <c r="W161" s="574" t="s">
        <v>2239</v>
      </c>
      <c r="X161" s="574" t="s">
        <v>2540</v>
      </c>
      <c r="Y161" s="575" t="s">
        <v>2531</v>
      </c>
      <c r="Z161" s="575" t="s">
        <v>2531</v>
      </c>
      <c r="AA161" s="574" t="s">
        <v>1695</v>
      </c>
      <c r="AB161" s="574" t="s">
        <v>2337</v>
      </c>
      <c r="AC161" s="574" t="s">
        <v>2338</v>
      </c>
      <c r="AD161" s="574" t="s">
        <v>2339</v>
      </c>
      <c r="AE161" s="574" t="s">
        <v>1436</v>
      </c>
      <c r="AF161" s="574" t="s">
        <v>2339</v>
      </c>
      <c r="AG161" s="576">
        <v>0</v>
      </c>
      <c r="AH161" s="576">
        <v>609673.18000000005</v>
      </c>
      <c r="AI161"/>
    </row>
    <row r="162" spans="1:35" x14ac:dyDescent="0.25">
      <c r="A162" s="574" t="s">
        <v>2219</v>
      </c>
      <c r="B162" s="574" t="s">
        <v>2220</v>
      </c>
      <c r="C162" s="574" t="s">
        <v>2221</v>
      </c>
      <c r="D162" s="574" t="s">
        <v>2220</v>
      </c>
      <c r="E162" s="574" t="s">
        <v>2222</v>
      </c>
      <c r="F162" s="574" t="s">
        <v>2223</v>
      </c>
      <c r="G162" s="574" t="s">
        <v>2224</v>
      </c>
      <c r="H162" s="574" t="s">
        <v>2225</v>
      </c>
      <c r="I162" s="574" t="s">
        <v>2226</v>
      </c>
      <c r="J162" s="574" t="s">
        <v>2227</v>
      </c>
      <c r="K162" s="574" t="s">
        <v>2228</v>
      </c>
      <c r="L162" s="574" t="s">
        <v>2229</v>
      </c>
      <c r="M162" s="574" t="s">
        <v>2230</v>
      </c>
      <c r="N162" s="574" t="s">
        <v>2231</v>
      </c>
      <c r="O162" s="574" t="s">
        <v>2232</v>
      </c>
      <c r="P162" s="574" t="s">
        <v>2233</v>
      </c>
      <c r="Q162" s="574" t="s">
        <v>2234</v>
      </c>
      <c r="R162" s="574" t="s">
        <v>2225</v>
      </c>
      <c r="S162" s="574" t="s">
        <v>2235</v>
      </c>
      <c r="T162" s="574" t="s">
        <v>2236</v>
      </c>
      <c r="U162" s="574" t="s">
        <v>2541</v>
      </c>
      <c r="V162" s="574" t="s">
        <v>2238</v>
      </c>
      <c r="W162" s="574" t="s">
        <v>2239</v>
      </c>
      <c r="X162" s="574" t="s">
        <v>2542</v>
      </c>
      <c r="Y162" s="575" t="s">
        <v>2543</v>
      </c>
      <c r="Z162" s="575" t="s">
        <v>2543</v>
      </c>
      <c r="AA162" s="574" t="s">
        <v>1695</v>
      </c>
      <c r="AB162" s="574" t="s">
        <v>2337</v>
      </c>
      <c r="AC162" s="574" t="s">
        <v>2544</v>
      </c>
      <c r="AD162" s="574" t="s">
        <v>2545</v>
      </c>
      <c r="AE162" s="574" t="s">
        <v>2546</v>
      </c>
      <c r="AF162" s="574" t="s">
        <v>2545</v>
      </c>
      <c r="AG162" s="576">
        <v>0</v>
      </c>
      <c r="AH162" s="576">
        <v>94341</v>
      </c>
      <c r="AI162"/>
    </row>
    <row r="163" spans="1:35" x14ac:dyDescent="0.25">
      <c r="A163" s="574" t="s">
        <v>2219</v>
      </c>
      <c r="B163" s="574" t="s">
        <v>2220</v>
      </c>
      <c r="C163" s="574" t="s">
        <v>2221</v>
      </c>
      <c r="D163" s="574" t="s">
        <v>2220</v>
      </c>
      <c r="E163" s="574" t="s">
        <v>2222</v>
      </c>
      <c r="F163" s="574" t="s">
        <v>2223</v>
      </c>
      <c r="G163" s="574" t="s">
        <v>2224</v>
      </c>
      <c r="H163" s="574" t="s">
        <v>2225</v>
      </c>
      <c r="I163" s="574" t="s">
        <v>2226</v>
      </c>
      <c r="J163" s="574" t="s">
        <v>2227</v>
      </c>
      <c r="K163" s="574" t="s">
        <v>2228</v>
      </c>
      <c r="L163" s="574" t="s">
        <v>2229</v>
      </c>
      <c r="M163" s="574" t="s">
        <v>2230</v>
      </c>
      <c r="N163" s="574" t="s">
        <v>2231</v>
      </c>
      <c r="O163" s="574" t="s">
        <v>2232</v>
      </c>
      <c r="P163" s="574" t="s">
        <v>2233</v>
      </c>
      <c r="Q163" s="574" t="s">
        <v>2234</v>
      </c>
      <c r="R163" s="574" t="s">
        <v>2225</v>
      </c>
      <c r="S163" s="574" t="s">
        <v>2235</v>
      </c>
      <c r="T163" s="574" t="s">
        <v>2236</v>
      </c>
      <c r="U163" s="574" t="s">
        <v>2547</v>
      </c>
      <c r="V163" s="574" t="s">
        <v>2238</v>
      </c>
      <c r="W163" s="574" t="s">
        <v>2239</v>
      </c>
      <c r="X163" s="574" t="s">
        <v>2548</v>
      </c>
      <c r="Y163" s="575" t="s">
        <v>2543</v>
      </c>
      <c r="Z163" s="575" t="s">
        <v>2543</v>
      </c>
      <c r="AA163" s="574" t="s">
        <v>1693</v>
      </c>
      <c r="AB163" s="574" t="s">
        <v>2319</v>
      </c>
      <c r="AC163" s="574" t="s">
        <v>2402</v>
      </c>
      <c r="AD163" s="574" t="s">
        <v>2403</v>
      </c>
      <c r="AE163" s="574" t="s">
        <v>1486</v>
      </c>
      <c r="AF163" s="574" t="s">
        <v>2403</v>
      </c>
      <c r="AG163" s="576">
        <v>0</v>
      </c>
      <c r="AH163" s="576">
        <v>1911.6</v>
      </c>
      <c r="AI163"/>
    </row>
    <row r="164" spans="1:35" x14ac:dyDescent="0.25">
      <c r="A164" s="574" t="s">
        <v>2219</v>
      </c>
      <c r="B164" s="574" t="s">
        <v>2220</v>
      </c>
      <c r="C164" s="574" t="s">
        <v>2221</v>
      </c>
      <c r="D164" s="574" t="s">
        <v>2220</v>
      </c>
      <c r="E164" s="574" t="s">
        <v>2222</v>
      </c>
      <c r="F164" s="574" t="s">
        <v>2223</v>
      </c>
      <c r="G164" s="574" t="s">
        <v>2224</v>
      </c>
      <c r="H164" s="574" t="s">
        <v>2225</v>
      </c>
      <c r="I164" s="574" t="s">
        <v>2226</v>
      </c>
      <c r="J164" s="574" t="s">
        <v>2227</v>
      </c>
      <c r="K164" s="574" t="s">
        <v>2228</v>
      </c>
      <c r="L164" s="574" t="s">
        <v>2229</v>
      </c>
      <c r="M164" s="574" t="s">
        <v>2230</v>
      </c>
      <c r="N164" s="574" t="s">
        <v>2231</v>
      </c>
      <c r="O164" s="574" t="s">
        <v>2232</v>
      </c>
      <c r="P164" s="574" t="s">
        <v>2233</v>
      </c>
      <c r="Q164" s="574" t="s">
        <v>2234</v>
      </c>
      <c r="R164" s="574" t="s">
        <v>2225</v>
      </c>
      <c r="S164" s="574" t="s">
        <v>2235</v>
      </c>
      <c r="T164" s="574" t="s">
        <v>2236</v>
      </c>
      <c r="U164" s="574" t="s">
        <v>2547</v>
      </c>
      <c r="V164" s="574" t="s">
        <v>2238</v>
      </c>
      <c r="W164" s="574" t="s">
        <v>2239</v>
      </c>
      <c r="X164" s="574" t="s">
        <v>2548</v>
      </c>
      <c r="Y164" s="575" t="s">
        <v>2543</v>
      </c>
      <c r="Z164" s="575" t="s">
        <v>2543</v>
      </c>
      <c r="AA164" s="574" t="s">
        <v>1694</v>
      </c>
      <c r="AB164" s="574" t="s">
        <v>2314</v>
      </c>
      <c r="AC164" s="574" t="s">
        <v>2315</v>
      </c>
      <c r="AD164" s="574" t="s">
        <v>2316</v>
      </c>
      <c r="AE164" s="574" t="s">
        <v>1470</v>
      </c>
      <c r="AF164" s="574" t="s">
        <v>2316</v>
      </c>
      <c r="AG164" s="576">
        <v>0</v>
      </c>
      <c r="AH164" s="576">
        <v>126000.4</v>
      </c>
      <c r="AI164"/>
    </row>
    <row r="165" spans="1:35" x14ac:dyDescent="0.25">
      <c r="A165" s="574" t="s">
        <v>2219</v>
      </c>
      <c r="B165" s="574" t="s">
        <v>2220</v>
      </c>
      <c r="C165" s="574" t="s">
        <v>2221</v>
      </c>
      <c r="D165" s="574" t="s">
        <v>2220</v>
      </c>
      <c r="E165" s="574" t="s">
        <v>2222</v>
      </c>
      <c r="F165" s="574" t="s">
        <v>2223</v>
      </c>
      <c r="G165" s="574" t="s">
        <v>2224</v>
      </c>
      <c r="H165" s="574" t="s">
        <v>2225</v>
      </c>
      <c r="I165" s="574" t="s">
        <v>2226</v>
      </c>
      <c r="J165" s="574" t="s">
        <v>2227</v>
      </c>
      <c r="K165" s="574" t="s">
        <v>2228</v>
      </c>
      <c r="L165" s="574" t="s">
        <v>2229</v>
      </c>
      <c r="M165" s="574" t="s">
        <v>2230</v>
      </c>
      <c r="N165" s="574" t="s">
        <v>2231</v>
      </c>
      <c r="O165" s="574" t="s">
        <v>2232</v>
      </c>
      <c r="P165" s="574" t="s">
        <v>2233</v>
      </c>
      <c r="Q165" s="574" t="s">
        <v>2234</v>
      </c>
      <c r="R165" s="574" t="s">
        <v>2225</v>
      </c>
      <c r="S165" s="574" t="s">
        <v>2235</v>
      </c>
      <c r="T165" s="574" t="s">
        <v>2236</v>
      </c>
      <c r="U165" s="574" t="s">
        <v>2547</v>
      </c>
      <c r="V165" s="574" t="s">
        <v>2238</v>
      </c>
      <c r="W165" s="574" t="s">
        <v>2239</v>
      </c>
      <c r="X165" s="574" t="s">
        <v>2548</v>
      </c>
      <c r="Y165" s="575" t="s">
        <v>2543</v>
      </c>
      <c r="Z165" s="575" t="s">
        <v>2543</v>
      </c>
      <c r="AA165" s="574" t="s">
        <v>1694</v>
      </c>
      <c r="AB165" s="574" t="s">
        <v>2314</v>
      </c>
      <c r="AC165" s="574" t="s">
        <v>2398</v>
      </c>
      <c r="AD165" s="574" t="s">
        <v>2399</v>
      </c>
      <c r="AE165" s="574" t="s">
        <v>1431</v>
      </c>
      <c r="AF165" s="574" t="s">
        <v>2399</v>
      </c>
      <c r="AG165" s="576">
        <v>0</v>
      </c>
      <c r="AH165" s="576">
        <v>92004.6</v>
      </c>
      <c r="AI165"/>
    </row>
    <row r="166" spans="1:35" x14ac:dyDescent="0.25">
      <c r="A166" s="574" t="s">
        <v>2219</v>
      </c>
      <c r="B166" s="574" t="s">
        <v>2220</v>
      </c>
      <c r="C166" s="574" t="s">
        <v>2221</v>
      </c>
      <c r="D166" s="574" t="s">
        <v>2220</v>
      </c>
      <c r="E166" s="574" t="s">
        <v>2222</v>
      </c>
      <c r="F166" s="574" t="s">
        <v>2223</v>
      </c>
      <c r="G166" s="574" t="s">
        <v>2224</v>
      </c>
      <c r="H166" s="574" t="s">
        <v>2225</v>
      </c>
      <c r="I166" s="574" t="s">
        <v>2226</v>
      </c>
      <c r="J166" s="574" t="s">
        <v>2227</v>
      </c>
      <c r="K166" s="574" t="s">
        <v>2228</v>
      </c>
      <c r="L166" s="574" t="s">
        <v>2229</v>
      </c>
      <c r="M166" s="574" t="s">
        <v>2230</v>
      </c>
      <c r="N166" s="574" t="s">
        <v>2231</v>
      </c>
      <c r="O166" s="574" t="s">
        <v>2232</v>
      </c>
      <c r="P166" s="574" t="s">
        <v>2233</v>
      </c>
      <c r="Q166" s="574" t="s">
        <v>2234</v>
      </c>
      <c r="R166" s="574" t="s">
        <v>2225</v>
      </c>
      <c r="S166" s="574" t="s">
        <v>2235</v>
      </c>
      <c r="T166" s="574" t="s">
        <v>2236</v>
      </c>
      <c r="U166" s="574" t="s">
        <v>2547</v>
      </c>
      <c r="V166" s="574" t="s">
        <v>2238</v>
      </c>
      <c r="W166" s="574" t="s">
        <v>2239</v>
      </c>
      <c r="X166" s="574" t="s">
        <v>2548</v>
      </c>
      <c r="Y166" s="575" t="s">
        <v>2543</v>
      </c>
      <c r="Z166" s="575" t="s">
        <v>2543</v>
      </c>
      <c r="AA166" s="574" t="s">
        <v>1694</v>
      </c>
      <c r="AB166" s="574" t="s">
        <v>2314</v>
      </c>
      <c r="AC166" s="574" t="s">
        <v>2418</v>
      </c>
      <c r="AD166" s="574" t="s">
        <v>2419</v>
      </c>
      <c r="AE166" s="574" t="s">
        <v>2420</v>
      </c>
      <c r="AF166" s="574" t="s">
        <v>2421</v>
      </c>
      <c r="AG166" s="576">
        <v>0</v>
      </c>
      <c r="AH166" s="576">
        <v>16620.3</v>
      </c>
      <c r="AI166"/>
    </row>
    <row r="167" spans="1:35" x14ac:dyDescent="0.25">
      <c r="A167" s="574" t="s">
        <v>2219</v>
      </c>
      <c r="B167" s="574" t="s">
        <v>2220</v>
      </c>
      <c r="C167" s="574" t="s">
        <v>2221</v>
      </c>
      <c r="D167" s="574" t="s">
        <v>2220</v>
      </c>
      <c r="E167" s="574" t="s">
        <v>2222</v>
      </c>
      <c r="F167" s="574" t="s">
        <v>2223</v>
      </c>
      <c r="G167" s="574" t="s">
        <v>2224</v>
      </c>
      <c r="H167" s="574" t="s">
        <v>2225</v>
      </c>
      <c r="I167" s="574" t="s">
        <v>2226</v>
      </c>
      <c r="J167" s="574" t="s">
        <v>2227</v>
      </c>
      <c r="K167" s="574" t="s">
        <v>2228</v>
      </c>
      <c r="L167" s="574" t="s">
        <v>2229</v>
      </c>
      <c r="M167" s="574" t="s">
        <v>2230</v>
      </c>
      <c r="N167" s="574" t="s">
        <v>2231</v>
      </c>
      <c r="O167" s="574" t="s">
        <v>2232</v>
      </c>
      <c r="P167" s="574" t="s">
        <v>2233</v>
      </c>
      <c r="Q167" s="574" t="s">
        <v>2234</v>
      </c>
      <c r="R167" s="574" t="s">
        <v>2225</v>
      </c>
      <c r="S167" s="574" t="s">
        <v>2235</v>
      </c>
      <c r="T167" s="574" t="s">
        <v>2236</v>
      </c>
      <c r="U167" s="574" t="s">
        <v>2549</v>
      </c>
      <c r="V167" s="574" t="s">
        <v>2238</v>
      </c>
      <c r="W167" s="574" t="s">
        <v>2239</v>
      </c>
      <c r="X167" s="574" t="s">
        <v>2550</v>
      </c>
      <c r="Y167" s="575" t="s">
        <v>2543</v>
      </c>
      <c r="Z167" s="575" t="s">
        <v>2543</v>
      </c>
      <c r="AA167" s="574" t="s">
        <v>1695</v>
      </c>
      <c r="AB167" s="574" t="s">
        <v>2337</v>
      </c>
      <c r="AC167" s="574" t="s">
        <v>2338</v>
      </c>
      <c r="AD167" s="574" t="s">
        <v>2339</v>
      </c>
      <c r="AE167" s="574" t="s">
        <v>1436</v>
      </c>
      <c r="AF167" s="574" t="s">
        <v>2339</v>
      </c>
      <c r="AG167" s="576">
        <v>0</v>
      </c>
      <c r="AH167" s="576">
        <v>454300</v>
      </c>
      <c r="AI167"/>
    </row>
    <row r="168" spans="1:35" x14ac:dyDescent="0.25">
      <c r="A168" s="574" t="s">
        <v>2219</v>
      </c>
      <c r="B168" s="574" t="s">
        <v>2220</v>
      </c>
      <c r="C168" s="574" t="s">
        <v>2221</v>
      </c>
      <c r="D168" s="574" t="s">
        <v>2220</v>
      </c>
      <c r="E168" s="574" t="s">
        <v>2222</v>
      </c>
      <c r="F168" s="574" t="s">
        <v>2223</v>
      </c>
      <c r="G168" s="574" t="s">
        <v>2224</v>
      </c>
      <c r="H168" s="574" t="s">
        <v>2225</v>
      </c>
      <c r="I168" s="574" t="s">
        <v>2226</v>
      </c>
      <c r="J168" s="574" t="s">
        <v>2227</v>
      </c>
      <c r="K168" s="574" t="s">
        <v>2228</v>
      </c>
      <c r="L168" s="574" t="s">
        <v>2229</v>
      </c>
      <c r="M168" s="574" t="s">
        <v>2230</v>
      </c>
      <c r="N168" s="574" t="s">
        <v>2231</v>
      </c>
      <c r="O168" s="574" t="s">
        <v>2232</v>
      </c>
      <c r="P168" s="574" t="s">
        <v>2233</v>
      </c>
      <c r="Q168" s="574" t="s">
        <v>2234</v>
      </c>
      <c r="R168" s="574" t="s">
        <v>2225</v>
      </c>
      <c r="S168" s="574" t="s">
        <v>2235</v>
      </c>
      <c r="T168" s="574" t="s">
        <v>2236</v>
      </c>
      <c r="U168" s="574" t="s">
        <v>2549</v>
      </c>
      <c r="V168" s="574" t="s">
        <v>2238</v>
      </c>
      <c r="W168" s="574" t="s">
        <v>2239</v>
      </c>
      <c r="X168" s="574" t="s">
        <v>2550</v>
      </c>
      <c r="Y168" s="575" t="s">
        <v>2543</v>
      </c>
      <c r="Z168" s="575" t="s">
        <v>2543</v>
      </c>
      <c r="AA168" s="574" t="s">
        <v>1695</v>
      </c>
      <c r="AB168" s="574" t="s">
        <v>2337</v>
      </c>
      <c r="AC168" s="574" t="s">
        <v>2544</v>
      </c>
      <c r="AD168" s="574" t="s">
        <v>2545</v>
      </c>
      <c r="AE168" s="574" t="s">
        <v>2546</v>
      </c>
      <c r="AF168" s="574" t="s">
        <v>2545</v>
      </c>
      <c r="AG168" s="576">
        <v>0</v>
      </c>
      <c r="AH168" s="576">
        <v>23010</v>
      </c>
      <c r="AI168"/>
    </row>
    <row r="169" spans="1:35" x14ac:dyDescent="0.25">
      <c r="A169" s="574" t="s">
        <v>2219</v>
      </c>
      <c r="B169" s="574" t="s">
        <v>2220</v>
      </c>
      <c r="C169" s="574" t="s">
        <v>2221</v>
      </c>
      <c r="D169" s="574" t="s">
        <v>2220</v>
      </c>
      <c r="E169" s="574" t="s">
        <v>2222</v>
      </c>
      <c r="F169" s="574" t="s">
        <v>2223</v>
      </c>
      <c r="G169" s="574" t="s">
        <v>2224</v>
      </c>
      <c r="H169" s="574" t="s">
        <v>2225</v>
      </c>
      <c r="I169" s="574" t="s">
        <v>2226</v>
      </c>
      <c r="J169" s="574" t="s">
        <v>2227</v>
      </c>
      <c r="K169" s="574" t="s">
        <v>2228</v>
      </c>
      <c r="L169" s="574" t="s">
        <v>2229</v>
      </c>
      <c r="M169" s="574" t="s">
        <v>2230</v>
      </c>
      <c r="N169" s="574" t="s">
        <v>2231</v>
      </c>
      <c r="O169" s="574" t="s">
        <v>2232</v>
      </c>
      <c r="P169" s="574" t="s">
        <v>2233</v>
      </c>
      <c r="Q169" s="574" t="s">
        <v>2234</v>
      </c>
      <c r="R169" s="574" t="s">
        <v>2225</v>
      </c>
      <c r="S169" s="574" t="s">
        <v>2235</v>
      </c>
      <c r="T169" s="574" t="s">
        <v>2236</v>
      </c>
      <c r="U169" s="574" t="s">
        <v>2551</v>
      </c>
      <c r="V169" s="574" t="s">
        <v>2238</v>
      </c>
      <c r="W169" s="574" t="s">
        <v>2239</v>
      </c>
      <c r="X169" s="574" t="s">
        <v>2552</v>
      </c>
      <c r="Y169" s="575" t="s">
        <v>2553</v>
      </c>
      <c r="Z169" s="575" t="s">
        <v>2553</v>
      </c>
      <c r="AA169" s="574" t="s">
        <v>1691</v>
      </c>
      <c r="AB169" s="574" t="s">
        <v>2297</v>
      </c>
      <c r="AC169" s="574" t="s">
        <v>2298</v>
      </c>
      <c r="AD169" s="574" t="s">
        <v>2299</v>
      </c>
      <c r="AE169" s="574" t="s">
        <v>1468</v>
      </c>
      <c r="AF169" s="574" t="s">
        <v>2299</v>
      </c>
      <c r="AG169" s="576">
        <v>0</v>
      </c>
      <c r="AH169" s="576">
        <v>147800</v>
      </c>
      <c r="AI169"/>
    </row>
    <row r="170" spans="1:35" x14ac:dyDescent="0.25">
      <c r="A170" s="574" t="s">
        <v>2219</v>
      </c>
      <c r="B170" s="574" t="s">
        <v>2220</v>
      </c>
      <c r="C170" s="574" t="s">
        <v>2221</v>
      </c>
      <c r="D170" s="574" t="s">
        <v>2220</v>
      </c>
      <c r="E170" s="574" t="s">
        <v>2222</v>
      </c>
      <c r="F170" s="574" t="s">
        <v>2223</v>
      </c>
      <c r="G170" s="574" t="s">
        <v>2224</v>
      </c>
      <c r="H170" s="574" t="s">
        <v>2225</v>
      </c>
      <c r="I170" s="574" t="s">
        <v>2226</v>
      </c>
      <c r="J170" s="574" t="s">
        <v>2227</v>
      </c>
      <c r="K170" s="574" t="s">
        <v>2228</v>
      </c>
      <c r="L170" s="574" t="s">
        <v>2229</v>
      </c>
      <c r="M170" s="574" t="s">
        <v>2230</v>
      </c>
      <c r="N170" s="574" t="s">
        <v>2231</v>
      </c>
      <c r="O170" s="574" t="s">
        <v>2232</v>
      </c>
      <c r="P170" s="574" t="s">
        <v>2233</v>
      </c>
      <c r="Q170" s="574" t="s">
        <v>2234</v>
      </c>
      <c r="R170" s="574" t="s">
        <v>2225</v>
      </c>
      <c r="S170" s="574" t="s">
        <v>2235</v>
      </c>
      <c r="T170" s="574" t="s">
        <v>2236</v>
      </c>
      <c r="U170" s="574" t="s">
        <v>2554</v>
      </c>
      <c r="V170" s="574" t="s">
        <v>2238</v>
      </c>
      <c r="W170" s="574" t="s">
        <v>2239</v>
      </c>
      <c r="X170" s="574" t="s">
        <v>2555</v>
      </c>
      <c r="Y170" s="575" t="s">
        <v>2553</v>
      </c>
      <c r="Z170" s="575" t="s">
        <v>2553</v>
      </c>
      <c r="AA170" s="574" t="s">
        <v>1696</v>
      </c>
      <c r="AB170" s="574" t="s">
        <v>2404</v>
      </c>
      <c r="AC170" s="574" t="s">
        <v>2405</v>
      </c>
      <c r="AD170" s="574" t="s">
        <v>2406</v>
      </c>
      <c r="AE170" s="574" t="s">
        <v>2407</v>
      </c>
      <c r="AF170" s="574" t="s">
        <v>2406</v>
      </c>
      <c r="AG170" s="576">
        <v>0</v>
      </c>
      <c r="AH170" s="576">
        <v>14750</v>
      </c>
      <c r="AI170"/>
    </row>
    <row r="171" spans="1:35" x14ac:dyDescent="0.25">
      <c r="A171" s="574" t="s">
        <v>2219</v>
      </c>
      <c r="B171" s="574" t="s">
        <v>2220</v>
      </c>
      <c r="C171" s="574" t="s">
        <v>2221</v>
      </c>
      <c r="D171" s="574" t="s">
        <v>2220</v>
      </c>
      <c r="E171" s="574" t="s">
        <v>2222</v>
      </c>
      <c r="F171" s="574" t="s">
        <v>2223</v>
      </c>
      <c r="G171" s="574" t="s">
        <v>2224</v>
      </c>
      <c r="H171" s="574" t="s">
        <v>2225</v>
      </c>
      <c r="I171" s="574" t="s">
        <v>2226</v>
      </c>
      <c r="J171" s="574" t="s">
        <v>2227</v>
      </c>
      <c r="K171" s="574" t="s">
        <v>2228</v>
      </c>
      <c r="L171" s="574" t="s">
        <v>2229</v>
      </c>
      <c r="M171" s="574" t="s">
        <v>2230</v>
      </c>
      <c r="N171" s="574" t="s">
        <v>2231</v>
      </c>
      <c r="O171" s="574" t="s">
        <v>2232</v>
      </c>
      <c r="P171" s="574" t="s">
        <v>2233</v>
      </c>
      <c r="Q171" s="574" t="s">
        <v>2234</v>
      </c>
      <c r="R171" s="574" t="s">
        <v>2225</v>
      </c>
      <c r="S171" s="574" t="s">
        <v>2235</v>
      </c>
      <c r="T171" s="574" t="s">
        <v>2236</v>
      </c>
      <c r="U171" s="574" t="s">
        <v>2556</v>
      </c>
      <c r="V171" s="574" t="s">
        <v>2238</v>
      </c>
      <c r="W171" s="574" t="s">
        <v>2239</v>
      </c>
      <c r="X171" s="574" t="s">
        <v>2557</v>
      </c>
      <c r="Y171" s="575" t="s">
        <v>2553</v>
      </c>
      <c r="Z171" s="575" t="s">
        <v>2553</v>
      </c>
      <c r="AA171" s="574" t="s">
        <v>1695</v>
      </c>
      <c r="AB171" s="574" t="s">
        <v>2337</v>
      </c>
      <c r="AC171" s="574" t="s">
        <v>2338</v>
      </c>
      <c r="AD171" s="574" t="s">
        <v>2339</v>
      </c>
      <c r="AE171" s="574" t="s">
        <v>1436</v>
      </c>
      <c r="AF171" s="574" t="s">
        <v>2339</v>
      </c>
      <c r="AG171" s="576">
        <v>0</v>
      </c>
      <c r="AH171" s="576">
        <v>115886.79</v>
      </c>
      <c r="AI171"/>
    </row>
    <row r="172" spans="1:35" x14ac:dyDescent="0.25">
      <c r="A172" s="574" t="s">
        <v>2219</v>
      </c>
      <c r="B172" s="574" t="s">
        <v>2220</v>
      </c>
      <c r="C172" s="574" t="s">
        <v>2221</v>
      </c>
      <c r="D172" s="574" t="s">
        <v>2220</v>
      </c>
      <c r="E172" s="574" t="s">
        <v>2222</v>
      </c>
      <c r="F172" s="574" t="s">
        <v>2223</v>
      </c>
      <c r="G172" s="574" t="s">
        <v>2224</v>
      </c>
      <c r="H172" s="574" t="s">
        <v>2225</v>
      </c>
      <c r="I172" s="574" t="s">
        <v>2226</v>
      </c>
      <c r="J172" s="574" t="s">
        <v>2227</v>
      </c>
      <c r="K172" s="574" t="s">
        <v>2228</v>
      </c>
      <c r="L172" s="574" t="s">
        <v>2229</v>
      </c>
      <c r="M172" s="574" t="s">
        <v>2230</v>
      </c>
      <c r="N172" s="574" t="s">
        <v>2231</v>
      </c>
      <c r="O172" s="574" t="s">
        <v>2232</v>
      </c>
      <c r="P172" s="574" t="s">
        <v>2233</v>
      </c>
      <c r="Q172" s="574" t="s">
        <v>2234</v>
      </c>
      <c r="R172" s="574" t="s">
        <v>2225</v>
      </c>
      <c r="S172" s="574" t="s">
        <v>2235</v>
      </c>
      <c r="T172" s="574" t="s">
        <v>2236</v>
      </c>
      <c r="U172" s="574" t="s">
        <v>2558</v>
      </c>
      <c r="V172" s="574" t="s">
        <v>2238</v>
      </c>
      <c r="W172" s="574" t="s">
        <v>2239</v>
      </c>
      <c r="X172" s="574" t="s">
        <v>2559</v>
      </c>
      <c r="Y172" s="575" t="s">
        <v>2553</v>
      </c>
      <c r="Z172" s="575" t="s">
        <v>2553</v>
      </c>
      <c r="AA172" s="574" t="s">
        <v>1693</v>
      </c>
      <c r="AB172" s="574" t="s">
        <v>2319</v>
      </c>
      <c r="AC172" s="574" t="s">
        <v>2320</v>
      </c>
      <c r="AD172" s="574" t="s">
        <v>2321</v>
      </c>
      <c r="AE172" s="574" t="s">
        <v>1446</v>
      </c>
      <c r="AF172" s="574" t="s">
        <v>2321</v>
      </c>
      <c r="AG172" s="576">
        <v>0</v>
      </c>
      <c r="AH172" s="576">
        <v>13688</v>
      </c>
      <c r="AI172"/>
    </row>
    <row r="173" spans="1:35" x14ac:dyDescent="0.25">
      <c r="A173" s="574" t="s">
        <v>2219</v>
      </c>
      <c r="B173" s="574" t="s">
        <v>2220</v>
      </c>
      <c r="C173" s="574" t="s">
        <v>2221</v>
      </c>
      <c r="D173" s="574" t="s">
        <v>2220</v>
      </c>
      <c r="E173" s="574" t="s">
        <v>2222</v>
      </c>
      <c r="F173" s="574" t="s">
        <v>2223</v>
      </c>
      <c r="G173" s="574" t="s">
        <v>2224</v>
      </c>
      <c r="H173" s="574" t="s">
        <v>2225</v>
      </c>
      <c r="I173" s="574" t="s">
        <v>2226</v>
      </c>
      <c r="J173" s="574" t="s">
        <v>2227</v>
      </c>
      <c r="K173" s="574" t="s">
        <v>2228</v>
      </c>
      <c r="L173" s="574" t="s">
        <v>2229</v>
      </c>
      <c r="M173" s="574" t="s">
        <v>2230</v>
      </c>
      <c r="N173" s="574" t="s">
        <v>2231</v>
      </c>
      <c r="O173" s="574" t="s">
        <v>2232</v>
      </c>
      <c r="P173" s="574" t="s">
        <v>2233</v>
      </c>
      <c r="Q173" s="574" t="s">
        <v>2234</v>
      </c>
      <c r="R173" s="574" t="s">
        <v>2225</v>
      </c>
      <c r="S173" s="574" t="s">
        <v>2235</v>
      </c>
      <c r="T173" s="574" t="s">
        <v>2236</v>
      </c>
      <c r="U173" s="574" t="s">
        <v>2560</v>
      </c>
      <c r="V173" s="574" t="s">
        <v>2238</v>
      </c>
      <c r="W173" s="574" t="s">
        <v>2239</v>
      </c>
      <c r="X173" s="574" t="s">
        <v>2561</v>
      </c>
      <c r="Y173" s="575" t="s">
        <v>2562</v>
      </c>
      <c r="Z173" s="575" t="s">
        <v>2562</v>
      </c>
      <c r="AA173" s="574" t="s">
        <v>1692</v>
      </c>
      <c r="AB173" s="574" t="s">
        <v>2307</v>
      </c>
      <c r="AC173" s="574" t="s">
        <v>2308</v>
      </c>
      <c r="AD173" s="574" t="s">
        <v>2309</v>
      </c>
      <c r="AE173" s="574" t="s">
        <v>1490</v>
      </c>
      <c r="AF173" s="574" t="s">
        <v>176</v>
      </c>
      <c r="AG173" s="576">
        <v>0</v>
      </c>
      <c r="AH173" s="576">
        <v>147000</v>
      </c>
      <c r="AI173"/>
    </row>
    <row r="174" spans="1:35" x14ac:dyDescent="0.25">
      <c r="A174" s="574" t="s">
        <v>2219</v>
      </c>
      <c r="B174" s="574" t="s">
        <v>2220</v>
      </c>
      <c r="C174" s="574" t="s">
        <v>2221</v>
      </c>
      <c r="D174" s="574" t="s">
        <v>2220</v>
      </c>
      <c r="E174" s="574" t="s">
        <v>2222</v>
      </c>
      <c r="F174" s="574" t="s">
        <v>2223</v>
      </c>
      <c r="G174" s="574" t="s">
        <v>2224</v>
      </c>
      <c r="H174" s="574" t="s">
        <v>2225</v>
      </c>
      <c r="I174" s="574" t="s">
        <v>2226</v>
      </c>
      <c r="J174" s="574" t="s">
        <v>2227</v>
      </c>
      <c r="K174" s="574" t="s">
        <v>2228</v>
      </c>
      <c r="L174" s="574" t="s">
        <v>2229</v>
      </c>
      <c r="M174" s="574" t="s">
        <v>2230</v>
      </c>
      <c r="N174" s="574" t="s">
        <v>2231</v>
      </c>
      <c r="O174" s="574" t="s">
        <v>2232</v>
      </c>
      <c r="P174" s="574" t="s">
        <v>2233</v>
      </c>
      <c r="Q174" s="574" t="s">
        <v>2234</v>
      </c>
      <c r="R174" s="574" t="s">
        <v>2225</v>
      </c>
      <c r="S174" s="574" t="s">
        <v>2235</v>
      </c>
      <c r="T174" s="574" t="s">
        <v>2236</v>
      </c>
      <c r="U174" s="574" t="s">
        <v>2563</v>
      </c>
      <c r="V174" s="574" t="s">
        <v>2238</v>
      </c>
      <c r="W174" s="574" t="s">
        <v>2239</v>
      </c>
      <c r="X174" s="574" t="s">
        <v>2564</v>
      </c>
      <c r="Y174" s="575" t="s">
        <v>2565</v>
      </c>
      <c r="Z174" s="575" t="s">
        <v>2565</v>
      </c>
      <c r="AA174" s="574" t="s">
        <v>1688</v>
      </c>
      <c r="AB174" s="574" t="s">
        <v>2430</v>
      </c>
      <c r="AC174" s="574" t="s">
        <v>2431</v>
      </c>
      <c r="AD174" s="574" t="s">
        <v>99</v>
      </c>
      <c r="AE174" s="574" t="s">
        <v>1531</v>
      </c>
      <c r="AF174" s="574" t="s">
        <v>99</v>
      </c>
      <c r="AG174" s="576">
        <v>0</v>
      </c>
      <c r="AH174" s="576">
        <v>699300</v>
      </c>
      <c r="AI174"/>
    </row>
    <row r="175" spans="1:35" x14ac:dyDescent="0.25">
      <c r="A175" s="574" t="s">
        <v>2219</v>
      </c>
      <c r="B175" s="574" t="s">
        <v>2220</v>
      </c>
      <c r="C175" s="574" t="s">
        <v>2221</v>
      </c>
      <c r="D175" s="574" t="s">
        <v>2220</v>
      </c>
      <c r="E175" s="574" t="s">
        <v>2222</v>
      </c>
      <c r="F175" s="574" t="s">
        <v>2223</v>
      </c>
      <c r="G175" s="574" t="s">
        <v>2224</v>
      </c>
      <c r="H175" s="574" t="s">
        <v>2225</v>
      </c>
      <c r="I175" s="574" t="s">
        <v>2226</v>
      </c>
      <c r="J175" s="574" t="s">
        <v>2227</v>
      </c>
      <c r="K175" s="574" t="s">
        <v>2228</v>
      </c>
      <c r="L175" s="574" t="s">
        <v>2229</v>
      </c>
      <c r="M175" s="574" t="s">
        <v>2230</v>
      </c>
      <c r="N175" s="574" t="s">
        <v>2231</v>
      </c>
      <c r="O175" s="574" t="s">
        <v>2232</v>
      </c>
      <c r="P175" s="574" t="s">
        <v>2233</v>
      </c>
      <c r="Q175" s="574" t="s">
        <v>2234</v>
      </c>
      <c r="R175" s="574" t="s">
        <v>2225</v>
      </c>
      <c r="S175" s="574" t="s">
        <v>2235</v>
      </c>
      <c r="T175" s="574" t="s">
        <v>2236</v>
      </c>
      <c r="U175" s="574" t="s">
        <v>2566</v>
      </c>
      <c r="V175" s="574" t="s">
        <v>2238</v>
      </c>
      <c r="W175" s="574" t="s">
        <v>2239</v>
      </c>
      <c r="X175" s="574" t="s">
        <v>2567</v>
      </c>
      <c r="Y175" s="575" t="s">
        <v>2568</v>
      </c>
      <c r="Z175" s="575" t="s">
        <v>2568</v>
      </c>
      <c r="AA175" s="574" t="s">
        <v>1693</v>
      </c>
      <c r="AB175" s="574" t="s">
        <v>2319</v>
      </c>
      <c r="AC175" s="574" t="s">
        <v>2320</v>
      </c>
      <c r="AD175" s="574" t="s">
        <v>2321</v>
      </c>
      <c r="AE175" s="574" t="s">
        <v>1446</v>
      </c>
      <c r="AF175" s="574" t="s">
        <v>2321</v>
      </c>
      <c r="AG175" s="576">
        <v>0</v>
      </c>
      <c r="AH175" s="576">
        <v>1267200</v>
      </c>
      <c r="AI175"/>
    </row>
    <row r="176" spans="1:35" x14ac:dyDescent="0.25">
      <c r="A176" s="574" t="s">
        <v>2219</v>
      </c>
      <c r="B176" s="574" t="s">
        <v>2220</v>
      </c>
      <c r="C176" s="574" t="s">
        <v>2221</v>
      </c>
      <c r="D176" s="574" t="s">
        <v>2220</v>
      </c>
      <c r="E176" s="574" t="s">
        <v>2222</v>
      </c>
      <c r="F176" s="574" t="s">
        <v>2223</v>
      </c>
      <c r="G176" s="574" t="s">
        <v>2224</v>
      </c>
      <c r="H176" s="574" t="s">
        <v>2225</v>
      </c>
      <c r="I176" s="574" t="s">
        <v>2226</v>
      </c>
      <c r="J176" s="574" t="s">
        <v>2227</v>
      </c>
      <c r="K176" s="574" t="s">
        <v>2228</v>
      </c>
      <c r="L176" s="574" t="s">
        <v>2229</v>
      </c>
      <c r="M176" s="574" t="s">
        <v>2230</v>
      </c>
      <c r="N176" s="574" t="s">
        <v>2231</v>
      </c>
      <c r="O176" s="574" t="s">
        <v>2232</v>
      </c>
      <c r="P176" s="574" t="s">
        <v>2233</v>
      </c>
      <c r="Q176" s="574" t="s">
        <v>2234</v>
      </c>
      <c r="R176" s="574" t="s">
        <v>2225</v>
      </c>
      <c r="S176" s="574" t="s">
        <v>2235</v>
      </c>
      <c r="T176" s="574" t="s">
        <v>2236</v>
      </c>
      <c r="U176" s="574" t="s">
        <v>2569</v>
      </c>
      <c r="V176" s="574" t="s">
        <v>2238</v>
      </c>
      <c r="W176" s="574" t="s">
        <v>2239</v>
      </c>
      <c r="X176" s="574" t="s">
        <v>2570</v>
      </c>
      <c r="Y176" s="575" t="s">
        <v>2571</v>
      </c>
      <c r="Z176" s="575" t="s">
        <v>2571</v>
      </c>
      <c r="AA176" s="574" t="s">
        <v>2242</v>
      </c>
      <c r="AB176" s="574" t="s">
        <v>2243</v>
      </c>
      <c r="AC176" s="574" t="s">
        <v>2281</v>
      </c>
      <c r="AD176" s="574" t="s">
        <v>2282</v>
      </c>
      <c r="AE176" s="574" t="s">
        <v>2287</v>
      </c>
      <c r="AF176" s="574" t="s">
        <v>2288</v>
      </c>
      <c r="AG176" s="576">
        <v>0</v>
      </c>
      <c r="AH176" s="576">
        <v>55000</v>
      </c>
    </row>
    <row r="177" spans="1:35" x14ac:dyDescent="0.25">
      <c r="A177" s="574" t="s">
        <v>2219</v>
      </c>
      <c r="B177" s="574" t="s">
        <v>2220</v>
      </c>
      <c r="C177" s="574" t="s">
        <v>2221</v>
      </c>
      <c r="D177" s="574" t="s">
        <v>2220</v>
      </c>
      <c r="E177" s="574" t="s">
        <v>2222</v>
      </c>
      <c r="F177" s="574" t="s">
        <v>2223</v>
      </c>
      <c r="G177" s="574" t="s">
        <v>2224</v>
      </c>
      <c r="H177" s="574" t="s">
        <v>2225</v>
      </c>
      <c r="I177" s="574" t="s">
        <v>2226</v>
      </c>
      <c r="J177" s="574" t="s">
        <v>2227</v>
      </c>
      <c r="K177" s="574" t="s">
        <v>2228</v>
      </c>
      <c r="L177" s="574" t="s">
        <v>2229</v>
      </c>
      <c r="M177" s="574" t="s">
        <v>2230</v>
      </c>
      <c r="N177" s="574" t="s">
        <v>2231</v>
      </c>
      <c r="O177" s="574" t="s">
        <v>2232</v>
      </c>
      <c r="P177" s="574" t="s">
        <v>2233</v>
      </c>
      <c r="Q177" s="574" t="s">
        <v>2234</v>
      </c>
      <c r="R177" s="574" t="s">
        <v>2225</v>
      </c>
      <c r="S177" s="574" t="s">
        <v>2235</v>
      </c>
      <c r="T177" s="574" t="s">
        <v>2236</v>
      </c>
      <c r="U177" s="574" t="s">
        <v>2572</v>
      </c>
      <c r="V177" s="574" t="s">
        <v>2238</v>
      </c>
      <c r="W177" s="574" t="s">
        <v>2239</v>
      </c>
      <c r="X177" s="574" t="s">
        <v>2573</v>
      </c>
      <c r="Y177" s="575" t="s">
        <v>2571</v>
      </c>
      <c r="Z177" s="575" t="s">
        <v>2571</v>
      </c>
      <c r="AA177" s="574" t="s">
        <v>2242</v>
      </c>
      <c r="AB177" s="574" t="s">
        <v>2243</v>
      </c>
      <c r="AC177" s="574" t="s">
        <v>2281</v>
      </c>
      <c r="AD177" s="574" t="s">
        <v>2282</v>
      </c>
      <c r="AE177" s="574" t="s">
        <v>2283</v>
      </c>
      <c r="AF177" s="574" t="s">
        <v>2284</v>
      </c>
      <c r="AG177" s="576">
        <v>0</v>
      </c>
      <c r="AH177" s="576">
        <v>56650.2</v>
      </c>
    </row>
    <row r="178" spans="1:35" x14ac:dyDescent="0.25">
      <c r="A178" s="574" t="s">
        <v>2219</v>
      </c>
      <c r="B178" s="574" t="s">
        <v>2220</v>
      </c>
      <c r="C178" s="574" t="s">
        <v>2221</v>
      </c>
      <c r="D178" s="574" t="s">
        <v>2220</v>
      </c>
      <c r="E178" s="574" t="s">
        <v>2222</v>
      </c>
      <c r="F178" s="574" t="s">
        <v>2223</v>
      </c>
      <c r="G178" s="574" t="s">
        <v>2224</v>
      </c>
      <c r="H178" s="574" t="s">
        <v>2225</v>
      </c>
      <c r="I178" s="574" t="s">
        <v>2226</v>
      </c>
      <c r="J178" s="574" t="s">
        <v>2227</v>
      </c>
      <c r="K178" s="574" t="s">
        <v>2228</v>
      </c>
      <c r="L178" s="574" t="s">
        <v>2229</v>
      </c>
      <c r="M178" s="574" t="s">
        <v>2230</v>
      </c>
      <c r="N178" s="574" t="s">
        <v>2231</v>
      </c>
      <c r="O178" s="574" t="s">
        <v>2232</v>
      </c>
      <c r="P178" s="574" t="s">
        <v>2233</v>
      </c>
      <c r="Q178" s="574" t="s">
        <v>2234</v>
      </c>
      <c r="R178" s="574" t="s">
        <v>2225</v>
      </c>
      <c r="S178" s="574" t="s">
        <v>2235</v>
      </c>
      <c r="T178" s="574" t="s">
        <v>2236</v>
      </c>
      <c r="U178" s="574" t="s">
        <v>2574</v>
      </c>
      <c r="V178" s="574" t="s">
        <v>2238</v>
      </c>
      <c r="W178" s="574" t="s">
        <v>2239</v>
      </c>
      <c r="X178" s="574" t="s">
        <v>2575</v>
      </c>
      <c r="Y178" s="575" t="s">
        <v>2576</v>
      </c>
      <c r="Z178" s="575" t="s">
        <v>2576</v>
      </c>
      <c r="AA178" s="574" t="s">
        <v>1695</v>
      </c>
      <c r="AB178" s="574" t="s">
        <v>2337</v>
      </c>
      <c r="AC178" s="574" t="s">
        <v>2338</v>
      </c>
      <c r="AD178" s="574" t="s">
        <v>2339</v>
      </c>
      <c r="AE178" s="574" t="s">
        <v>1436</v>
      </c>
      <c r="AF178" s="574" t="s">
        <v>2339</v>
      </c>
      <c r="AG178" s="576">
        <v>0</v>
      </c>
      <c r="AH178" s="576">
        <v>43891.28</v>
      </c>
      <c r="AI178"/>
    </row>
    <row r="179" spans="1:35" x14ac:dyDescent="0.25">
      <c r="A179" s="574" t="s">
        <v>2219</v>
      </c>
      <c r="B179" s="574" t="s">
        <v>2220</v>
      </c>
      <c r="C179" s="574" t="s">
        <v>2221</v>
      </c>
      <c r="D179" s="574" t="s">
        <v>2220</v>
      </c>
      <c r="E179" s="574" t="s">
        <v>2222</v>
      </c>
      <c r="F179" s="574" t="s">
        <v>2223</v>
      </c>
      <c r="G179" s="574" t="s">
        <v>2224</v>
      </c>
      <c r="H179" s="574" t="s">
        <v>2225</v>
      </c>
      <c r="I179" s="574" t="s">
        <v>2226</v>
      </c>
      <c r="J179" s="574" t="s">
        <v>2227</v>
      </c>
      <c r="K179" s="574" t="s">
        <v>2228</v>
      </c>
      <c r="L179" s="574" t="s">
        <v>2229</v>
      </c>
      <c r="M179" s="574" t="s">
        <v>2230</v>
      </c>
      <c r="N179" s="574" t="s">
        <v>2231</v>
      </c>
      <c r="O179" s="574" t="s">
        <v>2232</v>
      </c>
      <c r="P179" s="574" t="s">
        <v>2233</v>
      </c>
      <c r="Q179" s="574" t="s">
        <v>2234</v>
      </c>
      <c r="R179" s="574" t="s">
        <v>2225</v>
      </c>
      <c r="S179" s="574" t="s">
        <v>2235</v>
      </c>
      <c r="T179" s="574" t="s">
        <v>2236</v>
      </c>
      <c r="U179" s="574" t="s">
        <v>2577</v>
      </c>
      <c r="V179" s="574" t="s">
        <v>2238</v>
      </c>
      <c r="W179" s="574" t="s">
        <v>2239</v>
      </c>
      <c r="X179" s="574" t="s">
        <v>2578</v>
      </c>
      <c r="Y179" s="575" t="s">
        <v>2579</v>
      </c>
      <c r="Z179" s="575" t="s">
        <v>2579</v>
      </c>
      <c r="AA179" s="574" t="s">
        <v>1690</v>
      </c>
      <c r="AB179" s="574" t="s">
        <v>2475</v>
      </c>
      <c r="AC179" s="574" t="s">
        <v>2534</v>
      </c>
      <c r="AD179" s="574" t="s">
        <v>2535</v>
      </c>
      <c r="AE179" s="574" t="s">
        <v>2536</v>
      </c>
      <c r="AF179" s="574" t="s">
        <v>2535</v>
      </c>
      <c r="AG179" s="576">
        <v>0</v>
      </c>
      <c r="AH179" s="576">
        <v>11552.2</v>
      </c>
      <c r="AI179"/>
    </row>
    <row r="180" spans="1:35" x14ac:dyDescent="0.25">
      <c r="A180" s="574" t="s">
        <v>2219</v>
      </c>
      <c r="B180" s="574" t="s">
        <v>2220</v>
      </c>
      <c r="C180" s="574" t="s">
        <v>2221</v>
      </c>
      <c r="D180" s="574" t="s">
        <v>2220</v>
      </c>
      <c r="E180" s="574" t="s">
        <v>2222</v>
      </c>
      <c r="F180" s="574" t="s">
        <v>2223</v>
      </c>
      <c r="G180" s="574" t="s">
        <v>2224</v>
      </c>
      <c r="H180" s="574" t="s">
        <v>2225</v>
      </c>
      <c r="I180" s="574" t="s">
        <v>2226</v>
      </c>
      <c r="J180" s="574" t="s">
        <v>2227</v>
      </c>
      <c r="K180" s="574" t="s">
        <v>2228</v>
      </c>
      <c r="L180" s="574" t="s">
        <v>2229</v>
      </c>
      <c r="M180" s="574" t="s">
        <v>2230</v>
      </c>
      <c r="N180" s="574" t="s">
        <v>2231</v>
      </c>
      <c r="O180" s="574" t="s">
        <v>2232</v>
      </c>
      <c r="P180" s="574" t="s">
        <v>2233</v>
      </c>
      <c r="Q180" s="574" t="s">
        <v>2234</v>
      </c>
      <c r="R180" s="574" t="s">
        <v>2225</v>
      </c>
      <c r="S180" s="574" t="s">
        <v>2235</v>
      </c>
      <c r="T180" s="574" t="s">
        <v>2236</v>
      </c>
      <c r="U180" s="574" t="s">
        <v>2580</v>
      </c>
      <c r="V180" s="574" t="s">
        <v>2238</v>
      </c>
      <c r="W180" s="574" t="s">
        <v>2239</v>
      </c>
      <c r="X180" s="574" t="s">
        <v>2581</v>
      </c>
      <c r="Y180" s="575" t="s">
        <v>2579</v>
      </c>
      <c r="Z180" s="575" t="s">
        <v>2579</v>
      </c>
      <c r="AA180" s="574" t="s">
        <v>1695</v>
      </c>
      <c r="AB180" s="574" t="s">
        <v>2337</v>
      </c>
      <c r="AC180" s="574" t="s">
        <v>2544</v>
      </c>
      <c r="AD180" s="574" t="s">
        <v>2545</v>
      </c>
      <c r="AE180" s="574" t="s">
        <v>2546</v>
      </c>
      <c r="AF180" s="574" t="s">
        <v>2545</v>
      </c>
      <c r="AG180" s="576">
        <v>0</v>
      </c>
      <c r="AH180" s="576">
        <v>1468274</v>
      </c>
      <c r="AI180"/>
    </row>
    <row r="181" spans="1:35" x14ac:dyDescent="0.25">
      <c r="A181" s="574" t="s">
        <v>2219</v>
      </c>
      <c r="B181" s="574" t="s">
        <v>2220</v>
      </c>
      <c r="C181" s="574" t="s">
        <v>2221</v>
      </c>
      <c r="D181" s="574" t="s">
        <v>2220</v>
      </c>
      <c r="E181" s="574" t="s">
        <v>2222</v>
      </c>
      <c r="F181" s="574" t="s">
        <v>2223</v>
      </c>
      <c r="G181" s="574" t="s">
        <v>2224</v>
      </c>
      <c r="H181" s="574" t="s">
        <v>2225</v>
      </c>
      <c r="I181" s="574" t="s">
        <v>2226</v>
      </c>
      <c r="J181" s="574" t="s">
        <v>2227</v>
      </c>
      <c r="K181" s="574" t="s">
        <v>2228</v>
      </c>
      <c r="L181" s="574" t="s">
        <v>2229</v>
      </c>
      <c r="M181" s="574" t="s">
        <v>2230</v>
      </c>
      <c r="N181" s="574" t="s">
        <v>2231</v>
      </c>
      <c r="O181" s="574" t="s">
        <v>2232</v>
      </c>
      <c r="P181" s="574" t="s">
        <v>2233</v>
      </c>
      <c r="Q181" s="574" t="s">
        <v>2234</v>
      </c>
      <c r="R181" s="574" t="s">
        <v>2225</v>
      </c>
      <c r="S181" s="574" t="s">
        <v>2235</v>
      </c>
      <c r="T181" s="574" t="s">
        <v>2236</v>
      </c>
      <c r="U181" s="574" t="s">
        <v>2582</v>
      </c>
      <c r="V181" s="574" t="s">
        <v>2238</v>
      </c>
      <c r="W181" s="574" t="s">
        <v>2239</v>
      </c>
      <c r="X181" s="574" t="s">
        <v>2583</v>
      </c>
      <c r="Y181" s="575" t="s">
        <v>2579</v>
      </c>
      <c r="Z181" s="575" t="s">
        <v>2579</v>
      </c>
      <c r="AA181" s="574" t="s">
        <v>1691</v>
      </c>
      <c r="AB181" s="574" t="s">
        <v>2297</v>
      </c>
      <c r="AC181" s="574" t="s">
        <v>2298</v>
      </c>
      <c r="AD181" s="574" t="s">
        <v>2299</v>
      </c>
      <c r="AE181" s="574" t="s">
        <v>1468</v>
      </c>
      <c r="AF181" s="574" t="s">
        <v>2299</v>
      </c>
      <c r="AG181" s="576">
        <v>0</v>
      </c>
      <c r="AH181" s="576">
        <v>188200</v>
      </c>
      <c r="AI181"/>
    </row>
    <row r="182" spans="1:35" x14ac:dyDescent="0.25">
      <c r="A182" s="574" t="s">
        <v>2219</v>
      </c>
      <c r="B182" s="574" t="s">
        <v>2220</v>
      </c>
      <c r="C182" s="574" t="s">
        <v>2221</v>
      </c>
      <c r="D182" s="574" t="s">
        <v>2220</v>
      </c>
      <c r="E182" s="574" t="s">
        <v>2222</v>
      </c>
      <c r="F182" s="574" t="s">
        <v>2223</v>
      </c>
      <c r="G182" s="574" t="s">
        <v>2224</v>
      </c>
      <c r="H182" s="574" t="s">
        <v>2225</v>
      </c>
      <c r="I182" s="574" t="s">
        <v>2226</v>
      </c>
      <c r="J182" s="574" t="s">
        <v>2227</v>
      </c>
      <c r="K182" s="574" t="s">
        <v>2228</v>
      </c>
      <c r="L182" s="574" t="s">
        <v>2229</v>
      </c>
      <c r="M182" s="574" t="s">
        <v>2230</v>
      </c>
      <c r="N182" s="574" t="s">
        <v>2231</v>
      </c>
      <c r="O182" s="574" t="s">
        <v>2232</v>
      </c>
      <c r="P182" s="574" t="s">
        <v>2233</v>
      </c>
      <c r="Q182" s="574" t="s">
        <v>2234</v>
      </c>
      <c r="R182" s="574" t="s">
        <v>2225</v>
      </c>
      <c r="S182" s="574" t="s">
        <v>2235</v>
      </c>
      <c r="T182" s="574" t="s">
        <v>2236</v>
      </c>
      <c r="U182" s="574" t="s">
        <v>2584</v>
      </c>
      <c r="V182" s="574" t="s">
        <v>2238</v>
      </c>
      <c r="W182" s="574" t="s">
        <v>2239</v>
      </c>
      <c r="X182" s="574" t="s">
        <v>2585</v>
      </c>
      <c r="Y182" s="575" t="s">
        <v>2586</v>
      </c>
      <c r="Z182" s="575" t="s">
        <v>2586</v>
      </c>
      <c r="AA182" s="574" t="s">
        <v>1691</v>
      </c>
      <c r="AB182" s="574" t="s">
        <v>2297</v>
      </c>
      <c r="AC182" s="574" t="s">
        <v>2298</v>
      </c>
      <c r="AD182" s="574" t="s">
        <v>2299</v>
      </c>
      <c r="AE182" s="574" t="s">
        <v>1468</v>
      </c>
      <c r="AF182" s="574" t="s">
        <v>2299</v>
      </c>
      <c r="AG182" s="576">
        <v>0</v>
      </c>
      <c r="AH182" s="576">
        <v>43750</v>
      </c>
      <c r="AI182"/>
    </row>
    <row r="183" spans="1:35" x14ac:dyDescent="0.25">
      <c r="A183" s="574" t="s">
        <v>2219</v>
      </c>
      <c r="B183" s="574" t="s">
        <v>2220</v>
      </c>
      <c r="C183" s="574" t="s">
        <v>2221</v>
      </c>
      <c r="D183" s="574" t="s">
        <v>2220</v>
      </c>
      <c r="E183" s="574" t="s">
        <v>2222</v>
      </c>
      <c r="F183" s="574" t="s">
        <v>2223</v>
      </c>
      <c r="G183" s="574" t="s">
        <v>2224</v>
      </c>
      <c r="H183" s="574" t="s">
        <v>2225</v>
      </c>
      <c r="I183" s="574" t="s">
        <v>2226</v>
      </c>
      <c r="J183" s="574" t="s">
        <v>2227</v>
      </c>
      <c r="K183" s="574" t="s">
        <v>2228</v>
      </c>
      <c r="L183" s="574" t="s">
        <v>2229</v>
      </c>
      <c r="M183" s="574" t="s">
        <v>2230</v>
      </c>
      <c r="N183" s="574" t="s">
        <v>2231</v>
      </c>
      <c r="O183" s="574" t="s">
        <v>2232</v>
      </c>
      <c r="P183" s="574" t="s">
        <v>2233</v>
      </c>
      <c r="Q183" s="574" t="s">
        <v>2234</v>
      </c>
      <c r="R183" s="574" t="s">
        <v>2225</v>
      </c>
      <c r="S183" s="574" t="s">
        <v>2235</v>
      </c>
      <c r="T183" s="574" t="s">
        <v>2236</v>
      </c>
      <c r="U183" s="574" t="s">
        <v>2587</v>
      </c>
      <c r="V183" s="574" t="s">
        <v>2238</v>
      </c>
      <c r="W183" s="574" t="s">
        <v>2239</v>
      </c>
      <c r="X183" s="574" t="s">
        <v>2588</v>
      </c>
      <c r="Y183" s="575" t="s">
        <v>2586</v>
      </c>
      <c r="Z183" s="575" t="s">
        <v>2586</v>
      </c>
      <c r="AA183" s="574" t="s">
        <v>1695</v>
      </c>
      <c r="AB183" s="574" t="s">
        <v>2337</v>
      </c>
      <c r="AC183" s="574" t="s">
        <v>2338</v>
      </c>
      <c r="AD183" s="574" t="s">
        <v>2339</v>
      </c>
      <c r="AE183" s="574" t="s">
        <v>1436</v>
      </c>
      <c r="AF183" s="574" t="s">
        <v>2339</v>
      </c>
      <c r="AG183" s="576">
        <v>0</v>
      </c>
      <c r="AH183" s="576">
        <v>1227200</v>
      </c>
      <c r="AI183"/>
    </row>
    <row r="184" spans="1:35" x14ac:dyDescent="0.25">
      <c r="A184" s="574" t="s">
        <v>2219</v>
      </c>
      <c r="B184" s="574" t="s">
        <v>2220</v>
      </c>
      <c r="C184" s="574" t="s">
        <v>2221</v>
      </c>
      <c r="D184" s="574" t="s">
        <v>2220</v>
      </c>
      <c r="E184" s="574" t="s">
        <v>2222</v>
      </c>
      <c r="F184" s="574" t="s">
        <v>2223</v>
      </c>
      <c r="G184" s="574" t="s">
        <v>2224</v>
      </c>
      <c r="H184" s="574" t="s">
        <v>2225</v>
      </c>
      <c r="I184" s="574" t="s">
        <v>2226</v>
      </c>
      <c r="J184" s="574" t="s">
        <v>2227</v>
      </c>
      <c r="K184" s="574" t="s">
        <v>2228</v>
      </c>
      <c r="L184" s="574" t="s">
        <v>2229</v>
      </c>
      <c r="M184" s="574" t="s">
        <v>2230</v>
      </c>
      <c r="N184" s="574" t="s">
        <v>2231</v>
      </c>
      <c r="O184" s="574" t="s">
        <v>2232</v>
      </c>
      <c r="P184" s="574" t="s">
        <v>2233</v>
      </c>
      <c r="Q184" s="574" t="s">
        <v>2234</v>
      </c>
      <c r="R184" s="574" t="s">
        <v>2225</v>
      </c>
      <c r="S184" s="574" t="s">
        <v>2235</v>
      </c>
      <c r="T184" s="574" t="s">
        <v>2236</v>
      </c>
      <c r="U184" s="574" t="s">
        <v>2589</v>
      </c>
      <c r="V184" s="574" t="s">
        <v>2238</v>
      </c>
      <c r="W184" s="574" t="s">
        <v>2239</v>
      </c>
      <c r="X184" s="574" t="s">
        <v>2590</v>
      </c>
      <c r="Y184" s="575" t="s">
        <v>2586</v>
      </c>
      <c r="Z184" s="575" t="s">
        <v>2586</v>
      </c>
      <c r="AA184" s="574" t="s">
        <v>1695</v>
      </c>
      <c r="AB184" s="574" t="s">
        <v>2337</v>
      </c>
      <c r="AC184" s="574" t="s">
        <v>2544</v>
      </c>
      <c r="AD184" s="574" t="s">
        <v>2545</v>
      </c>
      <c r="AE184" s="574" t="s">
        <v>2546</v>
      </c>
      <c r="AF184" s="574" t="s">
        <v>2545</v>
      </c>
      <c r="AG184" s="576">
        <v>0</v>
      </c>
      <c r="AH184" s="576">
        <v>1031320</v>
      </c>
      <c r="AI184"/>
    </row>
    <row r="185" spans="1:35" x14ac:dyDescent="0.25">
      <c r="A185" s="574" t="s">
        <v>2219</v>
      </c>
      <c r="B185" s="574" t="s">
        <v>2220</v>
      </c>
      <c r="C185" s="574" t="s">
        <v>2221</v>
      </c>
      <c r="D185" s="574" t="s">
        <v>2220</v>
      </c>
      <c r="E185" s="574" t="s">
        <v>2222</v>
      </c>
      <c r="F185" s="574" t="s">
        <v>2223</v>
      </c>
      <c r="G185" s="574" t="s">
        <v>2224</v>
      </c>
      <c r="H185" s="574" t="s">
        <v>2225</v>
      </c>
      <c r="I185" s="574" t="s">
        <v>2226</v>
      </c>
      <c r="J185" s="574" t="s">
        <v>2227</v>
      </c>
      <c r="K185" s="574" t="s">
        <v>2228</v>
      </c>
      <c r="L185" s="574" t="s">
        <v>2229</v>
      </c>
      <c r="M185" s="574" t="s">
        <v>2230</v>
      </c>
      <c r="N185" s="574" t="s">
        <v>2231</v>
      </c>
      <c r="O185" s="574" t="s">
        <v>2232</v>
      </c>
      <c r="P185" s="574" t="s">
        <v>2233</v>
      </c>
      <c r="Q185" s="574" t="s">
        <v>2234</v>
      </c>
      <c r="R185" s="574" t="s">
        <v>2225</v>
      </c>
      <c r="S185" s="574" t="s">
        <v>2235</v>
      </c>
      <c r="T185" s="574" t="s">
        <v>2236</v>
      </c>
      <c r="U185" s="574" t="s">
        <v>2591</v>
      </c>
      <c r="V185" s="574" t="s">
        <v>2238</v>
      </c>
      <c r="W185" s="574" t="s">
        <v>2239</v>
      </c>
      <c r="X185" s="574" t="s">
        <v>2592</v>
      </c>
      <c r="Y185" s="575" t="s">
        <v>2593</v>
      </c>
      <c r="Z185" s="575" t="s">
        <v>2593</v>
      </c>
      <c r="AA185" s="574" t="s">
        <v>1692</v>
      </c>
      <c r="AB185" s="574" t="s">
        <v>2307</v>
      </c>
      <c r="AC185" s="574" t="s">
        <v>2308</v>
      </c>
      <c r="AD185" s="574" t="s">
        <v>2309</v>
      </c>
      <c r="AE185" s="574" t="s">
        <v>1490</v>
      </c>
      <c r="AF185" s="574" t="s">
        <v>176</v>
      </c>
      <c r="AG185" s="576">
        <v>0</v>
      </c>
      <c r="AH185" s="576">
        <v>351123.22</v>
      </c>
      <c r="AI185"/>
    </row>
    <row r="186" spans="1:35" x14ac:dyDescent="0.25">
      <c r="A186" s="574" t="s">
        <v>2219</v>
      </c>
      <c r="B186" s="574" t="s">
        <v>2220</v>
      </c>
      <c r="C186" s="574" t="s">
        <v>2221</v>
      </c>
      <c r="D186" s="574" t="s">
        <v>2220</v>
      </c>
      <c r="E186" s="574" t="s">
        <v>2222</v>
      </c>
      <c r="F186" s="574" t="s">
        <v>2223</v>
      </c>
      <c r="G186" s="574" t="s">
        <v>2224</v>
      </c>
      <c r="H186" s="574" t="s">
        <v>2225</v>
      </c>
      <c r="I186" s="574" t="s">
        <v>2226</v>
      </c>
      <c r="J186" s="574" t="s">
        <v>2227</v>
      </c>
      <c r="K186" s="574" t="s">
        <v>2228</v>
      </c>
      <c r="L186" s="574" t="s">
        <v>2229</v>
      </c>
      <c r="M186" s="574" t="s">
        <v>2230</v>
      </c>
      <c r="N186" s="574" t="s">
        <v>2231</v>
      </c>
      <c r="O186" s="574" t="s">
        <v>2232</v>
      </c>
      <c r="P186" s="574" t="s">
        <v>2233</v>
      </c>
      <c r="Q186" s="574" t="s">
        <v>2234</v>
      </c>
      <c r="R186" s="574" t="s">
        <v>2225</v>
      </c>
      <c r="S186" s="574" t="s">
        <v>2235</v>
      </c>
      <c r="T186" s="574" t="s">
        <v>2236</v>
      </c>
      <c r="U186" s="574" t="s">
        <v>2594</v>
      </c>
      <c r="V186" s="574" t="s">
        <v>2238</v>
      </c>
      <c r="W186" s="574" t="s">
        <v>2239</v>
      </c>
      <c r="X186" s="574" t="s">
        <v>2595</v>
      </c>
      <c r="Y186" s="575" t="s">
        <v>2596</v>
      </c>
      <c r="Z186" s="575" t="s">
        <v>2596</v>
      </c>
      <c r="AA186" s="574" t="s">
        <v>1694</v>
      </c>
      <c r="AB186" s="574" t="s">
        <v>2314</v>
      </c>
      <c r="AC186" s="574" t="s">
        <v>2315</v>
      </c>
      <c r="AD186" s="574" t="s">
        <v>2316</v>
      </c>
      <c r="AE186" s="574" t="s">
        <v>1470</v>
      </c>
      <c r="AF186" s="574" t="s">
        <v>2316</v>
      </c>
      <c r="AG186" s="576">
        <v>0</v>
      </c>
      <c r="AH186" s="576">
        <v>243906</v>
      </c>
      <c r="AI186"/>
    </row>
    <row r="187" spans="1:35" x14ac:dyDescent="0.25">
      <c r="A187" s="574" t="s">
        <v>2219</v>
      </c>
      <c r="B187" s="574" t="s">
        <v>2220</v>
      </c>
      <c r="C187" s="574" t="s">
        <v>2221</v>
      </c>
      <c r="D187" s="574" t="s">
        <v>2220</v>
      </c>
      <c r="E187" s="574" t="s">
        <v>2222</v>
      </c>
      <c r="F187" s="574" t="s">
        <v>2223</v>
      </c>
      <c r="G187" s="574" t="s">
        <v>2224</v>
      </c>
      <c r="H187" s="574" t="s">
        <v>2225</v>
      </c>
      <c r="I187" s="574" t="s">
        <v>2226</v>
      </c>
      <c r="J187" s="574" t="s">
        <v>2227</v>
      </c>
      <c r="K187" s="574" t="s">
        <v>2228</v>
      </c>
      <c r="L187" s="574" t="s">
        <v>2229</v>
      </c>
      <c r="M187" s="574" t="s">
        <v>2230</v>
      </c>
      <c r="N187" s="574" t="s">
        <v>2231</v>
      </c>
      <c r="O187" s="574" t="s">
        <v>2232</v>
      </c>
      <c r="P187" s="574" t="s">
        <v>2233</v>
      </c>
      <c r="Q187" s="574" t="s">
        <v>2234</v>
      </c>
      <c r="R187" s="574" t="s">
        <v>2225</v>
      </c>
      <c r="S187" s="574" t="s">
        <v>2235</v>
      </c>
      <c r="T187" s="574" t="s">
        <v>2236</v>
      </c>
      <c r="U187" s="574" t="s">
        <v>2594</v>
      </c>
      <c r="V187" s="574" t="s">
        <v>2238</v>
      </c>
      <c r="W187" s="574" t="s">
        <v>2239</v>
      </c>
      <c r="X187" s="574" t="s">
        <v>2595</v>
      </c>
      <c r="Y187" s="575" t="s">
        <v>2596</v>
      </c>
      <c r="Z187" s="575" t="s">
        <v>2596</v>
      </c>
      <c r="AA187" s="574" t="s">
        <v>1694</v>
      </c>
      <c r="AB187" s="574" t="s">
        <v>2314</v>
      </c>
      <c r="AC187" s="574" t="s">
        <v>2385</v>
      </c>
      <c r="AD187" s="574" t="s">
        <v>2386</v>
      </c>
      <c r="AE187" s="574" t="s">
        <v>2387</v>
      </c>
      <c r="AF187" s="574" t="s">
        <v>2386</v>
      </c>
      <c r="AG187" s="576">
        <v>0</v>
      </c>
      <c r="AH187" s="576">
        <v>153282</v>
      </c>
      <c r="AI187"/>
    </row>
    <row r="188" spans="1:35" x14ac:dyDescent="0.25">
      <c r="A188" s="574" t="s">
        <v>2219</v>
      </c>
      <c r="B188" s="574" t="s">
        <v>2220</v>
      </c>
      <c r="C188" s="574" t="s">
        <v>2221</v>
      </c>
      <c r="D188" s="574" t="s">
        <v>2220</v>
      </c>
      <c r="E188" s="574" t="s">
        <v>2222</v>
      </c>
      <c r="F188" s="574" t="s">
        <v>2223</v>
      </c>
      <c r="G188" s="574" t="s">
        <v>2224</v>
      </c>
      <c r="H188" s="574" t="s">
        <v>2225</v>
      </c>
      <c r="I188" s="574" t="s">
        <v>2226</v>
      </c>
      <c r="J188" s="574" t="s">
        <v>2227</v>
      </c>
      <c r="K188" s="574" t="s">
        <v>2228</v>
      </c>
      <c r="L188" s="574" t="s">
        <v>2229</v>
      </c>
      <c r="M188" s="574" t="s">
        <v>2230</v>
      </c>
      <c r="N188" s="574" t="s">
        <v>2231</v>
      </c>
      <c r="O188" s="574" t="s">
        <v>2232</v>
      </c>
      <c r="P188" s="574" t="s">
        <v>2233</v>
      </c>
      <c r="Q188" s="574" t="s">
        <v>2234</v>
      </c>
      <c r="R188" s="574" t="s">
        <v>2225</v>
      </c>
      <c r="S188" s="574" t="s">
        <v>2235</v>
      </c>
      <c r="T188" s="574" t="s">
        <v>2236</v>
      </c>
      <c r="U188" s="574" t="s">
        <v>2597</v>
      </c>
      <c r="V188" s="574" t="s">
        <v>2238</v>
      </c>
      <c r="W188" s="574" t="s">
        <v>2239</v>
      </c>
      <c r="X188" s="574" t="s">
        <v>2598</v>
      </c>
      <c r="Y188" s="575" t="s">
        <v>2599</v>
      </c>
      <c r="Z188" s="575" t="s">
        <v>2599</v>
      </c>
      <c r="AA188" s="574" t="s">
        <v>1692</v>
      </c>
      <c r="AB188" s="574" t="s">
        <v>2307</v>
      </c>
      <c r="AC188" s="574" t="s">
        <v>2308</v>
      </c>
      <c r="AD188" s="574" t="s">
        <v>2309</v>
      </c>
      <c r="AE188" s="574" t="s">
        <v>1490</v>
      </c>
      <c r="AF188" s="574" t="s">
        <v>176</v>
      </c>
      <c r="AG188" s="576">
        <v>0</v>
      </c>
      <c r="AH188" s="576">
        <v>312011</v>
      </c>
      <c r="AI188"/>
    </row>
    <row r="189" spans="1:35" x14ac:dyDescent="0.25">
      <c r="A189" s="574" t="s">
        <v>2219</v>
      </c>
      <c r="B189" s="574" t="s">
        <v>2220</v>
      </c>
      <c r="C189" s="574" t="s">
        <v>2221</v>
      </c>
      <c r="D189" s="574" t="s">
        <v>2220</v>
      </c>
      <c r="E189" s="574" t="s">
        <v>2222</v>
      </c>
      <c r="F189" s="574" t="s">
        <v>2223</v>
      </c>
      <c r="G189" s="574" t="s">
        <v>2224</v>
      </c>
      <c r="H189" s="574" t="s">
        <v>2225</v>
      </c>
      <c r="I189" s="574" t="s">
        <v>2226</v>
      </c>
      <c r="J189" s="574" t="s">
        <v>2227</v>
      </c>
      <c r="K189" s="574" t="s">
        <v>2228</v>
      </c>
      <c r="L189" s="574" t="s">
        <v>2229</v>
      </c>
      <c r="M189" s="574" t="s">
        <v>2230</v>
      </c>
      <c r="N189" s="574" t="s">
        <v>2231</v>
      </c>
      <c r="O189" s="574" t="s">
        <v>2232</v>
      </c>
      <c r="P189" s="574" t="s">
        <v>2233</v>
      </c>
      <c r="Q189" s="574" t="s">
        <v>2234</v>
      </c>
      <c r="R189" s="574" t="s">
        <v>2225</v>
      </c>
      <c r="S189" s="574" t="s">
        <v>2235</v>
      </c>
      <c r="T189" s="574" t="s">
        <v>2236</v>
      </c>
      <c r="U189" s="574" t="s">
        <v>2600</v>
      </c>
      <c r="V189" s="574" t="s">
        <v>2238</v>
      </c>
      <c r="W189" s="574" t="s">
        <v>2239</v>
      </c>
      <c r="X189" s="574" t="s">
        <v>2601</v>
      </c>
      <c r="Y189" s="575" t="s">
        <v>2599</v>
      </c>
      <c r="Z189" s="575" t="s">
        <v>2599</v>
      </c>
      <c r="AA189" s="574" t="s">
        <v>2242</v>
      </c>
      <c r="AB189" s="574" t="s">
        <v>2243</v>
      </c>
      <c r="AC189" s="574" t="s">
        <v>2244</v>
      </c>
      <c r="AD189" s="574" t="s">
        <v>2245</v>
      </c>
      <c r="AE189" s="574" t="s">
        <v>2246</v>
      </c>
      <c r="AF189" s="574" t="s">
        <v>2247</v>
      </c>
      <c r="AG189" s="576">
        <v>0</v>
      </c>
      <c r="AH189" s="576">
        <v>47888781.090000004</v>
      </c>
    </row>
    <row r="190" spans="1:35" x14ac:dyDescent="0.25">
      <c r="A190" s="574" t="s">
        <v>2219</v>
      </c>
      <c r="B190" s="574" t="s">
        <v>2220</v>
      </c>
      <c r="C190" s="574" t="s">
        <v>2221</v>
      </c>
      <c r="D190" s="574" t="s">
        <v>2220</v>
      </c>
      <c r="E190" s="574" t="s">
        <v>2222</v>
      </c>
      <c r="F190" s="574" t="s">
        <v>2223</v>
      </c>
      <c r="G190" s="574" t="s">
        <v>2224</v>
      </c>
      <c r="H190" s="574" t="s">
        <v>2225</v>
      </c>
      <c r="I190" s="574" t="s">
        <v>2226</v>
      </c>
      <c r="J190" s="574" t="s">
        <v>2227</v>
      </c>
      <c r="K190" s="574" t="s">
        <v>2228</v>
      </c>
      <c r="L190" s="574" t="s">
        <v>2229</v>
      </c>
      <c r="M190" s="574" t="s">
        <v>2230</v>
      </c>
      <c r="N190" s="574" t="s">
        <v>2231</v>
      </c>
      <c r="O190" s="574" t="s">
        <v>2232</v>
      </c>
      <c r="P190" s="574" t="s">
        <v>2233</v>
      </c>
      <c r="Q190" s="574" t="s">
        <v>2234</v>
      </c>
      <c r="R190" s="574" t="s">
        <v>2225</v>
      </c>
      <c r="S190" s="574" t="s">
        <v>2235</v>
      </c>
      <c r="T190" s="574" t="s">
        <v>2236</v>
      </c>
      <c r="U190" s="574" t="s">
        <v>2600</v>
      </c>
      <c r="V190" s="574" t="s">
        <v>2238</v>
      </c>
      <c r="W190" s="574" t="s">
        <v>2239</v>
      </c>
      <c r="X190" s="574" t="s">
        <v>2601</v>
      </c>
      <c r="Y190" s="575" t="s">
        <v>2599</v>
      </c>
      <c r="Z190" s="575" t="s">
        <v>2599</v>
      </c>
      <c r="AA190" s="574" t="s">
        <v>2248</v>
      </c>
      <c r="AB190" s="574" t="s">
        <v>2249</v>
      </c>
      <c r="AC190" s="574" t="s">
        <v>2250</v>
      </c>
      <c r="AD190" s="574" t="s">
        <v>2251</v>
      </c>
      <c r="AE190" s="574" t="s">
        <v>2252</v>
      </c>
      <c r="AF190" s="574" t="s">
        <v>2251</v>
      </c>
      <c r="AG190" s="576">
        <v>0</v>
      </c>
      <c r="AH190" s="576">
        <v>2391782.42</v>
      </c>
    </row>
    <row r="191" spans="1:35" x14ac:dyDescent="0.25">
      <c r="A191" s="574" t="s">
        <v>2219</v>
      </c>
      <c r="B191" s="574" t="s">
        <v>2220</v>
      </c>
      <c r="C191" s="574" t="s">
        <v>2221</v>
      </c>
      <c r="D191" s="574" t="s">
        <v>2220</v>
      </c>
      <c r="E191" s="574" t="s">
        <v>2222</v>
      </c>
      <c r="F191" s="574" t="s">
        <v>2223</v>
      </c>
      <c r="G191" s="574" t="s">
        <v>2224</v>
      </c>
      <c r="H191" s="574" t="s">
        <v>2225</v>
      </c>
      <c r="I191" s="574" t="s">
        <v>2226</v>
      </c>
      <c r="J191" s="574" t="s">
        <v>2227</v>
      </c>
      <c r="K191" s="574" t="s">
        <v>2228</v>
      </c>
      <c r="L191" s="574" t="s">
        <v>2229</v>
      </c>
      <c r="M191" s="574" t="s">
        <v>2230</v>
      </c>
      <c r="N191" s="574" t="s">
        <v>2231</v>
      </c>
      <c r="O191" s="574" t="s">
        <v>2232</v>
      </c>
      <c r="P191" s="574" t="s">
        <v>2233</v>
      </c>
      <c r="Q191" s="574" t="s">
        <v>2234</v>
      </c>
      <c r="R191" s="574" t="s">
        <v>2225</v>
      </c>
      <c r="S191" s="574" t="s">
        <v>2235</v>
      </c>
      <c r="T191" s="574" t="s">
        <v>2236</v>
      </c>
      <c r="U191" s="574" t="s">
        <v>2600</v>
      </c>
      <c r="V191" s="574" t="s">
        <v>2238</v>
      </c>
      <c r="W191" s="574" t="s">
        <v>2239</v>
      </c>
      <c r="X191" s="574" t="s">
        <v>2601</v>
      </c>
      <c r="Y191" s="575" t="s">
        <v>2599</v>
      </c>
      <c r="Z191" s="575" t="s">
        <v>2599</v>
      </c>
      <c r="AA191" s="574" t="s">
        <v>2248</v>
      </c>
      <c r="AB191" s="574" t="s">
        <v>2249</v>
      </c>
      <c r="AC191" s="574" t="s">
        <v>2253</v>
      </c>
      <c r="AD191" s="574" t="s">
        <v>2254</v>
      </c>
      <c r="AE191" s="574" t="s">
        <v>2255</v>
      </c>
      <c r="AF191" s="574" t="s">
        <v>2256</v>
      </c>
      <c r="AG191" s="576">
        <v>0</v>
      </c>
      <c r="AH191" s="576">
        <v>276200</v>
      </c>
    </row>
    <row r="192" spans="1:35" x14ac:dyDescent="0.25">
      <c r="A192" s="574" t="s">
        <v>2219</v>
      </c>
      <c r="B192" s="574" t="s">
        <v>2220</v>
      </c>
      <c r="C192" s="574" t="s">
        <v>2221</v>
      </c>
      <c r="D192" s="574" t="s">
        <v>2220</v>
      </c>
      <c r="E192" s="574" t="s">
        <v>2222</v>
      </c>
      <c r="F192" s="574" t="s">
        <v>2223</v>
      </c>
      <c r="G192" s="574" t="s">
        <v>2224</v>
      </c>
      <c r="H192" s="574" t="s">
        <v>2225</v>
      </c>
      <c r="I192" s="574" t="s">
        <v>2226</v>
      </c>
      <c r="J192" s="574" t="s">
        <v>2227</v>
      </c>
      <c r="K192" s="574" t="s">
        <v>2228</v>
      </c>
      <c r="L192" s="574" t="s">
        <v>2229</v>
      </c>
      <c r="M192" s="574" t="s">
        <v>2230</v>
      </c>
      <c r="N192" s="574" t="s">
        <v>2231</v>
      </c>
      <c r="O192" s="574" t="s">
        <v>2232</v>
      </c>
      <c r="P192" s="574" t="s">
        <v>2233</v>
      </c>
      <c r="Q192" s="574" t="s">
        <v>2234</v>
      </c>
      <c r="R192" s="574" t="s">
        <v>2225</v>
      </c>
      <c r="S192" s="574" t="s">
        <v>2235</v>
      </c>
      <c r="T192" s="574" t="s">
        <v>2236</v>
      </c>
      <c r="U192" s="574" t="s">
        <v>2600</v>
      </c>
      <c r="V192" s="574" t="s">
        <v>2238</v>
      </c>
      <c r="W192" s="574" t="s">
        <v>2239</v>
      </c>
      <c r="X192" s="574" t="s">
        <v>2601</v>
      </c>
      <c r="Y192" s="575" t="s">
        <v>2599</v>
      </c>
      <c r="Z192" s="575" t="s">
        <v>2599</v>
      </c>
      <c r="AA192" s="574" t="s">
        <v>2248</v>
      </c>
      <c r="AB192" s="574" t="s">
        <v>2249</v>
      </c>
      <c r="AC192" s="574" t="s">
        <v>2253</v>
      </c>
      <c r="AD192" s="574" t="s">
        <v>2254</v>
      </c>
      <c r="AE192" s="574" t="s">
        <v>2257</v>
      </c>
      <c r="AF192" s="574" t="s">
        <v>2258</v>
      </c>
      <c r="AG192" s="576">
        <v>0</v>
      </c>
      <c r="AH192" s="576">
        <v>10717.4</v>
      </c>
    </row>
    <row r="193" spans="1:35" x14ac:dyDescent="0.25">
      <c r="A193" s="574" t="s">
        <v>2219</v>
      </c>
      <c r="B193" s="574" t="s">
        <v>2220</v>
      </c>
      <c r="C193" s="574" t="s">
        <v>2221</v>
      </c>
      <c r="D193" s="574" t="s">
        <v>2220</v>
      </c>
      <c r="E193" s="574" t="s">
        <v>2222</v>
      </c>
      <c r="F193" s="574" t="s">
        <v>2223</v>
      </c>
      <c r="G193" s="574" t="s">
        <v>2224</v>
      </c>
      <c r="H193" s="574" t="s">
        <v>2225</v>
      </c>
      <c r="I193" s="574" t="s">
        <v>2226</v>
      </c>
      <c r="J193" s="574" t="s">
        <v>2227</v>
      </c>
      <c r="K193" s="574" t="s">
        <v>2228</v>
      </c>
      <c r="L193" s="574" t="s">
        <v>2229</v>
      </c>
      <c r="M193" s="574" t="s">
        <v>2230</v>
      </c>
      <c r="N193" s="574" t="s">
        <v>2231</v>
      </c>
      <c r="O193" s="574" t="s">
        <v>2232</v>
      </c>
      <c r="P193" s="574" t="s">
        <v>2233</v>
      </c>
      <c r="Q193" s="574" t="s">
        <v>2234</v>
      </c>
      <c r="R193" s="574" t="s">
        <v>2225</v>
      </c>
      <c r="S193" s="574" t="s">
        <v>2235</v>
      </c>
      <c r="T193" s="574" t="s">
        <v>2236</v>
      </c>
      <c r="U193" s="574" t="s">
        <v>2600</v>
      </c>
      <c r="V193" s="574" t="s">
        <v>2238</v>
      </c>
      <c r="W193" s="574" t="s">
        <v>2239</v>
      </c>
      <c r="X193" s="574" t="s">
        <v>2601</v>
      </c>
      <c r="Y193" s="575" t="s">
        <v>2599</v>
      </c>
      <c r="Z193" s="575" t="s">
        <v>2599</v>
      </c>
      <c r="AA193" s="574" t="s">
        <v>2248</v>
      </c>
      <c r="AB193" s="574" t="s">
        <v>2249</v>
      </c>
      <c r="AC193" s="574" t="s">
        <v>2253</v>
      </c>
      <c r="AD193" s="574" t="s">
        <v>2254</v>
      </c>
      <c r="AE193" s="574" t="s">
        <v>2259</v>
      </c>
      <c r="AF193" s="574" t="s">
        <v>2260</v>
      </c>
      <c r="AG193" s="576">
        <v>0</v>
      </c>
      <c r="AH193" s="576">
        <v>58945.7</v>
      </c>
    </row>
    <row r="194" spans="1:35" x14ac:dyDescent="0.25">
      <c r="A194" s="574" t="s">
        <v>2219</v>
      </c>
      <c r="B194" s="574" t="s">
        <v>2220</v>
      </c>
      <c r="C194" s="574" t="s">
        <v>2221</v>
      </c>
      <c r="D194" s="574" t="s">
        <v>2220</v>
      </c>
      <c r="E194" s="574" t="s">
        <v>2222</v>
      </c>
      <c r="F194" s="574" t="s">
        <v>2223</v>
      </c>
      <c r="G194" s="574" t="s">
        <v>2224</v>
      </c>
      <c r="H194" s="574" t="s">
        <v>2225</v>
      </c>
      <c r="I194" s="574" t="s">
        <v>2226</v>
      </c>
      <c r="J194" s="574" t="s">
        <v>2227</v>
      </c>
      <c r="K194" s="574" t="s">
        <v>2228</v>
      </c>
      <c r="L194" s="574" t="s">
        <v>2229</v>
      </c>
      <c r="M194" s="574" t="s">
        <v>2230</v>
      </c>
      <c r="N194" s="574" t="s">
        <v>2231</v>
      </c>
      <c r="O194" s="574" t="s">
        <v>2232</v>
      </c>
      <c r="P194" s="574" t="s">
        <v>2233</v>
      </c>
      <c r="Q194" s="574" t="s">
        <v>2234</v>
      </c>
      <c r="R194" s="574" t="s">
        <v>2225</v>
      </c>
      <c r="S194" s="574" t="s">
        <v>2235</v>
      </c>
      <c r="T194" s="574" t="s">
        <v>2236</v>
      </c>
      <c r="U194" s="574" t="s">
        <v>2600</v>
      </c>
      <c r="V194" s="574" t="s">
        <v>2238</v>
      </c>
      <c r="W194" s="574" t="s">
        <v>2239</v>
      </c>
      <c r="X194" s="574" t="s">
        <v>2601</v>
      </c>
      <c r="Y194" s="575" t="s">
        <v>2599</v>
      </c>
      <c r="Z194" s="575" t="s">
        <v>2599</v>
      </c>
      <c r="AA194" s="574" t="s">
        <v>2261</v>
      </c>
      <c r="AB194" s="574" t="s">
        <v>2262</v>
      </c>
      <c r="AC194" s="574" t="s">
        <v>2263</v>
      </c>
      <c r="AD194" s="574" t="s">
        <v>95</v>
      </c>
      <c r="AE194" s="574" t="s">
        <v>2264</v>
      </c>
      <c r="AF194" s="574" t="s">
        <v>95</v>
      </c>
      <c r="AG194" s="576">
        <v>0</v>
      </c>
      <c r="AH194" s="576">
        <v>3395313.6</v>
      </c>
    </row>
    <row r="195" spans="1:35" x14ac:dyDescent="0.25">
      <c r="A195" s="574" t="s">
        <v>2219</v>
      </c>
      <c r="B195" s="574" t="s">
        <v>2220</v>
      </c>
      <c r="C195" s="574" t="s">
        <v>2221</v>
      </c>
      <c r="D195" s="574" t="s">
        <v>2220</v>
      </c>
      <c r="E195" s="574" t="s">
        <v>2222</v>
      </c>
      <c r="F195" s="574" t="s">
        <v>2223</v>
      </c>
      <c r="G195" s="574" t="s">
        <v>2224</v>
      </c>
      <c r="H195" s="574" t="s">
        <v>2225</v>
      </c>
      <c r="I195" s="574" t="s">
        <v>2226</v>
      </c>
      <c r="J195" s="574" t="s">
        <v>2227</v>
      </c>
      <c r="K195" s="574" t="s">
        <v>2228</v>
      </c>
      <c r="L195" s="574" t="s">
        <v>2229</v>
      </c>
      <c r="M195" s="574" t="s">
        <v>2230</v>
      </c>
      <c r="N195" s="574" t="s">
        <v>2231</v>
      </c>
      <c r="O195" s="574" t="s">
        <v>2232</v>
      </c>
      <c r="P195" s="574" t="s">
        <v>2233</v>
      </c>
      <c r="Q195" s="574" t="s">
        <v>2234</v>
      </c>
      <c r="R195" s="574" t="s">
        <v>2225</v>
      </c>
      <c r="S195" s="574" t="s">
        <v>2235</v>
      </c>
      <c r="T195" s="574" t="s">
        <v>2236</v>
      </c>
      <c r="U195" s="574" t="s">
        <v>2600</v>
      </c>
      <c r="V195" s="574" t="s">
        <v>2238</v>
      </c>
      <c r="W195" s="574" t="s">
        <v>2239</v>
      </c>
      <c r="X195" s="574" t="s">
        <v>2601</v>
      </c>
      <c r="Y195" s="575" t="s">
        <v>2599</v>
      </c>
      <c r="Z195" s="575" t="s">
        <v>2599</v>
      </c>
      <c r="AA195" s="574" t="s">
        <v>2261</v>
      </c>
      <c r="AB195" s="574" t="s">
        <v>2262</v>
      </c>
      <c r="AC195" s="574" t="s">
        <v>2265</v>
      </c>
      <c r="AD195" s="574" t="s">
        <v>96</v>
      </c>
      <c r="AE195" s="574" t="s">
        <v>2266</v>
      </c>
      <c r="AF195" s="574" t="s">
        <v>96</v>
      </c>
      <c r="AG195" s="576">
        <v>0</v>
      </c>
      <c r="AH195" s="576">
        <v>3400102.9</v>
      </c>
    </row>
    <row r="196" spans="1:35" x14ac:dyDescent="0.25">
      <c r="A196" s="574" t="s">
        <v>2219</v>
      </c>
      <c r="B196" s="574" t="s">
        <v>2220</v>
      </c>
      <c r="C196" s="574" t="s">
        <v>2221</v>
      </c>
      <c r="D196" s="574" t="s">
        <v>2220</v>
      </c>
      <c r="E196" s="574" t="s">
        <v>2222</v>
      </c>
      <c r="F196" s="574" t="s">
        <v>2223</v>
      </c>
      <c r="G196" s="574" t="s">
        <v>2224</v>
      </c>
      <c r="H196" s="574" t="s">
        <v>2225</v>
      </c>
      <c r="I196" s="574" t="s">
        <v>2226</v>
      </c>
      <c r="J196" s="574" t="s">
        <v>2227</v>
      </c>
      <c r="K196" s="574" t="s">
        <v>2228</v>
      </c>
      <c r="L196" s="574" t="s">
        <v>2229</v>
      </c>
      <c r="M196" s="574" t="s">
        <v>2230</v>
      </c>
      <c r="N196" s="574" t="s">
        <v>2231</v>
      </c>
      <c r="O196" s="574" t="s">
        <v>2232</v>
      </c>
      <c r="P196" s="574" t="s">
        <v>2233</v>
      </c>
      <c r="Q196" s="574" t="s">
        <v>2234</v>
      </c>
      <c r="R196" s="574" t="s">
        <v>2225</v>
      </c>
      <c r="S196" s="574" t="s">
        <v>2235</v>
      </c>
      <c r="T196" s="574" t="s">
        <v>2236</v>
      </c>
      <c r="U196" s="574" t="s">
        <v>2600</v>
      </c>
      <c r="V196" s="574" t="s">
        <v>2238</v>
      </c>
      <c r="W196" s="574" t="s">
        <v>2239</v>
      </c>
      <c r="X196" s="574" t="s">
        <v>2601</v>
      </c>
      <c r="Y196" s="575" t="s">
        <v>2599</v>
      </c>
      <c r="Z196" s="575" t="s">
        <v>2599</v>
      </c>
      <c r="AA196" s="574" t="s">
        <v>2261</v>
      </c>
      <c r="AB196" s="574" t="s">
        <v>2262</v>
      </c>
      <c r="AC196" s="574" t="s">
        <v>2267</v>
      </c>
      <c r="AD196" s="574" t="s">
        <v>97</v>
      </c>
      <c r="AE196" s="574" t="s">
        <v>2268</v>
      </c>
      <c r="AF196" s="574" t="s">
        <v>97</v>
      </c>
      <c r="AG196" s="576">
        <v>0</v>
      </c>
      <c r="AH196" s="576">
        <v>573557.93000000005</v>
      </c>
    </row>
    <row r="197" spans="1:35" x14ac:dyDescent="0.25">
      <c r="A197" s="574" t="s">
        <v>2219</v>
      </c>
      <c r="B197" s="574" t="s">
        <v>2220</v>
      </c>
      <c r="C197" s="574" t="s">
        <v>2221</v>
      </c>
      <c r="D197" s="574" t="s">
        <v>2220</v>
      </c>
      <c r="E197" s="574" t="s">
        <v>2222</v>
      </c>
      <c r="F197" s="574" t="s">
        <v>2223</v>
      </c>
      <c r="G197" s="574" t="s">
        <v>2224</v>
      </c>
      <c r="H197" s="574" t="s">
        <v>2225</v>
      </c>
      <c r="I197" s="574" t="s">
        <v>2226</v>
      </c>
      <c r="J197" s="574" t="s">
        <v>2227</v>
      </c>
      <c r="K197" s="574" t="s">
        <v>2228</v>
      </c>
      <c r="L197" s="574" t="s">
        <v>2229</v>
      </c>
      <c r="M197" s="574" t="s">
        <v>2230</v>
      </c>
      <c r="N197" s="574" t="s">
        <v>2231</v>
      </c>
      <c r="O197" s="574" t="s">
        <v>2232</v>
      </c>
      <c r="P197" s="574" t="s">
        <v>2233</v>
      </c>
      <c r="Q197" s="574" t="s">
        <v>2234</v>
      </c>
      <c r="R197" s="574" t="s">
        <v>2225</v>
      </c>
      <c r="S197" s="574" t="s">
        <v>2235</v>
      </c>
      <c r="T197" s="574" t="s">
        <v>2236</v>
      </c>
      <c r="U197" s="574" t="s">
        <v>2602</v>
      </c>
      <c r="V197" s="574" t="s">
        <v>2238</v>
      </c>
      <c r="W197" s="574" t="s">
        <v>2239</v>
      </c>
      <c r="X197" s="574" t="s">
        <v>2603</v>
      </c>
      <c r="Y197" s="575" t="s">
        <v>2599</v>
      </c>
      <c r="Z197" s="575" t="s">
        <v>2599</v>
      </c>
      <c r="AA197" s="574" t="s">
        <v>1692</v>
      </c>
      <c r="AB197" s="574" t="s">
        <v>2307</v>
      </c>
      <c r="AC197" s="574" t="s">
        <v>2308</v>
      </c>
      <c r="AD197" s="574" t="s">
        <v>2309</v>
      </c>
      <c r="AE197" s="574" t="s">
        <v>1490</v>
      </c>
      <c r="AF197" s="574" t="s">
        <v>176</v>
      </c>
      <c r="AG197" s="576">
        <v>0</v>
      </c>
      <c r="AH197" s="576">
        <v>95995</v>
      </c>
      <c r="AI197"/>
    </row>
    <row r="198" spans="1:35" x14ac:dyDescent="0.25">
      <c r="A198" s="574" t="s">
        <v>2219</v>
      </c>
      <c r="B198" s="574" t="s">
        <v>2220</v>
      </c>
      <c r="C198" s="574" t="s">
        <v>2221</v>
      </c>
      <c r="D198" s="574" t="s">
        <v>2220</v>
      </c>
      <c r="E198" s="574" t="s">
        <v>2222</v>
      </c>
      <c r="F198" s="574" t="s">
        <v>2223</v>
      </c>
      <c r="G198" s="574" t="s">
        <v>2224</v>
      </c>
      <c r="H198" s="574" t="s">
        <v>2225</v>
      </c>
      <c r="I198" s="574" t="s">
        <v>2226</v>
      </c>
      <c r="J198" s="574" t="s">
        <v>2227</v>
      </c>
      <c r="K198" s="574" t="s">
        <v>2228</v>
      </c>
      <c r="L198" s="574" t="s">
        <v>2229</v>
      </c>
      <c r="M198" s="574" t="s">
        <v>2230</v>
      </c>
      <c r="N198" s="574" t="s">
        <v>2231</v>
      </c>
      <c r="O198" s="574" t="s">
        <v>2232</v>
      </c>
      <c r="P198" s="574" t="s">
        <v>2233</v>
      </c>
      <c r="Q198" s="574" t="s">
        <v>2234</v>
      </c>
      <c r="R198" s="574" t="s">
        <v>2225</v>
      </c>
      <c r="S198" s="574" t="s">
        <v>2235</v>
      </c>
      <c r="T198" s="574" t="s">
        <v>2236</v>
      </c>
      <c r="U198" s="574" t="s">
        <v>2604</v>
      </c>
      <c r="V198" s="574" t="s">
        <v>2238</v>
      </c>
      <c r="W198" s="574" t="s">
        <v>2239</v>
      </c>
      <c r="X198" s="574" t="s">
        <v>2605</v>
      </c>
      <c r="Y198" s="575" t="s">
        <v>2599</v>
      </c>
      <c r="Z198" s="575" t="s">
        <v>2599</v>
      </c>
      <c r="AA198" s="574" t="s">
        <v>1692</v>
      </c>
      <c r="AB198" s="574" t="s">
        <v>2307</v>
      </c>
      <c r="AC198" s="574" t="s">
        <v>2308</v>
      </c>
      <c r="AD198" s="574" t="s">
        <v>2309</v>
      </c>
      <c r="AE198" s="574" t="s">
        <v>1490</v>
      </c>
      <c r="AF198" s="574" t="s">
        <v>176</v>
      </c>
      <c r="AG198" s="576">
        <v>0</v>
      </c>
      <c r="AH198" s="576">
        <v>66805</v>
      </c>
      <c r="AI198"/>
    </row>
    <row r="199" spans="1:35" x14ac:dyDescent="0.25">
      <c r="A199" s="574" t="s">
        <v>2219</v>
      </c>
      <c r="B199" s="574" t="s">
        <v>2220</v>
      </c>
      <c r="C199" s="574" t="s">
        <v>2221</v>
      </c>
      <c r="D199" s="574" t="s">
        <v>2220</v>
      </c>
      <c r="E199" s="574" t="s">
        <v>2222</v>
      </c>
      <c r="F199" s="574" t="s">
        <v>2223</v>
      </c>
      <c r="G199" s="574" t="s">
        <v>2224</v>
      </c>
      <c r="H199" s="574" t="s">
        <v>2225</v>
      </c>
      <c r="I199" s="574" t="s">
        <v>2226</v>
      </c>
      <c r="J199" s="574" t="s">
        <v>2227</v>
      </c>
      <c r="K199" s="574" t="s">
        <v>2228</v>
      </c>
      <c r="L199" s="574" t="s">
        <v>2229</v>
      </c>
      <c r="M199" s="574" t="s">
        <v>2230</v>
      </c>
      <c r="N199" s="574" t="s">
        <v>2231</v>
      </c>
      <c r="O199" s="574" t="s">
        <v>2232</v>
      </c>
      <c r="P199" s="574" t="s">
        <v>2233</v>
      </c>
      <c r="Q199" s="574" t="s">
        <v>2234</v>
      </c>
      <c r="R199" s="574" t="s">
        <v>2225</v>
      </c>
      <c r="S199" s="574" t="s">
        <v>2235</v>
      </c>
      <c r="T199" s="574" t="s">
        <v>2236</v>
      </c>
      <c r="U199" s="574" t="s">
        <v>2606</v>
      </c>
      <c r="V199" s="574" t="s">
        <v>2238</v>
      </c>
      <c r="W199" s="574" t="s">
        <v>2239</v>
      </c>
      <c r="X199" s="574" t="s">
        <v>2607</v>
      </c>
      <c r="Y199" s="575" t="s">
        <v>2599</v>
      </c>
      <c r="Z199" s="575" t="s">
        <v>2599</v>
      </c>
      <c r="AA199" s="574" t="s">
        <v>1692</v>
      </c>
      <c r="AB199" s="574" t="s">
        <v>2307</v>
      </c>
      <c r="AC199" s="574" t="s">
        <v>2308</v>
      </c>
      <c r="AD199" s="574" t="s">
        <v>2309</v>
      </c>
      <c r="AE199" s="574" t="s">
        <v>1490</v>
      </c>
      <c r="AF199" s="574" t="s">
        <v>176</v>
      </c>
      <c r="AG199" s="576">
        <v>0</v>
      </c>
      <c r="AH199" s="576">
        <v>5568</v>
      </c>
      <c r="AI199"/>
    </row>
    <row r="200" spans="1:35" x14ac:dyDescent="0.25">
      <c r="A200" s="574" t="s">
        <v>2219</v>
      </c>
      <c r="B200" s="574" t="s">
        <v>2220</v>
      </c>
      <c r="C200" s="574" t="s">
        <v>2221</v>
      </c>
      <c r="D200" s="574" t="s">
        <v>2220</v>
      </c>
      <c r="E200" s="574" t="s">
        <v>2222</v>
      </c>
      <c r="F200" s="574" t="s">
        <v>2223</v>
      </c>
      <c r="G200" s="574" t="s">
        <v>2224</v>
      </c>
      <c r="H200" s="574" t="s">
        <v>2225</v>
      </c>
      <c r="I200" s="574" t="s">
        <v>2226</v>
      </c>
      <c r="J200" s="574" t="s">
        <v>2227</v>
      </c>
      <c r="K200" s="574" t="s">
        <v>2228</v>
      </c>
      <c r="L200" s="574" t="s">
        <v>2229</v>
      </c>
      <c r="M200" s="574" t="s">
        <v>2230</v>
      </c>
      <c r="N200" s="574" t="s">
        <v>2231</v>
      </c>
      <c r="O200" s="574" t="s">
        <v>2232</v>
      </c>
      <c r="P200" s="574" t="s">
        <v>2233</v>
      </c>
      <c r="Q200" s="574" t="s">
        <v>2234</v>
      </c>
      <c r="R200" s="574" t="s">
        <v>2225</v>
      </c>
      <c r="S200" s="574" t="s">
        <v>2235</v>
      </c>
      <c r="T200" s="574" t="s">
        <v>2236</v>
      </c>
      <c r="U200" s="574" t="s">
        <v>2608</v>
      </c>
      <c r="V200" s="574" t="s">
        <v>2238</v>
      </c>
      <c r="W200" s="574" t="s">
        <v>2239</v>
      </c>
      <c r="X200" s="574" t="s">
        <v>2609</v>
      </c>
      <c r="Y200" s="575" t="s">
        <v>2599</v>
      </c>
      <c r="Z200" s="575" t="s">
        <v>2599</v>
      </c>
      <c r="AA200" s="574" t="s">
        <v>1691</v>
      </c>
      <c r="AB200" s="574" t="s">
        <v>2297</v>
      </c>
      <c r="AC200" s="574" t="s">
        <v>2298</v>
      </c>
      <c r="AD200" s="574" t="s">
        <v>2299</v>
      </c>
      <c r="AE200" s="574" t="s">
        <v>1468</v>
      </c>
      <c r="AF200" s="574" t="s">
        <v>2299</v>
      </c>
      <c r="AG200" s="576">
        <v>0</v>
      </c>
      <c r="AH200" s="576">
        <v>34000</v>
      </c>
      <c r="AI200"/>
    </row>
    <row r="201" spans="1:35" x14ac:dyDescent="0.25">
      <c r="A201" s="574" t="s">
        <v>2219</v>
      </c>
      <c r="B201" s="574" t="s">
        <v>2220</v>
      </c>
      <c r="C201" s="574" t="s">
        <v>2221</v>
      </c>
      <c r="D201" s="574" t="s">
        <v>2220</v>
      </c>
      <c r="E201" s="574" t="s">
        <v>2222</v>
      </c>
      <c r="F201" s="574" t="s">
        <v>2223</v>
      </c>
      <c r="G201" s="574" t="s">
        <v>2224</v>
      </c>
      <c r="H201" s="574" t="s">
        <v>2225</v>
      </c>
      <c r="I201" s="574" t="s">
        <v>2226</v>
      </c>
      <c r="J201" s="574" t="s">
        <v>2227</v>
      </c>
      <c r="K201" s="574" t="s">
        <v>2228</v>
      </c>
      <c r="L201" s="574" t="s">
        <v>2229</v>
      </c>
      <c r="M201" s="574" t="s">
        <v>2230</v>
      </c>
      <c r="N201" s="574" t="s">
        <v>2231</v>
      </c>
      <c r="O201" s="574" t="s">
        <v>2232</v>
      </c>
      <c r="P201" s="574" t="s">
        <v>2233</v>
      </c>
      <c r="Q201" s="574" t="s">
        <v>2234</v>
      </c>
      <c r="R201" s="574" t="s">
        <v>2225</v>
      </c>
      <c r="S201" s="574" t="s">
        <v>2235</v>
      </c>
      <c r="T201" s="574" t="s">
        <v>2236</v>
      </c>
      <c r="U201" s="574" t="s">
        <v>2610</v>
      </c>
      <c r="V201" s="574" t="s">
        <v>2238</v>
      </c>
      <c r="W201" s="574" t="s">
        <v>2239</v>
      </c>
      <c r="X201" s="574" t="s">
        <v>2611</v>
      </c>
      <c r="Y201" s="575" t="s">
        <v>2599</v>
      </c>
      <c r="Z201" s="575" t="s">
        <v>2599</v>
      </c>
      <c r="AA201" s="574" t="s">
        <v>1690</v>
      </c>
      <c r="AB201" s="574" t="s">
        <v>2475</v>
      </c>
      <c r="AC201" s="574" t="s">
        <v>2524</v>
      </c>
      <c r="AD201" s="574" t="s">
        <v>2525</v>
      </c>
      <c r="AE201" s="574" t="s">
        <v>1457</v>
      </c>
      <c r="AF201" s="574" t="s">
        <v>2525</v>
      </c>
      <c r="AG201" s="576">
        <v>0</v>
      </c>
      <c r="AH201" s="576">
        <v>10620</v>
      </c>
      <c r="AI201"/>
    </row>
    <row r="202" spans="1:35" x14ac:dyDescent="0.25">
      <c r="A202" s="574" t="s">
        <v>2219</v>
      </c>
      <c r="B202" s="574" t="s">
        <v>2220</v>
      </c>
      <c r="C202" s="574" t="s">
        <v>2221</v>
      </c>
      <c r="D202" s="574" t="s">
        <v>2220</v>
      </c>
      <c r="E202" s="574" t="s">
        <v>2222</v>
      </c>
      <c r="F202" s="574" t="s">
        <v>2223</v>
      </c>
      <c r="G202" s="574" t="s">
        <v>2224</v>
      </c>
      <c r="H202" s="574" t="s">
        <v>2225</v>
      </c>
      <c r="I202" s="574" t="s">
        <v>2226</v>
      </c>
      <c r="J202" s="574" t="s">
        <v>2227</v>
      </c>
      <c r="K202" s="574" t="s">
        <v>2228</v>
      </c>
      <c r="L202" s="574" t="s">
        <v>2229</v>
      </c>
      <c r="M202" s="574" t="s">
        <v>2230</v>
      </c>
      <c r="N202" s="574" t="s">
        <v>2231</v>
      </c>
      <c r="O202" s="574" t="s">
        <v>2232</v>
      </c>
      <c r="P202" s="574" t="s">
        <v>2233</v>
      </c>
      <c r="Q202" s="574" t="s">
        <v>2234</v>
      </c>
      <c r="R202" s="574" t="s">
        <v>2225</v>
      </c>
      <c r="S202" s="574" t="s">
        <v>2235</v>
      </c>
      <c r="T202" s="574" t="s">
        <v>2236</v>
      </c>
      <c r="U202" s="574" t="s">
        <v>2612</v>
      </c>
      <c r="V202" s="574" t="s">
        <v>2238</v>
      </c>
      <c r="W202" s="574" t="s">
        <v>2239</v>
      </c>
      <c r="X202" s="574" t="s">
        <v>2613</v>
      </c>
      <c r="Y202" s="575" t="s">
        <v>2599</v>
      </c>
      <c r="Z202" s="575" t="s">
        <v>2599</v>
      </c>
      <c r="AA202" s="574" t="s">
        <v>1692</v>
      </c>
      <c r="AB202" s="574" t="s">
        <v>2307</v>
      </c>
      <c r="AC202" s="574" t="s">
        <v>2308</v>
      </c>
      <c r="AD202" s="574" t="s">
        <v>2309</v>
      </c>
      <c r="AE202" s="574" t="s">
        <v>1490</v>
      </c>
      <c r="AF202" s="574" t="s">
        <v>176</v>
      </c>
      <c r="AG202" s="576">
        <v>0</v>
      </c>
      <c r="AH202" s="576">
        <v>167501</v>
      </c>
      <c r="AI202"/>
    </row>
    <row r="203" spans="1:35" x14ac:dyDescent="0.25">
      <c r="A203" s="574" t="s">
        <v>2219</v>
      </c>
      <c r="B203" s="574" t="s">
        <v>2220</v>
      </c>
      <c r="C203" s="574" t="s">
        <v>2221</v>
      </c>
      <c r="D203" s="574" t="s">
        <v>2220</v>
      </c>
      <c r="E203" s="574" t="s">
        <v>2222</v>
      </c>
      <c r="F203" s="574" t="s">
        <v>2223</v>
      </c>
      <c r="G203" s="574" t="s">
        <v>2224</v>
      </c>
      <c r="H203" s="574" t="s">
        <v>2225</v>
      </c>
      <c r="I203" s="574" t="s">
        <v>2226</v>
      </c>
      <c r="J203" s="574" t="s">
        <v>2227</v>
      </c>
      <c r="K203" s="574" t="s">
        <v>2228</v>
      </c>
      <c r="L203" s="574" t="s">
        <v>2229</v>
      </c>
      <c r="M203" s="574" t="s">
        <v>2230</v>
      </c>
      <c r="N203" s="574" t="s">
        <v>2231</v>
      </c>
      <c r="O203" s="574" t="s">
        <v>2232</v>
      </c>
      <c r="P203" s="574" t="s">
        <v>2233</v>
      </c>
      <c r="Q203" s="574" t="s">
        <v>2234</v>
      </c>
      <c r="R203" s="574" t="s">
        <v>2225</v>
      </c>
      <c r="S203" s="574" t="s">
        <v>2235</v>
      </c>
      <c r="T203" s="574" t="s">
        <v>2236</v>
      </c>
      <c r="U203" s="574" t="s">
        <v>2614</v>
      </c>
      <c r="V203" s="574" t="s">
        <v>2238</v>
      </c>
      <c r="W203" s="574" t="s">
        <v>2239</v>
      </c>
      <c r="X203" s="574" t="s">
        <v>2615</v>
      </c>
      <c r="Y203" s="575" t="s">
        <v>2599</v>
      </c>
      <c r="Z203" s="575" t="s">
        <v>2599</v>
      </c>
      <c r="AA203" s="574" t="s">
        <v>1691</v>
      </c>
      <c r="AB203" s="574" t="s">
        <v>2297</v>
      </c>
      <c r="AC203" s="574" t="s">
        <v>2298</v>
      </c>
      <c r="AD203" s="574" t="s">
        <v>2299</v>
      </c>
      <c r="AE203" s="574" t="s">
        <v>1468</v>
      </c>
      <c r="AF203" s="574" t="s">
        <v>2299</v>
      </c>
      <c r="AG203" s="576">
        <v>0</v>
      </c>
      <c r="AH203" s="576">
        <v>880</v>
      </c>
      <c r="AI203"/>
    </row>
    <row r="204" spans="1:35" x14ac:dyDescent="0.25">
      <c r="A204" s="574" t="s">
        <v>2219</v>
      </c>
      <c r="B204" s="574" t="s">
        <v>2220</v>
      </c>
      <c r="C204" s="574" t="s">
        <v>2221</v>
      </c>
      <c r="D204" s="574" t="s">
        <v>2220</v>
      </c>
      <c r="E204" s="574" t="s">
        <v>2222</v>
      </c>
      <c r="F204" s="574" t="s">
        <v>2223</v>
      </c>
      <c r="G204" s="574" t="s">
        <v>2224</v>
      </c>
      <c r="H204" s="574" t="s">
        <v>2225</v>
      </c>
      <c r="I204" s="574" t="s">
        <v>2226</v>
      </c>
      <c r="J204" s="574" t="s">
        <v>2227</v>
      </c>
      <c r="K204" s="574" t="s">
        <v>2228</v>
      </c>
      <c r="L204" s="574" t="s">
        <v>2229</v>
      </c>
      <c r="M204" s="574" t="s">
        <v>2230</v>
      </c>
      <c r="N204" s="574" t="s">
        <v>2231</v>
      </c>
      <c r="O204" s="574" t="s">
        <v>2232</v>
      </c>
      <c r="P204" s="574" t="s">
        <v>2233</v>
      </c>
      <c r="Q204" s="574" t="s">
        <v>2234</v>
      </c>
      <c r="R204" s="574" t="s">
        <v>2225</v>
      </c>
      <c r="S204" s="574" t="s">
        <v>2235</v>
      </c>
      <c r="T204" s="574" t="s">
        <v>2236</v>
      </c>
      <c r="U204" s="574" t="s">
        <v>2614</v>
      </c>
      <c r="V204" s="574" t="s">
        <v>2238</v>
      </c>
      <c r="W204" s="574" t="s">
        <v>2239</v>
      </c>
      <c r="X204" s="574" t="s">
        <v>2615</v>
      </c>
      <c r="Y204" s="575" t="s">
        <v>2599</v>
      </c>
      <c r="Z204" s="575" t="s">
        <v>2599</v>
      </c>
      <c r="AA204" s="574" t="s">
        <v>1692</v>
      </c>
      <c r="AB204" s="574" t="s">
        <v>2307</v>
      </c>
      <c r="AC204" s="574" t="s">
        <v>2308</v>
      </c>
      <c r="AD204" s="574" t="s">
        <v>2309</v>
      </c>
      <c r="AE204" s="574" t="s">
        <v>1490</v>
      </c>
      <c r="AF204" s="574" t="s">
        <v>176</v>
      </c>
      <c r="AG204" s="576">
        <v>0</v>
      </c>
      <c r="AH204" s="576">
        <v>72000</v>
      </c>
      <c r="AI204"/>
    </row>
    <row r="205" spans="1:35" x14ac:dyDescent="0.25">
      <c r="A205" s="574" t="s">
        <v>2219</v>
      </c>
      <c r="B205" s="574" t="s">
        <v>2220</v>
      </c>
      <c r="C205" s="574" t="s">
        <v>2221</v>
      </c>
      <c r="D205" s="574" t="s">
        <v>2220</v>
      </c>
      <c r="E205" s="574" t="s">
        <v>2222</v>
      </c>
      <c r="F205" s="574" t="s">
        <v>2223</v>
      </c>
      <c r="G205" s="574" t="s">
        <v>2224</v>
      </c>
      <c r="H205" s="574" t="s">
        <v>2225</v>
      </c>
      <c r="I205" s="574" t="s">
        <v>2226</v>
      </c>
      <c r="J205" s="574" t="s">
        <v>2227</v>
      </c>
      <c r="K205" s="574" t="s">
        <v>2228</v>
      </c>
      <c r="L205" s="574" t="s">
        <v>2229</v>
      </c>
      <c r="M205" s="574" t="s">
        <v>2230</v>
      </c>
      <c r="N205" s="574" t="s">
        <v>2231</v>
      </c>
      <c r="O205" s="574" t="s">
        <v>2232</v>
      </c>
      <c r="P205" s="574" t="s">
        <v>2233</v>
      </c>
      <c r="Q205" s="574" t="s">
        <v>2234</v>
      </c>
      <c r="R205" s="574" t="s">
        <v>2225</v>
      </c>
      <c r="S205" s="574" t="s">
        <v>2235</v>
      </c>
      <c r="T205" s="574" t="s">
        <v>2236</v>
      </c>
      <c r="U205" s="574" t="s">
        <v>2614</v>
      </c>
      <c r="V205" s="574" t="s">
        <v>2238</v>
      </c>
      <c r="W205" s="574" t="s">
        <v>2239</v>
      </c>
      <c r="X205" s="574" t="s">
        <v>2615</v>
      </c>
      <c r="Y205" s="575" t="s">
        <v>2599</v>
      </c>
      <c r="Z205" s="575" t="s">
        <v>2599</v>
      </c>
      <c r="AA205" s="574" t="s">
        <v>1693</v>
      </c>
      <c r="AB205" s="574" t="s">
        <v>2319</v>
      </c>
      <c r="AC205" s="574" t="s">
        <v>2320</v>
      </c>
      <c r="AD205" s="574" t="s">
        <v>2321</v>
      </c>
      <c r="AE205" s="574" t="s">
        <v>1446</v>
      </c>
      <c r="AF205" s="574" t="s">
        <v>2321</v>
      </c>
      <c r="AG205" s="576">
        <v>0</v>
      </c>
      <c r="AH205" s="576">
        <v>57820</v>
      </c>
      <c r="AI205"/>
    </row>
    <row r="206" spans="1:35" x14ac:dyDescent="0.25">
      <c r="A206" s="574" t="s">
        <v>2219</v>
      </c>
      <c r="B206" s="574" t="s">
        <v>2220</v>
      </c>
      <c r="C206" s="574" t="s">
        <v>2221</v>
      </c>
      <c r="D206" s="574" t="s">
        <v>2220</v>
      </c>
      <c r="E206" s="574" t="s">
        <v>2222</v>
      </c>
      <c r="F206" s="574" t="s">
        <v>2223</v>
      </c>
      <c r="G206" s="574" t="s">
        <v>2224</v>
      </c>
      <c r="H206" s="574" t="s">
        <v>2225</v>
      </c>
      <c r="I206" s="574" t="s">
        <v>2226</v>
      </c>
      <c r="J206" s="574" t="s">
        <v>2227</v>
      </c>
      <c r="K206" s="574" t="s">
        <v>2228</v>
      </c>
      <c r="L206" s="574" t="s">
        <v>2229</v>
      </c>
      <c r="M206" s="574" t="s">
        <v>2230</v>
      </c>
      <c r="N206" s="574" t="s">
        <v>2231</v>
      </c>
      <c r="O206" s="574" t="s">
        <v>2232</v>
      </c>
      <c r="P206" s="574" t="s">
        <v>2233</v>
      </c>
      <c r="Q206" s="574" t="s">
        <v>2234</v>
      </c>
      <c r="R206" s="574" t="s">
        <v>2225</v>
      </c>
      <c r="S206" s="574" t="s">
        <v>2235</v>
      </c>
      <c r="T206" s="574" t="s">
        <v>2236</v>
      </c>
      <c r="U206" s="574" t="s">
        <v>2616</v>
      </c>
      <c r="V206" s="574" t="s">
        <v>2238</v>
      </c>
      <c r="W206" s="574" t="s">
        <v>2239</v>
      </c>
      <c r="X206" s="574" t="s">
        <v>2617</v>
      </c>
      <c r="Y206" s="575" t="s">
        <v>2599</v>
      </c>
      <c r="Z206" s="575" t="s">
        <v>2599</v>
      </c>
      <c r="AA206" s="574" t="s">
        <v>1693</v>
      </c>
      <c r="AB206" s="574" t="s">
        <v>2319</v>
      </c>
      <c r="AC206" s="574" t="s">
        <v>2320</v>
      </c>
      <c r="AD206" s="574" t="s">
        <v>2321</v>
      </c>
      <c r="AE206" s="574" t="s">
        <v>1446</v>
      </c>
      <c r="AF206" s="574" t="s">
        <v>2321</v>
      </c>
      <c r="AG206" s="576">
        <v>0</v>
      </c>
      <c r="AH206" s="576">
        <v>28320</v>
      </c>
      <c r="AI206"/>
    </row>
    <row r="207" spans="1:35" x14ac:dyDescent="0.25">
      <c r="A207" s="574" t="s">
        <v>2219</v>
      </c>
      <c r="B207" s="574" t="s">
        <v>2220</v>
      </c>
      <c r="C207" s="574" t="s">
        <v>2221</v>
      </c>
      <c r="D207" s="574" t="s">
        <v>2220</v>
      </c>
      <c r="E207" s="574" t="s">
        <v>2222</v>
      </c>
      <c r="F207" s="574" t="s">
        <v>2223</v>
      </c>
      <c r="G207" s="574" t="s">
        <v>2224</v>
      </c>
      <c r="H207" s="574" t="s">
        <v>2225</v>
      </c>
      <c r="I207" s="574" t="s">
        <v>2226</v>
      </c>
      <c r="J207" s="574" t="s">
        <v>2227</v>
      </c>
      <c r="K207" s="574" t="s">
        <v>2228</v>
      </c>
      <c r="L207" s="574" t="s">
        <v>2229</v>
      </c>
      <c r="M207" s="574" t="s">
        <v>2230</v>
      </c>
      <c r="N207" s="574" t="s">
        <v>2231</v>
      </c>
      <c r="O207" s="574" t="s">
        <v>2232</v>
      </c>
      <c r="P207" s="574" t="s">
        <v>2233</v>
      </c>
      <c r="Q207" s="574" t="s">
        <v>2234</v>
      </c>
      <c r="R207" s="574" t="s">
        <v>2225</v>
      </c>
      <c r="S207" s="574" t="s">
        <v>2235</v>
      </c>
      <c r="T207" s="574" t="s">
        <v>2236</v>
      </c>
      <c r="U207" s="574" t="s">
        <v>2618</v>
      </c>
      <c r="V207" s="574" t="s">
        <v>2238</v>
      </c>
      <c r="W207" s="574" t="s">
        <v>2239</v>
      </c>
      <c r="X207" s="574" t="s">
        <v>2619</v>
      </c>
      <c r="Y207" s="575" t="s">
        <v>2599</v>
      </c>
      <c r="Z207" s="575" t="s">
        <v>2599</v>
      </c>
      <c r="AA207" s="574" t="s">
        <v>1692</v>
      </c>
      <c r="AB207" s="574" t="s">
        <v>2307</v>
      </c>
      <c r="AC207" s="574" t="s">
        <v>2308</v>
      </c>
      <c r="AD207" s="574" t="s">
        <v>2309</v>
      </c>
      <c r="AE207" s="574" t="s">
        <v>1490</v>
      </c>
      <c r="AF207" s="574" t="s">
        <v>176</v>
      </c>
      <c r="AG207" s="576">
        <v>0</v>
      </c>
      <c r="AH207" s="576">
        <v>13117</v>
      </c>
      <c r="AI207"/>
    </row>
    <row r="208" spans="1:35" x14ac:dyDescent="0.25">
      <c r="A208" s="574" t="s">
        <v>2219</v>
      </c>
      <c r="B208" s="574" t="s">
        <v>2220</v>
      </c>
      <c r="C208" s="574" t="s">
        <v>2221</v>
      </c>
      <c r="D208" s="574" t="s">
        <v>2220</v>
      </c>
      <c r="E208" s="574" t="s">
        <v>2222</v>
      </c>
      <c r="F208" s="574" t="s">
        <v>2223</v>
      </c>
      <c r="G208" s="574" t="s">
        <v>2224</v>
      </c>
      <c r="H208" s="574" t="s">
        <v>2225</v>
      </c>
      <c r="I208" s="574" t="s">
        <v>2226</v>
      </c>
      <c r="J208" s="574" t="s">
        <v>2227</v>
      </c>
      <c r="K208" s="574" t="s">
        <v>2228</v>
      </c>
      <c r="L208" s="574" t="s">
        <v>2229</v>
      </c>
      <c r="M208" s="574" t="s">
        <v>2230</v>
      </c>
      <c r="N208" s="574" t="s">
        <v>2231</v>
      </c>
      <c r="O208" s="574" t="s">
        <v>2232</v>
      </c>
      <c r="P208" s="574" t="s">
        <v>2233</v>
      </c>
      <c r="Q208" s="574" t="s">
        <v>2234</v>
      </c>
      <c r="R208" s="574" t="s">
        <v>2225</v>
      </c>
      <c r="S208" s="574" t="s">
        <v>2235</v>
      </c>
      <c r="T208" s="574" t="s">
        <v>2236</v>
      </c>
      <c r="U208" s="574" t="s">
        <v>2620</v>
      </c>
      <c r="V208" s="574" t="s">
        <v>2238</v>
      </c>
      <c r="W208" s="574" t="s">
        <v>2239</v>
      </c>
      <c r="X208" s="574" t="s">
        <v>2621</v>
      </c>
      <c r="Y208" s="575" t="s">
        <v>2599</v>
      </c>
      <c r="Z208" s="575" t="s">
        <v>2599</v>
      </c>
      <c r="AA208" s="574" t="s">
        <v>1695</v>
      </c>
      <c r="AB208" s="574" t="s">
        <v>2337</v>
      </c>
      <c r="AC208" s="574" t="s">
        <v>2338</v>
      </c>
      <c r="AD208" s="574" t="s">
        <v>2339</v>
      </c>
      <c r="AE208" s="574" t="s">
        <v>1436</v>
      </c>
      <c r="AF208" s="574" t="s">
        <v>2339</v>
      </c>
      <c r="AG208" s="576">
        <v>0</v>
      </c>
      <c r="AH208" s="576">
        <v>306337.44</v>
      </c>
      <c r="AI208"/>
    </row>
    <row r="209" spans="1:35" x14ac:dyDescent="0.25">
      <c r="A209" s="574" t="s">
        <v>2219</v>
      </c>
      <c r="B209" s="574" t="s">
        <v>2220</v>
      </c>
      <c r="C209" s="574" t="s">
        <v>2221</v>
      </c>
      <c r="D209" s="574" t="s">
        <v>2220</v>
      </c>
      <c r="E209" s="574" t="s">
        <v>2222</v>
      </c>
      <c r="F209" s="574" t="s">
        <v>2223</v>
      </c>
      <c r="G209" s="574" t="s">
        <v>2224</v>
      </c>
      <c r="H209" s="574" t="s">
        <v>2225</v>
      </c>
      <c r="I209" s="574" t="s">
        <v>2226</v>
      </c>
      <c r="J209" s="574" t="s">
        <v>2227</v>
      </c>
      <c r="K209" s="574" t="s">
        <v>2228</v>
      </c>
      <c r="L209" s="574" t="s">
        <v>2229</v>
      </c>
      <c r="M209" s="574" t="s">
        <v>2230</v>
      </c>
      <c r="N209" s="574" t="s">
        <v>2231</v>
      </c>
      <c r="O209" s="574" t="s">
        <v>2232</v>
      </c>
      <c r="P209" s="574" t="s">
        <v>2233</v>
      </c>
      <c r="Q209" s="574" t="s">
        <v>2234</v>
      </c>
      <c r="R209" s="574" t="s">
        <v>2225</v>
      </c>
      <c r="S209" s="574" t="s">
        <v>2235</v>
      </c>
      <c r="T209" s="574" t="s">
        <v>2236</v>
      </c>
      <c r="U209" s="574" t="s">
        <v>2622</v>
      </c>
      <c r="V209" s="574" t="s">
        <v>2238</v>
      </c>
      <c r="W209" s="574" t="s">
        <v>2239</v>
      </c>
      <c r="X209" s="574" t="s">
        <v>2623</v>
      </c>
      <c r="Y209" s="575" t="s">
        <v>2599</v>
      </c>
      <c r="Z209" s="575" t="s">
        <v>2599</v>
      </c>
      <c r="AA209" s="574" t="s">
        <v>1694</v>
      </c>
      <c r="AB209" s="574" t="s">
        <v>2314</v>
      </c>
      <c r="AC209" s="574" t="s">
        <v>2398</v>
      </c>
      <c r="AD209" s="574" t="s">
        <v>2399</v>
      </c>
      <c r="AE209" s="574" t="s">
        <v>1431</v>
      </c>
      <c r="AF209" s="574" t="s">
        <v>2399</v>
      </c>
      <c r="AG209" s="576">
        <v>0</v>
      </c>
      <c r="AH209" s="576">
        <v>149956.29999999999</v>
      </c>
      <c r="AI209"/>
    </row>
    <row r="210" spans="1:35" x14ac:dyDescent="0.25">
      <c r="A210" s="574" t="s">
        <v>2219</v>
      </c>
      <c r="B210" s="574" t="s">
        <v>2220</v>
      </c>
      <c r="C210" s="574" t="s">
        <v>2221</v>
      </c>
      <c r="D210" s="574" t="s">
        <v>2220</v>
      </c>
      <c r="E210" s="574" t="s">
        <v>2222</v>
      </c>
      <c r="F210" s="574" t="s">
        <v>2223</v>
      </c>
      <c r="G210" s="574" t="s">
        <v>2224</v>
      </c>
      <c r="H210" s="574" t="s">
        <v>2225</v>
      </c>
      <c r="I210" s="574" t="s">
        <v>2226</v>
      </c>
      <c r="J210" s="574" t="s">
        <v>2227</v>
      </c>
      <c r="K210" s="574" t="s">
        <v>2228</v>
      </c>
      <c r="L210" s="574" t="s">
        <v>2229</v>
      </c>
      <c r="M210" s="574" t="s">
        <v>2230</v>
      </c>
      <c r="N210" s="574" t="s">
        <v>2231</v>
      </c>
      <c r="O210" s="574" t="s">
        <v>2232</v>
      </c>
      <c r="P210" s="574" t="s">
        <v>2233</v>
      </c>
      <c r="Q210" s="574" t="s">
        <v>2234</v>
      </c>
      <c r="R210" s="574" t="s">
        <v>2225</v>
      </c>
      <c r="S210" s="574" t="s">
        <v>2235</v>
      </c>
      <c r="T210" s="574" t="s">
        <v>2236</v>
      </c>
      <c r="U210" s="574" t="s">
        <v>2624</v>
      </c>
      <c r="V210" s="574" t="s">
        <v>2238</v>
      </c>
      <c r="W210" s="574" t="s">
        <v>2239</v>
      </c>
      <c r="X210" s="574" t="s">
        <v>2625</v>
      </c>
      <c r="Y210" s="575" t="s">
        <v>2599</v>
      </c>
      <c r="Z210" s="575" t="s">
        <v>2599</v>
      </c>
      <c r="AA210" s="574" t="s">
        <v>1693</v>
      </c>
      <c r="AB210" s="574" t="s">
        <v>2319</v>
      </c>
      <c r="AC210" s="574" t="s">
        <v>2320</v>
      </c>
      <c r="AD210" s="574" t="s">
        <v>2321</v>
      </c>
      <c r="AE210" s="574" t="s">
        <v>1446</v>
      </c>
      <c r="AF210" s="574" t="s">
        <v>2321</v>
      </c>
      <c r="AG210" s="576">
        <v>0</v>
      </c>
      <c r="AH210" s="576">
        <v>49200.480000000003</v>
      </c>
      <c r="AI210"/>
    </row>
    <row r="211" spans="1:35" x14ac:dyDescent="0.25">
      <c r="A211" s="574" t="s">
        <v>2219</v>
      </c>
      <c r="B211" s="574" t="s">
        <v>2220</v>
      </c>
      <c r="C211" s="574" t="s">
        <v>2221</v>
      </c>
      <c r="D211" s="574" t="s">
        <v>2220</v>
      </c>
      <c r="E211" s="574" t="s">
        <v>2222</v>
      </c>
      <c r="F211" s="574" t="s">
        <v>2223</v>
      </c>
      <c r="G211" s="574" t="s">
        <v>2224</v>
      </c>
      <c r="H211" s="574" t="s">
        <v>2225</v>
      </c>
      <c r="I211" s="574" t="s">
        <v>2226</v>
      </c>
      <c r="J211" s="574" t="s">
        <v>2227</v>
      </c>
      <c r="K211" s="574" t="s">
        <v>2228</v>
      </c>
      <c r="L211" s="574" t="s">
        <v>2229</v>
      </c>
      <c r="M211" s="574" t="s">
        <v>2230</v>
      </c>
      <c r="N211" s="574" t="s">
        <v>2231</v>
      </c>
      <c r="O211" s="574" t="s">
        <v>2232</v>
      </c>
      <c r="P211" s="574" t="s">
        <v>2233</v>
      </c>
      <c r="Q211" s="574" t="s">
        <v>2234</v>
      </c>
      <c r="R211" s="574" t="s">
        <v>2225</v>
      </c>
      <c r="S211" s="574" t="s">
        <v>2235</v>
      </c>
      <c r="T211" s="574" t="s">
        <v>2236</v>
      </c>
      <c r="U211" s="574" t="s">
        <v>2626</v>
      </c>
      <c r="V211" s="574" t="s">
        <v>2238</v>
      </c>
      <c r="W211" s="574" t="s">
        <v>2239</v>
      </c>
      <c r="X211" s="574" t="s">
        <v>2627</v>
      </c>
      <c r="Y211" s="575" t="s">
        <v>2599</v>
      </c>
      <c r="Z211" s="575" t="s">
        <v>2599</v>
      </c>
      <c r="AA211" s="574" t="s">
        <v>1693</v>
      </c>
      <c r="AB211" s="574" t="s">
        <v>2319</v>
      </c>
      <c r="AC211" s="574" t="s">
        <v>2320</v>
      </c>
      <c r="AD211" s="574" t="s">
        <v>2321</v>
      </c>
      <c r="AE211" s="574" t="s">
        <v>1446</v>
      </c>
      <c r="AF211" s="574" t="s">
        <v>2321</v>
      </c>
      <c r="AG211" s="576">
        <v>0</v>
      </c>
      <c r="AH211" s="576">
        <v>25724</v>
      </c>
      <c r="AI211"/>
    </row>
    <row r="212" spans="1:35" x14ac:dyDescent="0.25">
      <c r="A212" s="574" t="s">
        <v>2219</v>
      </c>
      <c r="B212" s="574" t="s">
        <v>2220</v>
      </c>
      <c r="C212" s="574" t="s">
        <v>2221</v>
      </c>
      <c r="D212" s="574" t="s">
        <v>2220</v>
      </c>
      <c r="E212" s="574" t="s">
        <v>2222</v>
      </c>
      <c r="F212" s="574" t="s">
        <v>2223</v>
      </c>
      <c r="G212" s="574" t="s">
        <v>2224</v>
      </c>
      <c r="H212" s="574" t="s">
        <v>2225</v>
      </c>
      <c r="I212" s="574" t="s">
        <v>2226</v>
      </c>
      <c r="J212" s="574" t="s">
        <v>2227</v>
      </c>
      <c r="K212" s="574" t="s">
        <v>2228</v>
      </c>
      <c r="L212" s="574" t="s">
        <v>2229</v>
      </c>
      <c r="M212" s="574" t="s">
        <v>2230</v>
      </c>
      <c r="N212" s="574" t="s">
        <v>2231</v>
      </c>
      <c r="O212" s="574" t="s">
        <v>2232</v>
      </c>
      <c r="P212" s="574" t="s">
        <v>2233</v>
      </c>
      <c r="Q212" s="574" t="s">
        <v>2234</v>
      </c>
      <c r="R212" s="574" t="s">
        <v>2225</v>
      </c>
      <c r="S212" s="574" t="s">
        <v>2235</v>
      </c>
      <c r="T212" s="574" t="s">
        <v>2236</v>
      </c>
      <c r="U212" s="574" t="s">
        <v>2628</v>
      </c>
      <c r="V212" s="574" t="s">
        <v>2238</v>
      </c>
      <c r="W212" s="574" t="s">
        <v>2239</v>
      </c>
      <c r="X212" s="574" t="s">
        <v>2629</v>
      </c>
      <c r="Y212" s="575" t="s">
        <v>2599</v>
      </c>
      <c r="Z212" s="575" t="s">
        <v>2599</v>
      </c>
      <c r="AA212" s="574" t="s">
        <v>2242</v>
      </c>
      <c r="AB212" s="574" t="s">
        <v>2243</v>
      </c>
      <c r="AC212" s="574" t="s">
        <v>2271</v>
      </c>
      <c r="AD212" s="574" t="s">
        <v>181</v>
      </c>
      <c r="AE212" s="574" t="s">
        <v>2272</v>
      </c>
      <c r="AF212" s="574" t="s">
        <v>2273</v>
      </c>
      <c r="AG212" s="576">
        <v>0</v>
      </c>
      <c r="AH212" s="576">
        <v>757074.29</v>
      </c>
    </row>
    <row r="213" spans="1:35" x14ac:dyDescent="0.25">
      <c r="A213" s="574" t="s">
        <v>2219</v>
      </c>
      <c r="B213" s="574" t="s">
        <v>2220</v>
      </c>
      <c r="C213" s="574" t="s">
        <v>2221</v>
      </c>
      <c r="D213" s="574" t="s">
        <v>2220</v>
      </c>
      <c r="E213" s="574" t="s">
        <v>2222</v>
      </c>
      <c r="F213" s="574" t="s">
        <v>2223</v>
      </c>
      <c r="G213" s="574" t="s">
        <v>2224</v>
      </c>
      <c r="H213" s="574" t="s">
        <v>2225</v>
      </c>
      <c r="I213" s="574" t="s">
        <v>2226</v>
      </c>
      <c r="J213" s="574" t="s">
        <v>2227</v>
      </c>
      <c r="K213" s="574" t="s">
        <v>2228</v>
      </c>
      <c r="L213" s="574" t="s">
        <v>2229</v>
      </c>
      <c r="M213" s="574" t="s">
        <v>2230</v>
      </c>
      <c r="N213" s="574" t="s">
        <v>2231</v>
      </c>
      <c r="O213" s="574" t="s">
        <v>2232</v>
      </c>
      <c r="P213" s="574" t="s">
        <v>2233</v>
      </c>
      <c r="Q213" s="574" t="s">
        <v>2234</v>
      </c>
      <c r="R213" s="574" t="s">
        <v>2225</v>
      </c>
      <c r="S213" s="574" t="s">
        <v>2235</v>
      </c>
      <c r="T213" s="574" t="s">
        <v>2236</v>
      </c>
      <c r="U213" s="574" t="s">
        <v>2628</v>
      </c>
      <c r="V213" s="574" t="s">
        <v>2238</v>
      </c>
      <c r="W213" s="574" t="s">
        <v>2239</v>
      </c>
      <c r="X213" s="574" t="s">
        <v>2629</v>
      </c>
      <c r="Y213" s="575" t="s">
        <v>2599</v>
      </c>
      <c r="Z213" s="575" t="s">
        <v>2599</v>
      </c>
      <c r="AA213" s="574" t="s">
        <v>2261</v>
      </c>
      <c r="AB213" s="574" t="s">
        <v>2262</v>
      </c>
      <c r="AC213" s="574" t="s">
        <v>2263</v>
      </c>
      <c r="AD213" s="574" t="s">
        <v>95</v>
      </c>
      <c r="AE213" s="574" t="s">
        <v>2264</v>
      </c>
      <c r="AF213" s="574" t="s">
        <v>95</v>
      </c>
      <c r="AG213" s="576">
        <v>0</v>
      </c>
      <c r="AH213" s="576">
        <v>53676.57</v>
      </c>
    </row>
    <row r="214" spans="1:35" x14ac:dyDescent="0.25">
      <c r="A214" s="574" t="s">
        <v>2219</v>
      </c>
      <c r="B214" s="574" t="s">
        <v>2220</v>
      </c>
      <c r="C214" s="574" t="s">
        <v>2221</v>
      </c>
      <c r="D214" s="574" t="s">
        <v>2220</v>
      </c>
      <c r="E214" s="574" t="s">
        <v>2222</v>
      </c>
      <c r="F214" s="574" t="s">
        <v>2223</v>
      </c>
      <c r="G214" s="574" t="s">
        <v>2224</v>
      </c>
      <c r="H214" s="574" t="s">
        <v>2225</v>
      </c>
      <c r="I214" s="574" t="s">
        <v>2226</v>
      </c>
      <c r="J214" s="574" t="s">
        <v>2227</v>
      </c>
      <c r="K214" s="574" t="s">
        <v>2228</v>
      </c>
      <c r="L214" s="574" t="s">
        <v>2229</v>
      </c>
      <c r="M214" s="574" t="s">
        <v>2230</v>
      </c>
      <c r="N214" s="574" t="s">
        <v>2231</v>
      </c>
      <c r="O214" s="574" t="s">
        <v>2232</v>
      </c>
      <c r="P214" s="574" t="s">
        <v>2233</v>
      </c>
      <c r="Q214" s="574" t="s">
        <v>2234</v>
      </c>
      <c r="R214" s="574" t="s">
        <v>2225</v>
      </c>
      <c r="S214" s="574" t="s">
        <v>2235</v>
      </c>
      <c r="T214" s="574" t="s">
        <v>2236</v>
      </c>
      <c r="U214" s="574" t="s">
        <v>2628</v>
      </c>
      <c r="V214" s="574" t="s">
        <v>2238</v>
      </c>
      <c r="W214" s="574" t="s">
        <v>2239</v>
      </c>
      <c r="X214" s="574" t="s">
        <v>2629</v>
      </c>
      <c r="Y214" s="575" t="s">
        <v>2599</v>
      </c>
      <c r="Z214" s="575" t="s">
        <v>2599</v>
      </c>
      <c r="AA214" s="574" t="s">
        <v>2261</v>
      </c>
      <c r="AB214" s="574" t="s">
        <v>2262</v>
      </c>
      <c r="AC214" s="574" t="s">
        <v>2265</v>
      </c>
      <c r="AD214" s="574" t="s">
        <v>96</v>
      </c>
      <c r="AE214" s="574" t="s">
        <v>2266</v>
      </c>
      <c r="AF214" s="574" t="s">
        <v>96</v>
      </c>
      <c r="AG214" s="576">
        <v>0</v>
      </c>
      <c r="AH214" s="576">
        <v>53752.27</v>
      </c>
    </row>
    <row r="215" spans="1:35" x14ac:dyDescent="0.25">
      <c r="A215" s="574" t="s">
        <v>2219</v>
      </c>
      <c r="B215" s="574" t="s">
        <v>2220</v>
      </c>
      <c r="C215" s="574" t="s">
        <v>2221</v>
      </c>
      <c r="D215" s="574" t="s">
        <v>2220</v>
      </c>
      <c r="E215" s="574" t="s">
        <v>2222</v>
      </c>
      <c r="F215" s="574" t="s">
        <v>2223</v>
      </c>
      <c r="G215" s="574" t="s">
        <v>2224</v>
      </c>
      <c r="H215" s="574" t="s">
        <v>2225</v>
      </c>
      <c r="I215" s="574" t="s">
        <v>2226</v>
      </c>
      <c r="J215" s="574" t="s">
        <v>2227</v>
      </c>
      <c r="K215" s="574" t="s">
        <v>2228</v>
      </c>
      <c r="L215" s="574" t="s">
        <v>2229</v>
      </c>
      <c r="M215" s="574" t="s">
        <v>2230</v>
      </c>
      <c r="N215" s="574" t="s">
        <v>2231</v>
      </c>
      <c r="O215" s="574" t="s">
        <v>2232</v>
      </c>
      <c r="P215" s="574" t="s">
        <v>2233</v>
      </c>
      <c r="Q215" s="574" t="s">
        <v>2234</v>
      </c>
      <c r="R215" s="574" t="s">
        <v>2225</v>
      </c>
      <c r="S215" s="574" t="s">
        <v>2235</v>
      </c>
      <c r="T215" s="574" t="s">
        <v>2236</v>
      </c>
      <c r="U215" s="574" t="s">
        <v>2628</v>
      </c>
      <c r="V215" s="574" t="s">
        <v>2238</v>
      </c>
      <c r="W215" s="574" t="s">
        <v>2239</v>
      </c>
      <c r="X215" s="574" t="s">
        <v>2629</v>
      </c>
      <c r="Y215" s="575" t="s">
        <v>2599</v>
      </c>
      <c r="Z215" s="575" t="s">
        <v>2599</v>
      </c>
      <c r="AA215" s="574" t="s">
        <v>2261</v>
      </c>
      <c r="AB215" s="574" t="s">
        <v>2262</v>
      </c>
      <c r="AC215" s="574" t="s">
        <v>2267</v>
      </c>
      <c r="AD215" s="574" t="s">
        <v>97</v>
      </c>
      <c r="AE215" s="574" t="s">
        <v>2268</v>
      </c>
      <c r="AF215" s="574" t="s">
        <v>97</v>
      </c>
      <c r="AG215" s="576">
        <v>0</v>
      </c>
      <c r="AH215" s="576">
        <v>8993.81</v>
      </c>
    </row>
    <row r="216" spans="1:35" x14ac:dyDescent="0.25">
      <c r="A216" s="574" t="s">
        <v>2219</v>
      </c>
      <c r="B216" s="574" t="s">
        <v>2220</v>
      </c>
      <c r="C216" s="574" t="s">
        <v>2221</v>
      </c>
      <c r="D216" s="574" t="s">
        <v>2220</v>
      </c>
      <c r="E216" s="574" t="s">
        <v>2222</v>
      </c>
      <c r="F216" s="574" t="s">
        <v>2223</v>
      </c>
      <c r="G216" s="574" t="s">
        <v>2224</v>
      </c>
      <c r="H216" s="574" t="s">
        <v>2225</v>
      </c>
      <c r="I216" s="574" t="s">
        <v>2226</v>
      </c>
      <c r="J216" s="574" t="s">
        <v>2227</v>
      </c>
      <c r="K216" s="574" t="s">
        <v>2228</v>
      </c>
      <c r="L216" s="574" t="s">
        <v>2229</v>
      </c>
      <c r="M216" s="574" t="s">
        <v>2230</v>
      </c>
      <c r="N216" s="574" t="s">
        <v>2231</v>
      </c>
      <c r="O216" s="574" t="s">
        <v>2232</v>
      </c>
      <c r="P216" s="574" t="s">
        <v>2233</v>
      </c>
      <c r="Q216" s="574" t="s">
        <v>2234</v>
      </c>
      <c r="R216" s="574" t="s">
        <v>2225</v>
      </c>
      <c r="S216" s="574" t="s">
        <v>2235</v>
      </c>
      <c r="T216" s="574" t="s">
        <v>2236</v>
      </c>
      <c r="U216" s="574" t="s">
        <v>2630</v>
      </c>
      <c r="V216" s="574" t="s">
        <v>2238</v>
      </c>
      <c r="W216" s="574" t="s">
        <v>2239</v>
      </c>
      <c r="X216" s="574" t="s">
        <v>2631</v>
      </c>
      <c r="Y216" s="575" t="s">
        <v>2599</v>
      </c>
      <c r="Z216" s="575" t="s">
        <v>2599</v>
      </c>
      <c r="AA216" s="574" t="s">
        <v>1692</v>
      </c>
      <c r="AB216" s="574" t="s">
        <v>2307</v>
      </c>
      <c r="AC216" s="574" t="s">
        <v>2308</v>
      </c>
      <c r="AD216" s="574" t="s">
        <v>2309</v>
      </c>
      <c r="AE216" s="574" t="s">
        <v>1490</v>
      </c>
      <c r="AF216" s="574" t="s">
        <v>176</v>
      </c>
      <c r="AG216" s="576">
        <v>0</v>
      </c>
      <c r="AH216" s="576">
        <v>249185.88</v>
      </c>
      <c r="AI216"/>
    </row>
    <row r="217" spans="1:35" x14ac:dyDescent="0.25">
      <c r="A217" s="574" t="s">
        <v>2219</v>
      </c>
      <c r="B217" s="574" t="s">
        <v>2220</v>
      </c>
      <c r="C217" s="574" t="s">
        <v>2221</v>
      </c>
      <c r="D217" s="574" t="s">
        <v>2220</v>
      </c>
      <c r="E217" s="574" t="s">
        <v>2222</v>
      </c>
      <c r="F217" s="574" t="s">
        <v>2223</v>
      </c>
      <c r="G217" s="574" t="s">
        <v>2224</v>
      </c>
      <c r="H217" s="574" t="s">
        <v>2225</v>
      </c>
      <c r="I217" s="574" t="s">
        <v>2226</v>
      </c>
      <c r="J217" s="574" t="s">
        <v>2227</v>
      </c>
      <c r="K217" s="574" t="s">
        <v>2228</v>
      </c>
      <c r="L217" s="574" t="s">
        <v>2229</v>
      </c>
      <c r="M217" s="574" t="s">
        <v>2230</v>
      </c>
      <c r="N217" s="574" t="s">
        <v>2231</v>
      </c>
      <c r="O217" s="574" t="s">
        <v>2232</v>
      </c>
      <c r="P217" s="574" t="s">
        <v>2233</v>
      </c>
      <c r="Q217" s="574" t="s">
        <v>2234</v>
      </c>
      <c r="R217" s="574" t="s">
        <v>2225</v>
      </c>
      <c r="S217" s="574" t="s">
        <v>2235</v>
      </c>
      <c r="T217" s="574" t="s">
        <v>2236</v>
      </c>
      <c r="U217" s="574" t="s">
        <v>2632</v>
      </c>
      <c r="V217" s="574" t="s">
        <v>2238</v>
      </c>
      <c r="W217" s="574" t="s">
        <v>2239</v>
      </c>
      <c r="X217" s="574" t="s">
        <v>2633</v>
      </c>
      <c r="Y217" s="575" t="s">
        <v>2634</v>
      </c>
      <c r="Z217" s="575" t="s">
        <v>2634</v>
      </c>
      <c r="AA217" s="574" t="s">
        <v>1692</v>
      </c>
      <c r="AB217" s="574" t="s">
        <v>2307</v>
      </c>
      <c r="AC217" s="574" t="s">
        <v>2308</v>
      </c>
      <c r="AD217" s="574" t="s">
        <v>2309</v>
      </c>
      <c r="AE217" s="574" t="s">
        <v>1490</v>
      </c>
      <c r="AF217" s="574" t="s">
        <v>176</v>
      </c>
      <c r="AG217" s="576">
        <v>0</v>
      </c>
      <c r="AH217" s="576">
        <v>304806.3</v>
      </c>
      <c r="AI217"/>
    </row>
    <row r="218" spans="1:35" x14ac:dyDescent="0.25">
      <c r="A218" s="574" t="s">
        <v>2219</v>
      </c>
      <c r="B218" s="574" t="s">
        <v>2220</v>
      </c>
      <c r="C218" s="574" t="s">
        <v>2221</v>
      </c>
      <c r="D218" s="574" t="s">
        <v>2220</v>
      </c>
      <c r="E218" s="574" t="s">
        <v>2222</v>
      </c>
      <c r="F218" s="574" t="s">
        <v>2223</v>
      </c>
      <c r="G218" s="574" t="s">
        <v>2224</v>
      </c>
      <c r="H218" s="574" t="s">
        <v>2225</v>
      </c>
      <c r="I218" s="574" t="s">
        <v>2226</v>
      </c>
      <c r="J218" s="574" t="s">
        <v>2227</v>
      </c>
      <c r="K218" s="574" t="s">
        <v>2228</v>
      </c>
      <c r="L218" s="574" t="s">
        <v>2229</v>
      </c>
      <c r="M218" s="574" t="s">
        <v>2230</v>
      </c>
      <c r="N218" s="574" t="s">
        <v>2231</v>
      </c>
      <c r="O218" s="574" t="s">
        <v>2232</v>
      </c>
      <c r="P218" s="574" t="s">
        <v>2233</v>
      </c>
      <c r="Q218" s="574" t="s">
        <v>2234</v>
      </c>
      <c r="R218" s="574" t="s">
        <v>2225</v>
      </c>
      <c r="S218" s="574" t="s">
        <v>2235</v>
      </c>
      <c r="T218" s="574" t="s">
        <v>2236</v>
      </c>
      <c r="U218" s="574" t="s">
        <v>2635</v>
      </c>
      <c r="V218" s="574" t="s">
        <v>2238</v>
      </c>
      <c r="W218" s="574" t="s">
        <v>2239</v>
      </c>
      <c r="X218" s="574" t="s">
        <v>2636</v>
      </c>
      <c r="Y218" s="575" t="s">
        <v>2634</v>
      </c>
      <c r="Z218" s="575" t="s">
        <v>2634</v>
      </c>
      <c r="AA218" s="574" t="s">
        <v>1692</v>
      </c>
      <c r="AB218" s="574" t="s">
        <v>2307</v>
      </c>
      <c r="AC218" s="574" t="s">
        <v>2308</v>
      </c>
      <c r="AD218" s="574" t="s">
        <v>2309</v>
      </c>
      <c r="AE218" s="574" t="s">
        <v>1490</v>
      </c>
      <c r="AF218" s="574" t="s">
        <v>176</v>
      </c>
      <c r="AG218" s="576">
        <v>0</v>
      </c>
      <c r="AH218" s="576">
        <v>40400</v>
      </c>
      <c r="AI218"/>
    </row>
    <row r="219" spans="1:35" x14ac:dyDescent="0.25">
      <c r="A219" s="574" t="s">
        <v>2219</v>
      </c>
      <c r="B219" s="574" t="s">
        <v>2220</v>
      </c>
      <c r="C219" s="574" t="s">
        <v>2221</v>
      </c>
      <c r="D219" s="574" t="s">
        <v>2220</v>
      </c>
      <c r="E219" s="574" t="s">
        <v>2222</v>
      </c>
      <c r="F219" s="574" t="s">
        <v>2223</v>
      </c>
      <c r="G219" s="574" t="s">
        <v>2224</v>
      </c>
      <c r="H219" s="574" t="s">
        <v>2225</v>
      </c>
      <c r="I219" s="574" t="s">
        <v>2226</v>
      </c>
      <c r="J219" s="574" t="s">
        <v>2227</v>
      </c>
      <c r="K219" s="574" t="s">
        <v>2228</v>
      </c>
      <c r="L219" s="574" t="s">
        <v>2229</v>
      </c>
      <c r="M219" s="574" t="s">
        <v>2230</v>
      </c>
      <c r="N219" s="574" t="s">
        <v>2231</v>
      </c>
      <c r="O219" s="574" t="s">
        <v>2232</v>
      </c>
      <c r="P219" s="574" t="s">
        <v>2233</v>
      </c>
      <c r="Q219" s="574" t="s">
        <v>2234</v>
      </c>
      <c r="R219" s="574" t="s">
        <v>2225</v>
      </c>
      <c r="S219" s="574" t="s">
        <v>2235</v>
      </c>
      <c r="T219" s="574" t="s">
        <v>2236</v>
      </c>
      <c r="U219" s="574" t="s">
        <v>2637</v>
      </c>
      <c r="V219" s="574" t="s">
        <v>2238</v>
      </c>
      <c r="W219" s="574" t="s">
        <v>2239</v>
      </c>
      <c r="X219" s="574" t="s">
        <v>2638</v>
      </c>
      <c r="Y219" s="575" t="s">
        <v>2634</v>
      </c>
      <c r="Z219" s="575" t="s">
        <v>2634</v>
      </c>
      <c r="AA219" s="574" t="s">
        <v>1692</v>
      </c>
      <c r="AB219" s="574" t="s">
        <v>2307</v>
      </c>
      <c r="AC219" s="574" t="s">
        <v>2308</v>
      </c>
      <c r="AD219" s="574" t="s">
        <v>2309</v>
      </c>
      <c r="AE219" s="574" t="s">
        <v>1490</v>
      </c>
      <c r="AF219" s="574" t="s">
        <v>176</v>
      </c>
      <c r="AG219" s="576">
        <v>0</v>
      </c>
      <c r="AH219" s="576">
        <v>13409</v>
      </c>
      <c r="AI219"/>
    </row>
    <row r="220" spans="1:35" x14ac:dyDescent="0.25">
      <c r="A220" s="574" t="s">
        <v>2219</v>
      </c>
      <c r="B220" s="574" t="s">
        <v>2220</v>
      </c>
      <c r="C220" s="574" t="s">
        <v>2221</v>
      </c>
      <c r="D220" s="574" t="s">
        <v>2220</v>
      </c>
      <c r="E220" s="574" t="s">
        <v>2222</v>
      </c>
      <c r="F220" s="574" t="s">
        <v>2223</v>
      </c>
      <c r="G220" s="574" t="s">
        <v>2224</v>
      </c>
      <c r="H220" s="574" t="s">
        <v>2225</v>
      </c>
      <c r="I220" s="574" t="s">
        <v>2226</v>
      </c>
      <c r="J220" s="574" t="s">
        <v>2227</v>
      </c>
      <c r="K220" s="574" t="s">
        <v>2228</v>
      </c>
      <c r="L220" s="574" t="s">
        <v>2229</v>
      </c>
      <c r="M220" s="574" t="s">
        <v>2230</v>
      </c>
      <c r="N220" s="574" t="s">
        <v>2231</v>
      </c>
      <c r="O220" s="574" t="s">
        <v>2232</v>
      </c>
      <c r="P220" s="574" t="s">
        <v>2233</v>
      </c>
      <c r="Q220" s="574" t="s">
        <v>2234</v>
      </c>
      <c r="R220" s="574" t="s">
        <v>2225</v>
      </c>
      <c r="S220" s="574" t="s">
        <v>2235</v>
      </c>
      <c r="T220" s="574" t="s">
        <v>2236</v>
      </c>
      <c r="U220" s="574" t="s">
        <v>2639</v>
      </c>
      <c r="V220" s="574" t="s">
        <v>2238</v>
      </c>
      <c r="W220" s="574" t="s">
        <v>2239</v>
      </c>
      <c r="X220" s="574" t="s">
        <v>2640</v>
      </c>
      <c r="Y220" s="575" t="s">
        <v>2641</v>
      </c>
      <c r="Z220" s="575" t="s">
        <v>2641</v>
      </c>
      <c r="AA220" s="574" t="s">
        <v>1692</v>
      </c>
      <c r="AB220" s="574" t="s">
        <v>2307</v>
      </c>
      <c r="AC220" s="574" t="s">
        <v>2308</v>
      </c>
      <c r="AD220" s="574" t="s">
        <v>2309</v>
      </c>
      <c r="AE220" s="574" t="s">
        <v>1490</v>
      </c>
      <c r="AF220" s="574" t="s">
        <v>176</v>
      </c>
      <c r="AG220" s="576">
        <v>0</v>
      </c>
      <c r="AH220" s="576">
        <v>683019</v>
      </c>
      <c r="AI220"/>
    </row>
    <row r="221" spans="1:35" x14ac:dyDescent="0.25">
      <c r="A221" s="574" t="s">
        <v>2219</v>
      </c>
      <c r="B221" s="574" t="s">
        <v>2220</v>
      </c>
      <c r="C221" s="574" t="s">
        <v>2221</v>
      </c>
      <c r="D221" s="574" t="s">
        <v>2220</v>
      </c>
      <c r="E221" s="574" t="s">
        <v>2222</v>
      </c>
      <c r="F221" s="574" t="s">
        <v>2223</v>
      </c>
      <c r="G221" s="574" t="s">
        <v>2224</v>
      </c>
      <c r="H221" s="574" t="s">
        <v>2225</v>
      </c>
      <c r="I221" s="574" t="s">
        <v>2226</v>
      </c>
      <c r="J221" s="574" t="s">
        <v>2227</v>
      </c>
      <c r="K221" s="574" t="s">
        <v>2228</v>
      </c>
      <c r="L221" s="574" t="s">
        <v>2229</v>
      </c>
      <c r="M221" s="574" t="s">
        <v>2230</v>
      </c>
      <c r="N221" s="574" t="s">
        <v>2231</v>
      </c>
      <c r="O221" s="574" t="s">
        <v>2232</v>
      </c>
      <c r="P221" s="574" t="s">
        <v>2233</v>
      </c>
      <c r="Q221" s="574" t="s">
        <v>2234</v>
      </c>
      <c r="R221" s="574" t="s">
        <v>2225</v>
      </c>
      <c r="S221" s="574" t="s">
        <v>2235</v>
      </c>
      <c r="T221" s="574" t="s">
        <v>2236</v>
      </c>
      <c r="U221" s="574" t="s">
        <v>2639</v>
      </c>
      <c r="V221" s="574" t="s">
        <v>2238</v>
      </c>
      <c r="W221" s="574" t="s">
        <v>2239</v>
      </c>
      <c r="X221" s="574" t="s">
        <v>2640</v>
      </c>
      <c r="Y221" s="575" t="s">
        <v>2641</v>
      </c>
      <c r="Z221" s="575" t="s">
        <v>2641</v>
      </c>
      <c r="AA221" s="574" t="s">
        <v>1693</v>
      </c>
      <c r="AB221" s="574" t="s">
        <v>2319</v>
      </c>
      <c r="AC221" s="574" t="s">
        <v>2402</v>
      </c>
      <c r="AD221" s="574" t="s">
        <v>2403</v>
      </c>
      <c r="AE221" s="574" t="s">
        <v>1486</v>
      </c>
      <c r="AF221" s="574" t="s">
        <v>2403</v>
      </c>
      <c r="AG221" s="576">
        <v>0</v>
      </c>
      <c r="AH221" s="576">
        <v>22694</v>
      </c>
      <c r="AI221"/>
    </row>
    <row r="222" spans="1:35" x14ac:dyDescent="0.25">
      <c r="A222" s="574" t="s">
        <v>2219</v>
      </c>
      <c r="B222" s="574" t="s">
        <v>2220</v>
      </c>
      <c r="C222" s="574" t="s">
        <v>2221</v>
      </c>
      <c r="D222" s="574" t="s">
        <v>2220</v>
      </c>
      <c r="E222" s="574" t="s">
        <v>2222</v>
      </c>
      <c r="F222" s="574" t="s">
        <v>2223</v>
      </c>
      <c r="G222" s="574" t="s">
        <v>2224</v>
      </c>
      <c r="H222" s="574" t="s">
        <v>2225</v>
      </c>
      <c r="I222" s="574" t="s">
        <v>2226</v>
      </c>
      <c r="J222" s="574" t="s">
        <v>2227</v>
      </c>
      <c r="K222" s="574" t="s">
        <v>2228</v>
      </c>
      <c r="L222" s="574" t="s">
        <v>2229</v>
      </c>
      <c r="M222" s="574" t="s">
        <v>2230</v>
      </c>
      <c r="N222" s="574" t="s">
        <v>2231</v>
      </c>
      <c r="O222" s="574" t="s">
        <v>2232</v>
      </c>
      <c r="P222" s="574" t="s">
        <v>2233</v>
      </c>
      <c r="Q222" s="574" t="s">
        <v>2234</v>
      </c>
      <c r="R222" s="574" t="s">
        <v>2225</v>
      </c>
      <c r="S222" s="574" t="s">
        <v>2235</v>
      </c>
      <c r="T222" s="574" t="s">
        <v>2236</v>
      </c>
      <c r="U222" s="574" t="s">
        <v>2642</v>
      </c>
      <c r="V222" s="574" t="s">
        <v>2238</v>
      </c>
      <c r="W222" s="574" t="s">
        <v>2239</v>
      </c>
      <c r="X222" s="574" t="s">
        <v>2643</v>
      </c>
      <c r="Y222" s="575" t="s">
        <v>2641</v>
      </c>
      <c r="Z222" s="575" t="s">
        <v>2641</v>
      </c>
      <c r="AA222" s="574" t="s">
        <v>2242</v>
      </c>
      <c r="AB222" s="574" t="s">
        <v>2243</v>
      </c>
      <c r="AC222" s="574" t="s">
        <v>2271</v>
      </c>
      <c r="AD222" s="574" t="s">
        <v>181</v>
      </c>
      <c r="AE222" s="574" t="s">
        <v>2272</v>
      </c>
      <c r="AF222" s="574" t="s">
        <v>2273</v>
      </c>
      <c r="AG222" s="576">
        <v>0</v>
      </c>
      <c r="AH222" s="576">
        <v>50000</v>
      </c>
    </row>
    <row r="223" spans="1:35" x14ac:dyDescent="0.25">
      <c r="A223" s="574" t="s">
        <v>2219</v>
      </c>
      <c r="B223" s="574" t="s">
        <v>2220</v>
      </c>
      <c r="C223" s="574" t="s">
        <v>2221</v>
      </c>
      <c r="D223" s="574" t="s">
        <v>2220</v>
      </c>
      <c r="E223" s="574" t="s">
        <v>2222</v>
      </c>
      <c r="F223" s="574" t="s">
        <v>2223</v>
      </c>
      <c r="G223" s="574" t="s">
        <v>2224</v>
      </c>
      <c r="H223" s="574" t="s">
        <v>2225</v>
      </c>
      <c r="I223" s="574" t="s">
        <v>2226</v>
      </c>
      <c r="J223" s="574" t="s">
        <v>2227</v>
      </c>
      <c r="K223" s="574" t="s">
        <v>2228</v>
      </c>
      <c r="L223" s="574" t="s">
        <v>2229</v>
      </c>
      <c r="M223" s="574" t="s">
        <v>2230</v>
      </c>
      <c r="N223" s="574" t="s">
        <v>2231</v>
      </c>
      <c r="O223" s="574" t="s">
        <v>2232</v>
      </c>
      <c r="P223" s="574" t="s">
        <v>2233</v>
      </c>
      <c r="Q223" s="574" t="s">
        <v>2234</v>
      </c>
      <c r="R223" s="574" t="s">
        <v>2225</v>
      </c>
      <c r="S223" s="574" t="s">
        <v>2235</v>
      </c>
      <c r="T223" s="574" t="s">
        <v>2236</v>
      </c>
      <c r="U223" s="574" t="s">
        <v>2642</v>
      </c>
      <c r="V223" s="574" t="s">
        <v>2238</v>
      </c>
      <c r="W223" s="574" t="s">
        <v>2239</v>
      </c>
      <c r="X223" s="574" t="s">
        <v>2643</v>
      </c>
      <c r="Y223" s="575" t="s">
        <v>2641</v>
      </c>
      <c r="Z223" s="575" t="s">
        <v>2641</v>
      </c>
      <c r="AA223" s="574" t="s">
        <v>2261</v>
      </c>
      <c r="AB223" s="574" t="s">
        <v>2262</v>
      </c>
      <c r="AC223" s="574" t="s">
        <v>2263</v>
      </c>
      <c r="AD223" s="574" t="s">
        <v>95</v>
      </c>
      <c r="AE223" s="574" t="s">
        <v>2264</v>
      </c>
      <c r="AF223" s="574" t="s">
        <v>95</v>
      </c>
      <c r="AG223" s="576">
        <v>0</v>
      </c>
      <c r="AH223" s="576">
        <v>3545</v>
      </c>
    </row>
    <row r="224" spans="1:35" x14ac:dyDescent="0.25">
      <c r="A224" s="574" t="s">
        <v>2219</v>
      </c>
      <c r="B224" s="574" t="s">
        <v>2220</v>
      </c>
      <c r="C224" s="574" t="s">
        <v>2221</v>
      </c>
      <c r="D224" s="574" t="s">
        <v>2220</v>
      </c>
      <c r="E224" s="574" t="s">
        <v>2222</v>
      </c>
      <c r="F224" s="574" t="s">
        <v>2223</v>
      </c>
      <c r="G224" s="574" t="s">
        <v>2224</v>
      </c>
      <c r="H224" s="574" t="s">
        <v>2225</v>
      </c>
      <c r="I224" s="574" t="s">
        <v>2226</v>
      </c>
      <c r="J224" s="574" t="s">
        <v>2227</v>
      </c>
      <c r="K224" s="574" t="s">
        <v>2228</v>
      </c>
      <c r="L224" s="574" t="s">
        <v>2229</v>
      </c>
      <c r="M224" s="574" t="s">
        <v>2230</v>
      </c>
      <c r="N224" s="574" t="s">
        <v>2231</v>
      </c>
      <c r="O224" s="574" t="s">
        <v>2232</v>
      </c>
      <c r="P224" s="574" t="s">
        <v>2233</v>
      </c>
      <c r="Q224" s="574" t="s">
        <v>2234</v>
      </c>
      <c r="R224" s="574" t="s">
        <v>2225</v>
      </c>
      <c r="S224" s="574" t="s">
        <v>2235</v>
      </c>
      <c r="T224" s="574" t="s">
        <v>2236</v>
      </c>
      <c r="U224" s="574" t="s">
        <v>2642</v>
      </c>
      <c r="V224" s="574" t="s">
        <v>2238</v>
      </c>
      <c r="W224" s="574" t="s">
        <v>2239</v>
      </c>
      <c r="X224" s="574" t="s">
        <v>2643</v>
      </c>
      <c r="Y224" s="575" t="s">
        <v>2641</v>
      </c>
      <c r="Z224" s="575" t="s">
        <v>2641</v>
      </c>
      <c r="AA224" s="574" t="s">
        <v>2261</v>
      </c>
      <c r="AB224" s="574" t="s">
        <v>2262</v>
      </c>
      <c r="AC224" s="574" t="s">
        <v>2265</v>
      </c>
      <c r="AD224" s="574" t="s">
        <v>96</v>
      </c>
      <c r="AE224" s="574" t="s">
        <v>2266</v>
      </c>
      <c r="AF224" s="574" t="s">
        <v>96</v>
      </c>
      <c r="AG224" s="576">
        <v>0</v>
      </c>
      <c r="AH224" s="576">
        <v>3550</v>
      </c>
    </row>
    <row r="225" spans="1:35" x14ac:dyDescent="0.25">
      <c r="A225" s="574" t="s">
        <v>2219</v>
      </c>
      <c r="B225" s="574" t="s">
        <v>2220</v>
      </c>
      <c r="C225" s="574" t="s">
        <v>2221</v>
      </c>
      <c r="D225" s="574" t="s">
        <v>2220</v>
      </c>
      <c r="E225" s="574" t="s">
        <v>2222</v>
      </c>
      <c r="F225" s="574" t="s">
        <v>2223</v>
      </c>
      <c r="G225" s="574" t="s">
        <v>2224</v>
      </c>
      <c r="H225" s="574" t="s">
        <v>2225</v>
      </c>
      <c r="I225" s="574" t="s">
        <v>2226</v>
      </c>
      <c r="J225" s="574" t="s">
        <v>2227</v>
      </c>
      <c r="K225" s="574" t="s">
        <v>2228</v>
      </c>
      <c r="L225" s="574" t="s">
        <v>2229</v>
      </c>
      <c r="M225" s="574" t="s">
        <v>2230</v>
      </c>
      <c r="N225" s="574" t="s">
        <v>2231</v>
      </c>
      <c r="O225" s="574" t="s">
        <v>2232</v>
      </c>
      <c r="P225" s="574" t="s">
        <v>2233</v>
      </c>
      <c r="Q225" s="574" t="s">
        <v>2234</v>
      </c>
      <c r="R225" s="574" t="s">
        <v>2225</v>
      </c>
      <c r="S225" s="574" t="s">
        <v>2235</v>
      </c>
      <c r="T225" s="574" t="s">
        <v>2236</v>
      </c>
      <c r="U225" s="574" t="s">
        <v>2642</v>
      </c>
      <c r="V225" s="574" t="s">
        <v>2238</v>
      </c>
      <c r="W225" s="574" t="s">
        <v>2239</v>
      </c>
      <c r="X225" s="574" t="s">
        <v>2643</v>
      </c>
      <c r="Y225" s="575" t="s">
        <v>2641</v>
      </c>
      <c r="Z225" s="575" t="s">
        <v>2641</v>
      </c>
      <c r="AA225" s="574" t="s">
        <v>2261</v>
      </c>
      <c r="AB225" s="574" t="s">
        <v>2262</v>
      </c>
      <c r="AC225" s="574" t="s">
        <v>2267</v>
      </c>
      <c r="AD225" s="574" t="s">
        <v>97</v>
      </c>
      <c r="AE225" s="574" t="s">
        <v>2268</v>
      </c>
      <c r="AF225" s="574" t="s">
        <v>97</v>
      </c>
      <c r="AG225" s="576">
        <v>0</v>
      </c>
      <c r="AH225" s="576">
        <v>600</v>
      </c>
    </row>
    <row r="226" spans="1:35" x14ac:dyDescent="0.25">
      <c r="A226" s="574" t="s">
        <v>2219</v>
      </c>
      <c r="B226" s="574" t="s">
        <v>2220</v>
      </c>
      <c r="C226" s="574" t="s">
        <v>2221</v>
      </c>
      <c r="D226" s="574" t="s">
        <v>2220</v>
      </c>
      <c r="E226" s="574" t="s">
        <v>2222</v>
      </c>
      <c r="F226" s="574" t="s">
        <v>2223</v>
      </c>
      <c r="G226" s="574" t="s">
        <v>2224</v>
      </c>
      <c r="H226" s="574" t="s">
        <v>2225</v>
      </c>
      <c r="I226" s="574" t="s">
        <v>2226</v>
      </c>
      <c r="J226" s="574" t="s">
        <v>2227</v>
      </c>
      <c r="K226" s="574" t="s">
        <v>2228</v>
      </c>
      <c r="L226" s="574" t="s">
        <v>2229</v>
      </c>
      <c r="M226" s="574" t="s">
        <v>2230</v>
      </c>
      <c r="N226" s="574" t="s">
        <v>2231</v>
      </c>
      <c r="O226" s="574" t="s">
        <v>2232</v>
      </c>
      <c r="P226" s="574" t="s">
        <v>2233</v>
      </c>
      <c r="Q226" s="574" t="s">
        <v>2234</v>
      </c>
      <c r="R226" s="574" t="s">
        <v>2225</v>
      </c>
      <c r="S226" s="574" t="s">
        <v>2235</v>
      </c>
      <c r="T226" s="574" t="s">
        <v>2236</v>
      </c>
      <c r="U226" s="574" t="s">
        <v>2644</v>
      </c>
      <c r="V226" s="574" t="s">
        <v>2238</v>
      </c>
      <c r="W226" s="574" t="s">
        <v>2239</v>
      </c>
      <c r="X226" s="574" t="s">
        <v>2645</v>
      </c>
      <c r="Y226" s="575" t="s">
        <v>2641</v>
      </c>
      <c r="Z226" s="575" t="s">
        <v>2641</v>
      </c>
      <c r="AA226" s="574" t="s">
        <v>1692</v>
      </c>
      <c r="AB226" s="574" t="s">
        <v>2307</v>
      </c>
      <c r="AC226" s="574" t="s">
        <v>2308</v>
      </c>
      <c r="AD226" s="574" t="s">
        <v>2309</v>
      </c>
      <c r="AE226" s="574" t="s">
        <v>1490</v>
      </c>
      <c r="AF226" s="574" t="s">
        <v>176</v>
      </c>
      <c r="AG226" s="576">
        <v>0</v>
      </c>
      <c r="AH226" s="576">
        <v>787967</v>
      </c>
      <c r="AI226"/>
    </row>
    <row r="227" spans="1:35" x14ac:dyDescent="0.25">
      <c r="A227" s="574" t="s">
        <v>2219</v>
      </c>
      <c r="B227" s="574" t="s">
        <v>2220</v>
      </c>
      <c r="C227" s="574" t="s">
        <v>2221</v>
      </c>
      <c r="D227" s="574" t="s">
        <v>2220</v>
      </c>
      <c r="E227" s="574" t="s">
        <v>2222</v>
      </c>
      <c r="F227" s="574" t="s">
        <v>2223</v>
      </c>
      <c r="G227" s="574" t="s">
        <v>2224</v>
      </c>
      <c r="H227" s="574" t="s">
        <v>2225</v>
      </c>
      <c r="I227" s="574" t="s">
        <v>2226</v>
      </c>
      <c r="J227" s="574" t="s">
        <v>2227</v>
      </c>
      <c r="K227" s="574" t="s">
        <v>2228</v>
      </c>
      <c r="L227" s="574" t="s">
        <v>2229</v>
      </c>
      <c r="M227" s="574" t="s">
        <v>2230</v>
      </c>
      <c r="N227" s="574" t="s">
        <v>2231</v>
      </c>
      <c r="O227" s="574" t="s">
        <v>2232</v>
      </c>
      <c r="P227" s="574" t="s">
        <v>2233</v>
      </c>
      <c r="Q227" s="574" t="s">
        <v>2234</v>
      </c>
      <c r="R227" s="574" t="s">
        <v>2225</v>
      </c>
      <c r="S227" s="574" t="s">
        <v>2235</v>
      </c>
      <c r="T227" s="574" t="s">
        <v>2236</v>
      </c>
      <c r="U227" s="574" t="s">
        <v>2646</v>
      </c>
      <c r="V227" s="574" t="s">
        <v>2238</v>
      </c>
      <c r="W227" s="574" t="s">
        <v>2239</v>
      </c>
      <c r="X227" s="574" t="s">
        <v>2647</v>
      </c>
      <c r="Y227" s="575" t="s">
        <v>2641</v>
      </c>
      <c r="Z227" s="575" t="s">
        <v>2641</v>
      </c>
      <c r="AA227" s="574" t="s">
        <v>1694</v>
      </c>
      <c r="AB227" s="574" t="s">
        <v>2314</v>
      </c>
      <c r="AC227" s="574" t="s">
        <v>2315</v>
      </c>
      <c r="AD227" s="574" t="s">
        <v>2316</v>
      </c>
      <c r="AE227" s="574" t="s">
        <v>1470</v>
      </c>
      <c r="AF227" s="574" t="s">
        <v>2316</v>
      </c>
      <c r="AG227" s="576">
        <v>0</v>
      </c>
      <c r="AH227" s="576">
        <v>49721.73</v>
      </c>
      <c r="AI227"/>
    </row>
    <row r="228" spans="1:35" x14ac:dyDescent="0.25">
      <c r="A228" s="574" t="s">
        <v>2219</v>
      </c>
      <c r="B228" s="574" t="s">
        <v>2220</v>
      </c>
      <c r="C228" s="574" t="s">
        <v>2221</v>
      </c>
      <c r="D228" s="574" t="s">
        <v>2220</v>
      </c>
      <c r="E228" s="574" t="s">
        <v>2222</v>
      </c>
      <c r="F228" s="574" t="s">
        <v>2223</v>
      </c>
      <c r="G228" s="574" t="s">
        <v>2224</v>
      </c>
      <c r="H228" s="574" t="s">
        <v>2225</v>
      </c>
      <c r="I228" s="574" t="s">
        <v>2226</v>
      </c>
      <c r="J228" s="574" t="s">
        <v>2227</v>
      </c>
      <c r="K228" s="574" t="s">
        <v>2228</v>
      </c>
      <c r="L228" s="574" t="s">
        <v>2229</v>
      </c>
      <c r="M228" s="574" t="s">
        <v>2230</v>
      </c>
      <c r="N228" s="574" t="s">
        <v>2231</v>
      </c>
      <c r="O228" s="574" t="s">
        <v>2232</v>
      </c>
      <c r="P228" s="574" t="s">
        <v>2233</v>
      </c>
      <c r="Q228" s="574" t="s">
        <v>2234</v>
      </c>
      <c r="R228" s="574" t="s">
        <v>2225</v>
      </c>
      <c r="S228" s="574" t="s">
        <v>2737</v>
      </c>
      <c r="T228" s="574" t="s">
        <v>2738</v>
      </c>
      <c r="U228" s="574" t="s">
        <v>2739</v>
      </c>
      <c r="V228" s="574" t="s">
        <v>2238</v>
      </c>
      <c r="W228" s="574" t="s">
        <v>2239</v>
      </c>
      <c r="X228" s="574" t="s">
        <v>2295</v>
      </c>
      <c r="Y228" s="575" t="s">
        <v>2715</v>
      </c>
      <c r="Z228" s="575" t="s">
        <v>2715</v>
      </c>
      <c r="AA228" s="574" t="s">
        <v>1691</v>
      </c>
      <c r="AB228" s="574" t="s">
        <v>2297</v>
      </c>
      <c r="AC228" s="574" t="s">
        <v>2298</v>
      </c>
      <c r="AD228" s="574" t="s">
        <v>2299</v>
      </c>
      <c r="AE228" s="574" t="s">
        <v>1468</v>
      </c>
      <c r="AF228" s="574" t="s">
        <v>2299</v>
      </c>
      <c r="AG228" s="576">
        <v>46200</v>
      </c>
      <c r="AH228" s="576">
        <v>0</v>
      </c>
      <c r="AI228"/>
    </row>
    <row r="229" spans="1:35" x14ac:dyDescent="0.25">
      <c r="A229" s="574" t="s">
        <v>2219</v>
      </c>
      <c r="B229" s="574" t="s">
        <v>2220</v>
      </c>
      <c r="C229" s="574" t="s">
        <v>2221</v>
      </c>
      <c r="D229" s="574" t="s">
        <v>2220</v>
      </c>
      <c r="E229" s="574" t="s">
        <v>2222</v>
      </c>
      <c r="F229" s="574" t="s">
        <v>2223</v>
      </c>
      <c r="G229" s="574" t="s">
        <v>2224</v>
      </c>
      <c r="H229" s="574" t="s">
        <v>2225</v>
      </c>
      <c r="I229" s="574" t="s">
        <v>2226</v>
      </c>
      <c r="J229" s="574" t="s">
        <v>2227</v>
      </c>
      <c r="K229" s="574" t="s">
        <v>2228</v>
      </c>
      <c r="L229" s="574" t="s">
        <v>2229</v>
      </c>
      <c r="M229" s="574" t="s">
        <v>2230</v>
      </c>
      <c r="N229" s="574" t="s">
        <v>2231</v>
      </c>
      <c r="O229" s="574" t="s">
        <v>2232</v>
      </c>
      <c r="P229" s="574" t="s">
        <v>2233</v>
      </c>
      <c r="Q229" s="574" t="s">
        <v>2234</v>
      </c>
      <c r="R229" s="574" t="s">
        <v>2225</v>
      </c>
      <c r="S229" s="574" t="s">
        <v>2737</v>
      </c>
      <c r="T229" s="574" t="s">
        <v>2738</v>
      </c>
      <c r="U229" s="574" t="s">
        <v>2740</v>
      </c>
      <c r="V229" s="574" t="s">
        <v>2238</v>
      </c>
      <c r="W229" s="574" t="s">
        <v>2239</v>
      </c>
      <c r="X229" s="574" t="s">
        <v>2303</v>
      </c>
      <c r="Y229" s="575" t="s">
        <v>2715</v>
      </c>
      <c r="Z229" s="575" t="s">
        <v>2715</v>
      </c>
      <c r="AA229" s="574" t="s">
        <v>1691</v>
      </c>
      <c r="AB229" s="574" t="s">
        <v>2297</v>
      </c>
      <c r="AC229" s="574" t="s">
        <v>2298</v>
      </c>
      <c r="AD229" s="574" t="s">
        <v>2299</v>
      </c>
      <c r="AE229" s="574" t="s">
        <v>1468</v>
      </c>
      <c r="AF229" s="574" t="s">
        <v>2299</v>
      </c>
      <c r="AG229" s="576">
        <v>86350</v>
      </c>
      <c r="AH229" s="576">
        <v>0</v>
      </c>
      <c r="AI229"/>
    </row>
    <row r="230" spans="1:35" x14ac:dyDescent="0.25">
      <c r="A230" s="574" t="s">
        <v>2219</v>
      </c>
      <c r="B230" s="574" t="s">
        <v>2220</v>
      </c>
      <c r="C230" s="574" t="s">
        <v>2221</v>
      </c>
      <c r="D230" s="574" t="s">
        <v>2220</v>
      </c>
      <c r="E230" s="574" t="s">
        <v>2222</v>
      </c>
      <c r="F230" s="574" t="s">
        <v>2223</v>
      </c>
      <c r="G230" s="574" t="s">
        <v>2224</v>
      </c>
      <c r="H230" s="574" t="s">
        <v>2225</v>
      </c>
      <c r="I230" s="574" t="s">
        <v>2226</v>
      </c>
      <c r="J230" s="574" t="s">
        <v>2227</v>
      </c>
      <c r="K230" s="574" t="s">
        <v>2228</v>
      </c>
      <c r="L230" s="574" t="s">
        <v>2229</v>
      </c>
      <c r="M230" s="574" t="s">
        <v>2230</v>
      </c>
      <c r="N230" s="574" t="s">
        <v>2231</v>
      </c>
      <c r="O230" s="574" t="s">
        <v>2232</v>
      </c>
      <c r="P230" s="574" t="s">
        <v>2233</v>
      </c>
      <c r="Q230" s="574" t="s">
        <v>2234</v>
      </c>
      <c r="R230" s="574" t="s">
        <v>2225</v>
      </c>
      <c r="S230" s="574" t="s">
        <v>2737</v>
      </c>
      <c r="T230" s="574" t="s">
        <v>2738</v>
      </c>
      <c r="U230" s="574" t="s">
        <v>2741</v>
      </c>
      <c r="V230" s="574" t="s">
        <v>2238</v>
      </c>
      <c r="W230" s="574" t="s">
        <v>2239</v>
      </c>
      <c r="X230" s="574" t="s">
        <v>2301</v>
      </c>
      <c r="Y230" s="575" t="s">
        <v>2715</v>
      </c>
      <c r="Z230" s="575" t="s">
        <v>2715</v>
      </c>
      <c r="AA230" s="574" t="s">
        <v>1691</v>
      </c>
      <c r="AB230" s="574" t="s">
        <v>2297</v>
      </c>
      <c r="AC230" s="574" t="s">
        <v>2298</v>
      </c>
      <c r="AD230" s="574" t="s">
        <v>2299</v>
      </c>
      <c r="AE230" s="574" t="s">
        <v>1468</v>
      </c>
      <c r="AF230" s="574" t="s">
        <v>2299</v>
      </c>
      <c r="AG230" s="576">
        <v>1215000</v>
      </c>
      <c r="AH230" s="576">
        <v>0</v>
      </c>
      <c r="AI230"/>
    </row>
    <row r="231" spans="1:35" x14ac:dyDescent="0.25">
      <c r="A231" s="574" t="s">
        <v>2219</v>
      </c>
      <c r="B231" s="574" t="s">
        <v>2220</v>
      </c>
      <c r="C231" s="574" t="s">
        <v>2221</v>
      </c>
      <c r="D231" s="574" t="s">
        <v>2220</v>
      </c>
      <c r="E231" s="574" t="s">
        <v>2222</v>
      </c>
      <c r="F231" s="574" t="s">
        <v>2223</v>
      </c>
      <c r="G231" s="574" t="s">
        <v>2224</v>
      </c>
      <c r="H231" s="574" t="s">
        <v>2225</v>
      </c>
      <c r="I231" s="574" t="s">
        <v>2226</v>
      </c>
      <c r="J231" s="574" t="s">
        <v>2227</v>
      </c>
      <c r="K231" s="574" t="s">
        <v>2228</v>
      </c>
      <c r="L231" s="574" t="s">
        <v>2229</v>
      </c>
      <c r="M231" s="574" t="s">
        <v>2230</v>
      </c>
      <c r="N231" s="574" t="s">
        <v>2231</v>
      </c>
      <c r="O231" s="574" t="s">
        <v>2232</v>
      </c>
      <c r="P231" s="574" t="s">
        <v>2233</v>
      </c>
      <c r="Q231" s="574" t="s">
        <v>2234</v>
      </c>
      <c r="R231" s="574" t="s">
        <v>2225</v>
      </c>
      <c r="S231" s="574" t="s">
        <v>2737</v>
      </c>
      <c r="T231" s="574" t="s">
        <v>2738</v>
      </c>
      <c r="U231" s="574" t="s">
        <v>2742</v>
      </c>
      <c r="V231" s="574" t="s">
        <v>2238</v>
      </c>
      <c r="W231" s="574" t="s">
        <v>2239</v>
      </c>
      <c r="X231" s="574" t="s">
        <v>2345</v>
      </c>
      <c r="Y231" s="575" t="s">
        <v>2716</v>
      </c>
      <c r="Z231" s="575" t="s">
        <v>2716</v>
      </c>
      <c r="AA231" s="574" t="s">
        <v>1691</v>
      </c>
      <c r="AB231" s="574" t="s">
        <v>2297</v>
      </c>
      <c r="AC231" s="574" t="s">
        <v>2298</v>
      </c>
      <c r="AD231" s="574" t="s">
        <v>2299</v>
      </c>
      <c r="AE231" s="574" t="s">
        <v>1468</v>
      </c>
      <c r="AF231" s="574" t="s">
        <v>2299</v>
      </c>
      <c r="AG231" s="576">
        <v>46000</v>
      </c>
      <c r="AH231" s="576">
        <v>0</v>
      </c>
      <c r="AI231"/>
    </row>
    <row r="232" spans="1:35" x14ac:dyDescent="0.25">
      <c r="A232" s="574" t="s">
        <v>2219</v>
      </c>
      <c r="B232" s="574" t="s">
        <v>2220</v>
      </c>
      <c r="C232" s="574" t="s">
        <v>2221</v>
      </c>
      <c r="D232" s="574" t="s">
        <v>2220</v>
      </c>
      <c r="E232" s="574" t="s">
        <v>2222</v>
      </c>
      <c r="F232" s="574" t="s">
        <v>2223</v>
      </c>
      <c r="G232" s="574" t="s">
        <v>2224</v>
      </c>
      <c r="H232" s="574" t="s">
        <v>2225</v>
      </c>
      <c r="I232" s="574" t="s">
        <v>2226</v>
      </c>
      <c r="J232" s="574" t="s">
        <v>2227</v>
      </c>
      <c r="K232" s="574" t="s">
        <v>2228</v>
      </c>
      <c r="L232" s="574" t="s">
        <v>2229</v>
      </c>
      <c r="M232" s="574" t="s">
        <v>2230</v>
      </c>
      <c r="N232" s="574" t="s">
        <v>2231</v>
      </c>
      <c r="O232" s="574" t="s">
        <v>2232</v>
      </c>
      <c r="P232" s="574" t="s">
        <v>2233</v>
      </c>
      <c r="Q232" s="574" t="s">
        <v>2234</v>
      </c>
      <c r="R232" s="574" t="s">
        <v>2225</v>
      </c>
      <c r="S232" s="574" t="s">
        <v>2737</v>
      </c>
      <c r="T232" s="574" t="s">
        <v>2738</v>
      </c>
      <c r="U232" s="574" t="s">
        <v>2743</v>
      </c>
      <c r="V232" s="574" t="s">
        <v>2238</v>
      </c>
      <c r="W232" s="574" t="s">
        <v>2239</v>
      </c>
      <c r="X232" s="574" t="s">
        <v>2717</v>
      </c>
      <c r="Y232" s="575" t="s">
        <v>2716</v>
      </c>
      <c r="Z232" s="575" t="s">
        <v>2716</v>
      </c>
      <c r="AA232" s="574" t="s">
        <v>1691</v>
      </c>
      <c r="AB232" s="574" t="s">
        <v>2297</v>
      </c>
      <c r="AC232" s="574" t="s">
        <v>2298</v>
      </c>
      <c r="AD232" s="574" t="s">
        <v>2299</v>
      </c>
      <c r="AE232" s="574" t="s">
        <v>1468</v>
      </c>
      <c r="AF232" s="574" t="s">
        <v>2299</v>
      </c>
      <c r="AG232" s="576">
        <v>60232</v>
      </c>
      <c r="AH232" s="576">
        <v>0</v>
      </c>
      <c r="AI232"/>
    </row>
    <row r="233" spans="1:35" x14ac:dyDescent="0.25">
      <c r="A233" s="574" t="s">
        <v>2219</v>
      </c>
      <c r="B233" s="574" t="s">
        <v>2220</v>
      </c>
      <c r="C233" s="574" t="s">
        <v>2221</v>
      </c>
      <c r="D233" s="574" t="s">
        <v>2220</v>
      </c>
      <c r="E233" s="574" t="s">
        <v>2222</v>
      </c>
      <c r="F233" s="574" t="s">
        <v>2223</v>
      </c>
      <c r="G233" s="574" t="s">
        <v>2224</v>
      </c>
      <c r="H233" s="574" t="s">
        <v>2225</v>
      </c>
      <c r="I233" s="574" t="s">
        <v>2226</v>
      </c>
      <c r="J233" s="574" t="s">
        <v>2227</v>
      </c>
      <c r="K233" s="574" t="s">
        <v>2228</v>
      </c>
      <c r="L233" s="574" t="s">
        <v>2229</v>
      </c>
      <c r="M233" s="574" t="s">
        <v>2230</v>
      </c>
      <c r="N233" s="574" t="s">
        <v>2231</v>
      </c>
      <c r="O233" s="574" t="s">
        <v>2232</v>
      </c>
      <c r="P233" s="574" t="s">
        <v>2233</v>
      </c>
      <c r="Q233" s="574" t="s">
        <v>2234</v>
      </c>
      <c r="R233" s="574" t="s">
        <v>2225</v>
      </c>
      <c r="S233" s="574" t="s">
        <v>2737</v>
      </c>
      <c r="T233" s="574" t="s">
        <v>2738</v>
      </c>
      <c r="U233" s="574" t="s">
        <v>2743</v>
      </c>
      <c r="V233" s="574" t="s">
        <v>2238</v>
      </c>
      <c r="W233" s="574" t="s">
        <v>2239</v>
      </c>
      <c r="X233" s="574" t="s">
        <v>2717</v>
      </c>
      <c r="Y233" s="575" t="s">
        <v>2716</v>
      </c>
      <c r="Z233" s="575" t="s">
        <v>2326</v>
      </c>
      <c r="AA233" s="574" t="s">
        <v>1691</v>
      </c>
      <c r="AB233" s="574" t="s">
        <v>2297</v>
      </c>
      <c r="AC233" s="574" t="s">
        <v>2298</v>
      </c>
      <c r="AD233" s="574" t="s">
        <v>2299</v>
      </c>
      <c r="AE233" s="574" t="s">
        <v>1468</v>
      </c>
      <c r="AF233" s="574" t="s">
        <v>2299</v>
      </c>
      <c r="AG233" s="576">
        <v>-60232</v>
      </c>
      <c r="AH233" s="576">
        <v>0</v>
      </c>
      <c r="AI233"/>
    </row>
    <row r="234" spans="1:35" x14ac:dyDescent="0.25">
      <c r="A234" s="574" t="s">
        <v>2219</v>
      </c>
      <c r="B234" s="574" t="s">
        <v>2220</v>
      </c>
      <c r="C234" s="574" t="s">
        <v>2221</v>
      </c>
      <c r="D234" s="574" t="s">
        <v>2220</v>
      </c>
      <c r="E234" s="574" t="s">
        <v>2222</v>
      </c>
      <c r="F234" s="574" t="s">
        <v>2223</v>
      </c>
      <c r="G234" s="574" t="s">
        <v>2224</v>
      </c>
      <c r="H234" s="574" t="s">
        <v>2225</v>
      </c>
      <c r="I234" s="574" t="s">
        <v>2226</v>
      </c>
      <c r="J234" s="574" t="s">
        <v>2227</v>
      </c>
      <c r="K234" s="574" t="s">
        <v>2228</v>
      </c>
      <c r="L234" s="574" t="s">
        <v>2229</v>
      </c>
      <c r="M234" s="574" t="s">
        <v>2230</v>
      </c>
      <c r="N234" s="574" t="s">
        <v>2231</v>
      </c>
      <c r="O234" s="574" t="s">
        <v>2232</v>
      </c>
      <c r="P234" s="574" t="s">
        <v>2233</v>
      </c>
      <c r="Q234" s="574" t="s">
        <v>2234</v>
      </c>
      <c r="R234" s="574" t="s">
        <v>2225</v>
      </c>
      <c r="S234" s="574" t="s">
        <v>2737</v>
      </c>
      <c r="T234" s="574" t="s">
        <v>2738</v>
      </c>
      <c r="U234" s="574" t="s">
        <v>2744</v>
      </c>
      <c r="V234" s="574" t="s">
        <v>2238</v>
      </c>
      <c r="W234" s="574" t="s">
        <v>2239</v>
      </c>
      <c r="X234" s="574" t="s">
        <v>2343</v>
      </c>
      <c r="Y234" s="575" t="s">
        <v>2716</v>
      </c>
      <c r="Z234" s="575" t="s">
        <v>2716</v>
      </c>
      <c r="AA234" s="574" t="s">
        <v>1692</v>
      </c>
      <c r="AB234" s="574" t="s">
        <v>2307</v>
      </c>
      <c r="AC234" s="574" t="s">
        <v>2308</v>
      </c>
      <c r="AD234" s="574" t="s">
        <v>2309</v>
      </c>
      <c r="AE234" s="574" t="s">
        <v>1490</v>
      </c>
      <c r="AF234" s="574" t="s">
        <v>176</v>
      </c>
      <c r="AG234" s="576">
        <v>827535.72</v>
      </c>
      <c r="AH234" s="576">
        <v>0</v>
      </c>
      <c r="AI234"/>
    </row>
    <row r="235" spans="1:35" x14ac:dyDescent="0.25">
      <c r="A235" s="574" t="s">
        <v>2219</v>
      </c>
      <c r="B235" s="574" t="s">
        <v>2220</v>
      </c>
      <c r="C235" s="574" t="s">
        <v>2221</v>
      </c>
      <c r="D235" s="574" t="s">
        <v>2220</v>
      </c>
      <c r="E235" s="574" t="s">
        <v>2222</v>
      </c>
      <c r="F235" s="574" t="s">
        <v>2223</v>
      </c>
      <c r="G235" s="574" t="s">
        <v>2224</v>
      </c>
      <c r="H235" s="574" t="s">
        <v>2225</v>
      </c>
      <c r="I235" s="574" t="s">
        <v>2226</v>
      </c>
      <c r="J235" s="574" t="s">
        <v>2227</v>
      </c>
      <c r="K235" s="574" t="s">
        <v>2228</v>
      </c>
      <c r="L235" s="574" t="s">
        <v>2229</v>
      </c>
      <c r="M235" s="574" t="s">
        <v>2230</v>
      </c>
      <c r="N235" s="574" t="s">
        <v>2231</v>
      </c>
      <c r="O235" s="574" t="s">
        <v>2232</v>
      </c>
      <c r="P235" s="574" t="s">
        <v>2233</v>
      </c>
      <c r="Q235" s="574" t="s">
        <v>2234</v>
      </c>
      <c r="R235" s="574" t="s">
        <v>2225</v>
      </c>
      <c r="S235" s="574" t="s">
        <v>2737</v>
      </c>
      <c r="T235" s="574" t="s">
        <v>2738</v>
      </c>
      <c r="U235" s="574" t="s">
        <v>2745</v>
      </c>
      <c r="V235" s="574" t="s">
        <v>2238</v>
      </c>
      <c r="W235" s="574" t="s">
        <v>2239</v>
      </c>
      <c r="X235" s="574" t="s">
        <v>2305</v>
      </c>
      <c r="Y235" s="575" t="s">
        <v>2716</v>
      </c>
      <c r="Z235" s="575" t="s">
        <v>2716</v>
      </c>
      <c r="AA235" s="574" t="s">
        <v>1692</v>
      </c>
      <c r="AB235" s="574" t="s">
        <v>2307</v>
      </c>
      <c r="AC235" s="574" t="s">
        <v>2308</v>
      </c>
      <c r="AD235" s="574" t="s">
        <v>2309</v>
      </c>
      <c r="AE235" s="574" t="s">
        <v>1490</v>
      </c>
      <c r="AF235" s="574" t="s">
        <v>176</v>
      </c>
      <c r="AG235" s="576">
        <v>374226.46</v>
      </c>
      <c r="AH235" s="576">
        <v>0</v>
      </c>
      <c r="AI235"/>
    </row>
    <row r="236" spans="1:35" x14ac:dyDescent="0.25">
      <c r="A236" s="574" t="s">
        <v>2219</v>
      </c>
      <c r="B236" s="574" t="s">
        <v>2220</v>
      </c>
      <c r="C236" s="574" t="s">
        <v>2221</v>
      </c>
      <c r="D236" s="574" t="s">
        <v>2220</v>
      </c>
      <c r="E236" s="574" t="s">
        <v>2222</v>
      </c>
      <c r="F236" s="574" t="s">
        <v>2223</v>
      </c>
      <c r="G236" s="574" t="s">
        <v>2224</v>
      </c>
      <c r="H236" s="574" t="s">
        <v>2225</v>
      </c>
      <c r="I236" s="574" t="s">
        <v>2226</v>
      </c>
      <c r="J236" s="574" t="s">
        <v>2227</v>
      </c>
      <c r="K236" s="574" t="s">
        <v>2228</v>
      </c>
      <c r="L236" s="574" t="s">
        <v>2229</v>
      </c>
      <c r="M236" s="574" t="s">
        <v>2230</v>
      </c>
      <c r="N236" s="574" t="s">
        <v>2231</v>
      </c>
      <c r="O236" s="574" t="s">
        <v>2232</v>
      </c>
      <c r="P236" s="574" t="s">
        <v>2233</v>
      </c>
      <c r="Q236" s="574" t="s">
        <v>2234</v>
      </c>
      <c r="R236" s="574" t="s">
        <v>2225</v>
      </c>
      <c r="S236" s="574" t="s">
        <v>2737</v>
      </c>
      <c r="T236" s="574" t="s">
        <v>2738</v>
      </c>
      <c r="U236" s="574" t="s">
        <v>2746</v>
      </c>
      <c r="V236" s="574" t="s">
        <v>2238</v>
      </c>
      <c r="W236" s="574" t="s">
        <v>2239</v>
      </c>
      <c r="X236" s="574" t="s">
        <v>2363</v>
      </c>
      <c r="Y236" s="575" t="s">
        <v>2648</v>
      </c>
      <c r="Z236" s="575" t="s">
        <v>2648</v>
      </c>
      <c r="AA236" s="574" t="s">
        <v>1692</v>
      </c>
      <c r="AB236" s="574" t="s">
        <v>2307</v>
      </c>
      <c r="AC236" s="574" t="s">
        <v>2308</v>
      </c>
      <c r="AD236" s="574" t="s">
        <v>2309</v>
      </c>
      <c r="AE236" s="574" t="s">
        <v>1490</v>
      </c>
      <c r="AF236" s="574" t="s">
        <v>176</v>
      </c>
      <c r="AG236" s="576">
        <v>361422.2</v>
      </c>
      <c r="AH236" s="576">
        <v>0</v>
      </c>
      <c r="AI236"/>
    </row>
    <row r="237" spans="1:35" x14ac:dyDescent="0.25">
      <c r="A237" s="574" t="s">
        <v>2219</v>
      </c>
      <c r="B237" s="574" t="s">
        <v>2220</v>
      </c>
      <c r="C237" s="574" t="s">
        <v>2221</v>
      </c>
      <c r="D237" s="574" t="s">
        <v>2220</v>
      </c>
      <c r="E237" s="574" t="s">
        <v>2222</v>
      </c>
      <c r="F237" s="574" t="s">
        <v>2223</v>
      </c>
      <c r="G237" s="574" t="s">
        <v>2224</v>
      </c>
      <c r="H237" s="574" t="s">
        <v>2225</v>
      </c>
      <c r="I237" s="574" t="s">
        <v>2226</v>
      </c>
      <c r="J237" s="574" t="s">
        <v>2227</v>
      </c>
      <c r="K237" s="574" t="s">
        <v>2228</v>
      </c>
      <c r="L237" s="574" t="s">
        <v>2229</v>
      </c>
      <c r="M237" s="574" t="s">
        <v>2230</v>
      </c>
      <c r="N237" s="574" t="s">
        <v>2231</v>
      </c>
      <c r="O237" s="574" t="s">
        <v>2232</v>
      </c>
      <c r="P237" s="574" t="s">
        <v>2233</v>
      </c>
      <c r="Q237" s="574" t="s">
        <v>2234</v>
      </c>
      <c r="R237" s="574" t="s">
        <v>2225</v>
      </c>
      <c r="S237" s="574" t="s">
        <v>2737</v>
      </c>
      <c r="T237" s="574" t="s">
        <v>2738</v>
      </c>
      <c r="U237" s="574" t="s">
        <v>2747</v>
      </c>
      <c r="V237" s="574" t="s">
        <v>2238</v>
      </c>
      <c r="W237" s="574" t="s">
        <v>2239</v>
      </c>
      <c r="X237" s="574" t="s">
        <v>2311</v>
      </c>
      <c r="Y237" s="575" t="s">
        <v>2648</v>
      </c>
      <c r="Z237" s="575" t="s">
        <v>2648</v>
      </c>
      <c r="AA237" s="574" t="s">
        <v>1691</v>
      </c>
      <c r="AB237" s="574" t="s">
        <v>2297</v>
      </c>
      <c r="AC237" s="574" t="s">
        <v>2298</v>
      </c>
      <c r="AD237" s="574" t="s">
        <v>2299</v>
      </c>
      <c r="AE237" s="574" t="s">
        <v>1468</v>
      </c>
      <c r="AF237" s="574" t="s">
        <v>2299</v>
      </c>
      <c r="AG237" s="576">
        <v>215625</v>
      </c>
      <c r="AH237" s="576">
        <v>0</v>
      </c>
      <c r="AI237"/>
    </row>
    <row r="238" spans="1:35" x14ac:dyDescent="0.25">
      <c r="A238" s="574" t="s">
        <v>2219</v>
      </c>
      <c r="B238" s="574" t="s">
        <v>2220</v>
      </c>
      <c r="C238" s="574" t="s">
        <v>2221</v>
      </c>
      <c r="D238" s="574" t="s">
        <v>2220</v>
      </c>
      <c r="E238" s="574" t="s">
        <v>2222</v>
      </c>
      <c r="F238" s="574" t="s">
        <v>2223</v>
      </c>
      <c r="G238" s="574" t="s">
        <v>2224</v>
      </c>
      <c r="H238" s="574" t="s">
        <v>2225</v>
      </c>
      <c r="I238" s="574" t="s">
        <v>2226</v>
      </c>
      <c r="J238" s="574" t="s">
        <v>2227</v>
      </c>
      <c r="K238" s="574" t="s">
        <v>2228</v>
      </c>
      <c r="L238" s="574" t="s">
        <v>2229</v>
      </c>
      <c r="M238" s="574" t="s">
        <v>2230</v>
      </c>
      <c r="N238" s="574" t="s">
        <v>2231</v>
      </c>
      <c r="O238" s="574" t="s">
        <v>2232</v>
      </c>
      <c r="P238" s="574" t="s">
        <v>2233</v>
      </c>
      <c r="Q238" s="574" t="s">
        <v>2234</v>
      </c>
      <c r="R238" s="574" t="s">
        <v>2225</v>
      </c>
      <c r="S238" s="574" t="s">
        <v>2737</v>
      </c>
      <c r="T238" s="574" t="s">
        <v>2738</v>
      </c>
      <c r="U238" s="574" t="s">
        <v>2748</v>
      </c>
      <c r="V238" s="574" t="s">
        <v>2238</v>
      </c>
      <c r="W238" s="574" t="s">
        <v>2239</v>
      </c>
      <c r="X238" s="574" t="s">
        <v>2323</v>
      </c>
      <c r="Y238" s="575" t="s">
        <v>2648</v>
      </c>
      <c r="Z238" s="575" t="s">
        <v>2648</v>
      </c>
      <c r="AA238" s="574" t="s">
        <v>1691</v>
      </c>
      <c r="AB238" s="574" t="s">
        <v>2297</v>
      </c>
      <c r="AC238" s="574" t="s">
        <v>2298</v>
      </c>
      <c r="AD238" s="574" t="s">
        <v>2299</v>
      </c>
      <c r="AE238" s="574" t="s">
        <v>1468</v>
      </c>
      <c r="AF238" s="574" t="s">
        <v>2299</v>
      </c>
      <c r="AG238" s="576">
        <v>183600</v>
      </c>
      <c r="AH238" s="576">
        <v>0</v>
      </c>
      <c r="AI238"/>
    </row>
    <row r="239" spans="1:35" x14ac:dyDescent="0.25">
      <c r="A239" s="574" t="s">
        <v>2219</v>
      </c>
      <c r="B239" s="574" t="s">
        <v>2220</v>
      </c>
      <c r="C239" s="574" t="s">
        <v>2221</v>
      </c>
      <c r="D239" s="574" t="s">
        <v>2220</v>
      </c>
      <c r="E239" s="574" t="s">
        <v>2222</v>
      </c>
      <c r="F239" s="574" t="s">
        <v>2223</v>
      </c>
      <c r="G239" s="574" t="s">
        <v>2224</v>
      </c>
      <c r="H239" s="574" t="s">
        <v>2225</v>
      </c>
      <c r="I239" s="574" t="s">
        <v>2226</v>
      </c>
      <c r="J239" s="574" t="s">
        <v>2227</v>
      </c>
      <c r="K239" s="574" t="s">
        <v>2228</v>
      </c>
      <c r="L239" s="574" t="s">
        <v>2229</v>
      </c>
      <c r="M239" s="574" t="s">
        <v>2230</v>
      </c>
      <c r="N239" s="574" t="s">
        <v>2231</v>
      </c>
      <c r="O239" s="574" t="s">
        <v>2232</v>
      </c>
      <c r="P239" s="574" t="s">
        <v>2233</v>
      </c>
      <c r="Q239" s="574" t="s">
        <v>2234</v>
      </c>
      <c r="R239" s="574" t="s">
        <v>2225</v>
      </c>
      <c r="S239" s="574" t="s">
        <v>2737</v>
      </c>
      <c r="T239" s="574" t="s">
        <v>2738</v>
      </c>
      <c r="U239" s="574" t="s">
        <v>2749</v>
      </c>
      <c r="V239" s="574" t="s">
        <v>2238</v>
      </c>
      <c r="W239" s="574" t="s">
        <v>2239</v>
      </c>
      <c r="X239" s="574" t="s">
        <v>2358</v>
      </c>
      <c r="Y239" s="575" t="s">
        <v>2648</v>
      </c>
      <c r="Z239" s="575" t="s">
        <v>2648</v>
      </c>
      <c r="AA239" s="574" t="s">
        <v>1691</v>
      </c>
      <c r="AB239" s="574" t="s">
        <v>2297</v>
      </c>
      <c r="AC239" s="574" t="s">
        <v>2298</v>
      </c>
      <c r="AD239" s="574" t="s">
        <v>2299</v>
      </c>
      <c r="AE239" s="574" t="s">
        <v>1468</v>
      </c>
      <c r="AF239" s="574" t="s">
        <v>2299</v>
      </c>
      <c r="AG239" s="576">
        <v>185000</v>
      </c>
      <c r="AH239" s="576">
        <v>0</v>
      </c>
      <c r="AI239"/>
    </row>
    <row r="240" spans="1:35" x14ac:dyDescent="0.25">
      <c r="A240" s="574" t="s">
        <v>2219</v>
      </c>
      <c r="B240" s="574" t="s">
        <v>2220</v>
      </c>
      <c r="C240" s="574" t="s">
        <v>2221</v>
      </c>
      <c r="D240" s="574" t="s">
        <v>2220</v>
      </c>
      <c r="E240" s="574" t="s">
        <v>2222</v>
      </c>
      <c r="F240" s="574" t="s">
        <v>2223</v>
      </c>
      <c r="G240" s="574" t="s">
        <v>2224</v>
      </c>
      <c r="H240" s="574" t="s">
        <v>2225</v>
      </c>
      <c r="I240" s="574" t="s">
        <v>2226</v>
      </c>
      <c r="J240" s="574" t="s">
        <v>2227</v>
      </c>
      <c r="K240" s="574" t="s">
        <v>2228</v>
      </c>
      <c r="L240" s="574" t="s">
        <v>2229</v>
      </c>
      <c r="M240" s="574" t="s">
        <v>2230</v>
      </c>
      <c r="N240" s="574" t="s">
        <v>2231</v>
      </c>
      <c r="O240" s="574" t="s">
        <v>2232</v>
      </c>
      <c r="P240" s="574" t="s">
        <v>2233</v>
      </c>
      <c r="Q240" s="574" t="s">
        <v>2234</v>
      </c>
      <c r="R240" s="574" t="s">
        <v>2225</v>
      </c>
      <c r="S240" s="574" t="s">
        <v>2737</v>
      </c>
      <c r="T240" s="574" t="s">
        <v>2738</v>
      </c>
      <c r="U240" s="574" t="s">
        <v>2750</v>
      </c>
      <c r="V240" s="574" t="s">
        <v>2238</v>
      </c>
      <c r="W240" s="574" t="s">
        <v>2239</v>
      </c>
      <c r="X240" s="574" t="s">
        <v>2718</v>
      </c>
      <c r="Y240" s="575" t="s">
        <v>2648</v>
      </c>
      <c r="Z240" s="575" t="s">
        <v>2648</v>
      </c>
      <c r="AA240" s="574" t="s">
        <v>1691</v>
      </c>
      <c r="AB240" s="574" t="s">
        <v>2297</v>
      </c>
      <c r="AC240" s="574" t="s">
        <v>2298</v>
      </c>
      <c r="AD240" s="574" t="s">
        <v>2299</v>
      </c>
      <c r="AE240" s="574" t="s">
        <v>1468</v>
      </c>
      <c r="AF240" s="574" t="s">
        <v>2299</v>
      </c>
      <c r="AG240" s="576">
        <v>148000</v>
      </c>
      <c r="AH240" s="576">
        <v>0</v>
      </c>
      <c r="AI240"/>
    </row>
    <row r="241" spans="1:34" customFormat="1" x14ac:dyDescent="0.25">
      <c r="A241" s="574" t="s">
        <v>2219</v>
      </c>
      <c r="B241" s="574" t="s">
        <v>2220</v>
      </c>
      <c r="C241" s="574" t="s">
        <v>2221</v>
      </c>
      <c r="D241" s="574" t="s">
        <v>2220</v>
      </c>
      <c r="E241" s="574" t="s">
        <v>2222</v>
      </c>
      <c r="F241" s="574" t="s">
        <v>2223</v>
      </c>
      <c r="G241" s="574" t="s">
        <v>2224</v>
      </c>
      <c r="H241" s="574" t="s">
        <v>2225</v>
      </c>
      <c r="I241" s="574" t="s">
        <v>2226</v>
      </c>
      <c r="J241" s="574" t="s">
        <v>2227</v>
      </c>
      <c r="K241" s="574" t="s">
        <v>2228</v>
      </c>
      <c r="L241" s="574" t="s">
        <v>2229</v>
      </c>
      <c r="M241" s="574" t="s">
        <v>2230</v>
      </c>
      <c r="N241" s="574" t="s">
        <v>2231</v>
      </c>
      <c r="O241" s="574" t="s">
        <v>2232</v>
      </c>
      <c r="P241" s="574" t="s">
        <v>2233</v>
      </c>
      <c r="Q241" s="574" t="s">
        <v>2234</v>
      </c>
      <c r="R241" s="574" t="s">
        <v>2225</v>
      </c>
      <c r="S241" s="574" t="s">
        <v>2737</v>
      </c>
      <c r="T241" s="574" t="s">
        <v>2738</v>
      </c>
      <c r="U241" s="574" t="s">
        <v>2750</v>
      </c>
      <c r="V241" s="574" t="s">
        <v>2238</v>
      </c>
      <c r="W241" s="574" t="s">
        <v>2239</v>
      </c>
      <c r="X241" s="574" t="s">
        <v>2718</v>
      </c>
      <c r="Y241" s="575" t="s">
        <v>2648</v>
      </c>
      <c r="Z241" s="575" t="s">
        <v>2669</v>
      </c>
      <c r="AA241" s="574" t="s">
        <v>1691</v>
      </c>
      <c r="AB241" s="574" t="s">
        <v>2297</v>
      </c>
      <c r="AC241" s="574" t="s">
        <v>2298</v>
      </c>
      <c r="AD241" s="574" t="s">
        <v>2299</v>
      </c>
      <c r="AE241" s="574" t="s">
        <v>1468</v>
      </c>
      <c r="AF241" s="574" t="s">
        <v>2299</v>
      </c>
      <c r="AG241" s="576">
        <v>-148000</v>
      </c>
      <c r="AH241" s="576">
        <v>0</v>
      </c>
    </row>
    <row r="242" spans="1:34" customFormat="1" x14ac:dyDescent="0.25">
      <c r="A242" s="574" t="s">
        <v>2219</v>
      </c>
      <c r="B242" s="574" t="s">
        <v>2220</v>
      </c>
      <c r="C242" s="574" t="s">
        <v>2221</v>
      </c>
      <c r="D242" s="574" t="s">
        <v>2220</v>
      </c>
      <c r="E242" s="574" t="s">
        <v>2222</v>
      </c>
      <c r="F242" s="574" t="s">
        <v>2223</v>
      </c>
      <c r="G242" s="574" t="s">
        <v>2224</v>
      </c>
      <c r="H242" s="574" t="s">
        <v>2225</v>
      </c>
      <c r="I242" s="574" t="s">
        <v>2226</v>
      </c>
      <c r="J242" s="574" t="s">
        <v>2227</v>
      </c>
      <c r="K242" s="574" t="s">
        <v>2228</v>
      </c>
      <c r="L242" s="574" t="s">
        <v>2229</v>
      </c>
      <c r="M242" s="574" t="s">
        <v>2230</v>
      </c>
      <c r="N242" s="574" t="s">
        <v>2231</v>
      </c>
      <c r="O242" s="574" t="s">
        <v>2232</v>
      </c>
      <c r="P242" s="574" t="s">
        <v>2233</v>
      </c>
      <c r="Q242" s="574" t="s">
        <v>2234</v>
      </c>
      <c r="R242" s="574" t="s">
        <v>2225</v>
      </c>
      <c r="S242" s="574" t="s">
        <v>2737</v>
      </c>
      <c r="T242" s="574" t="s">
        <v>2738</v>
      </c>
      <c r="U242" s="574" t="s">
        <v>2751</v>
      </c>
      <c r="V242" s="574" t="s">
        <v>2238</v>
      </c>
      <c r="W242" s="574" t="s">
        <v>2239</v>
      </c>
      <c r="X242" s="574" t="s">
        <v>2356</v>
      </c>
      <c r="Y242" s="575" t="s">
        <v>2648</v>
      </c>
      <c r="Z242" s="575" t="s">
        <v>2648</v>
      </c>
      <c r="AA242" s="574" t="s">
        <v>1691</v>
      </c>
      <c r="AB242" s="574" t="s">
        <v>2297</v>
      </c>
      <c r="AC242" s="574" t="s">
        <v>2298</v>
      </c>
      <c r="AD242" s="574" t="s">
        <v>2299</v>
      </c>
      <c r="AE242" s="574" t="s">
        <v>1468</v>
      </c>
      <c r="AF242" s="574" t="s">
        <v>2299</v>
      </c>
      <c r="AG242" s="576">
        <v>104300</v>
      </c>
      <c r="AH242" s="576">
        <v>0</v>
      </c>
    </row>
    <row r="243" spans="1:34" customFormat="1" x14ac:dyDescent="0.25">
      <c r="A243" s="574" t="s">
        <v>2219</v>
      </c>
      <c r="B243" s="574" t="s">
        <v>2220</v>
      </c>
      <c r="C243" s="574" t="s">
        <v>2221</v>
      </c>
      <c r="D243" s="574" t="s">
        <v>2220</v>
      </c>
      <c r="E243" s="574" t="s">
        <v>2222</v>
      </c>
      <c r="F243" s="574" t="s">
        <v>2223</v>
      </c>
      <c r="G243" s="574" t="s">
        <v>2224</v>
      </c>
      <c r="H243" s="574" t="s">
        <v>2225</v>
      </c>
      <c r="I243" s="574" t="s">
        <v>2226</v>
      </c>
      <c r="J243" s="574" t="s">
        <v>2227</v>
      </c>
      <c r="K243" s="574" t="s">
        <v>2228</v>
      </c>
      <c r="L243" s="574" t="s">
        <v>2229</v>
      </c>
      <c r="M243" s="574" t="s">
        <v>2230</v>
      </c>
      <c r="N243" s="574" t="s">
        <v>2231</v>
      </c>
      <c r="O243" s="574" t="s">
        <v>2232</v>
      </c>
      <c r="P243" s="574" t="s">
        <v>2233</v>
      </c>
      <c r="Q243" s="574" t="s">
        <v>2234</v>
      </c>
      <c r="R243" s="574" t="s">
        <v>2225</v>
      </c>
      <c r="S243" s="574" t="s">
        <v>2737</v>
      </c>
      <c r="T243" s="574" t="s">
        <v>2738</v>
      </c>
      <c r="U243" s="574" t="s">
        <v>2752</v>
      </c>
      <c r="V243" s="574" t="s">
        <v>2238</v>
      </c>
      <c r="W243" s="574" t="s">
        <v>2239</v>
      </c>
      <c r="X243" s="574" t="s">
        <v>2348</v>
      </c>
      <c r="Y243" s="575" t="s">
        <v>2648</v>
      </c>
      <c r="Z243" s="575" t="s">
        <v>2648</v>
      </c>
      <c r="AA243" s="574" t="s">
        <v>1691</v>
      </c>
      <c r="AB243" s="574" t="s">
        <v>2297</v>
      </c>
      <c r="AC243" s="574" t="s">
        <v>2298</v>
      </c>
      <c r="AD243" s="574" t="s">
        <v>2299</v>
      </c>
      <c r="AE243" s="574" t="s">
        <v>1468</v>
      </c>
      <c r="AF243" s="574" t="s">
        <v>2299</v>
      </c>
      <c r="AG243" s="576">
        <v>198000</v>
      </c>
      <c r="AH243" s="576">
        <v>0</v>
      </c>
    </row>
    <row r="244" spans="1:34" customFormat="1" x14ac:dyDescent="0.25">
      <c r="A244" s="574" t="s">
        <v>2219</v>
      </c>
      <c r="B244" s="574" t="s">
        <v>2220</v>
      </c>
      <c r="C244" s="574" t="s">
        <v>2221</v>
      </c>
      <c r="D244" s="574" t="s">
        <v>2220</v>
      </c>
      <c r="E244" s="574" t="s">
        <v>2222</v>
      </c>
      <c r="F244" s="574" t="s">
        <v>2223</v>
      </c>
      <c r="G244" s="574" t="s">
        <v>2224</v>
      </c>
      <c r="H244" s="574" t="s">
        <v>2225</v>
      </c>
      <c r="I244" s="574" t="s">
        <v>2226</v>
      </c>
      <c r="J244" s="574" t="s">
        <v>2227</v>
      </c>
      <c r="K244" s="574" t="s">
        <v>2228</v>
      </c>
      <c r="L244" s="574" t="s">
        <v>2229</v>
      </c>
      <c r="M244" s="574" t="s">
        <v>2230</v>
      </c>
      <c r="N244" s="574" t="s">
        <v>2231</v>
      </c>
      <c r="O244" s="574" t="s">
        <v>2232</v>
      </c>
      <c r="P244" s="574" t="s">
        <v>2233</v>
      </c>
      <c r="Q244" s="574" t="s">
        <v>2234</v>
      </c>
      <c r="R244" s="574" t="s">
        <v>2225</v>
      </c>
      <c r="S244" s="574" t="s">
        <v>2737</v>
      </c>
      <c r="T244" s="574" t="s">
        <v>2738</v>
      </c>
      <c r="U244" s="574" t="s">
        <v>652</v>
      </c>
      <c r="V244" s="574" t="s">
        <v>2238</v>
      </c>
      <c r="W244" s="574" t="s">
        <v>2239</v>
      </c>
      <c r="X244" s="574" t="s">
        <v>2360</v>
      </c>
      <c r="Y244" s="575" t="s">
        <v>2648</v>
      </c>
      <c r="Z244" s="575" t="s">
        <v>2648</v>
      </c>
      <c r="AA244" s="574" t="s">
        <v>1691</v>
      </c>
      <c r="AB244" s="574" t="s">
        <v>2297</v>
      </c>
      <c r="AC244" s="574" t="s">
        <v>2298</v>
      </c>
      <c r="AD244" s="574" t="s">
        <v>2299</v>
      </c>
      <c r="AE244" s="574" t="s">
        <v>1468</v>
      </c>
      <c r="AF244" s="574" t="s">
        <v>2299</v>
      </c>
      <c r="AG244" s="576">
        <v>102960</v>
      </c>
      <c r="AH244" s="576">
        <v>0</v>
      </c>
    </row>
    <row r="245" spans="1:34" customFormat="1" x14ac:dyDescent="0.25">
      <c r="A245" s="574" t="s">
        <v>2219</v>
      </c>
      <c r="B245" s="574" t="s">
        <v>2220</v>
      </c>
      <c r="C245" s="574" t="s">
        <v>2221</v>
      </c>
      <c r="D245" s="574" t="s">
        <v>2220</v>
      </c>
      <c r="E245" s="574" t="s">
        <v>2222</v>
      </c>
      <c r="F245" s="574" t="s">
        <v>2223</v>
      </c>
      <c r="G245" s="574" t="s">
        <v>2224</v>
      </c>
      <c r="H245" s="574" t="s">
        <v>2225</v>
      </c>
      <c r="I245" s="574" t="s">
        <v>2226</v>
      </c>
      <c r="J245" s="574" t="s">
        <v>2227</v>
      </c>
      <c r="K245" s="574" t="s">
        <v>2228</v>
      </c>
      <c r="L245" s="574" t="s">
        <v>2229</v>
      </c>
      <c r="M245" s="574" t="s">
        <v>2230</v>
      </c>
      <c r="N245" s="574" t="s">
        <v>2231</v>
      </c>
      <c r="O245" s="574" t="s">
        <v>2232</v>
      </c>
      <c r="P245" s="574" t="s">
        <v>2233</v>
      </c>
      <c r="Q245" s="574" t="s">
        <v>2234</v>
      </c>
      <c r="R245" s="574" t="s">
        <v>2225</v>
      </c>
      <c r="S245" s="574" t="s">
        <v>2737</v>
      </c>
      <c r="T245" s="574" t="s">
        <v>2738</v>
      </c>
      <c r="U245" s="574" t="s">
        <v>2753</v>
      </c>
      <c r="V245" s="574" t="s">
        <v>2238</v>
      </c>
      <c r="W245" s="574" t="s">
        <v>2239</v>
      </c>
      <c r="X245" s="574" t="s">
        <v>2412</v>
      </c>
      <c r="Y245" s="575" t="s">
        <v>2648</v>
      </c>
      <c r="Z245" s="575" t="s">
        <v>2648</v>
      </c>
      <c r="AA245" s="574" t="s">
        <v>1691</v>
      </c>
      <c r="AB245" s="574" t="s">
        <v>2297</v>
      </c>
      <c r="AC245" s="574" t="s">
        <v>2298</v>
      </c>
      <c r="AD245" s="574" t="s">
        <v>2299</v>
      </c>
      <c r="AE245" s="574" t="s">
        <v>1468</v>
      </c>
      <c r="AF245" s="574" t="s">
        <v>2299</v>
      </c>
      <c r="AG245" s="576">
        <v>232500</v>
      </c>
      <c r="AH245" s="576">
        <v>0</v>
      </c>
    </row>
    <row r="246" spans="1:34" customFormat="1" x14ac:dyDescent="0.25">
      <c r="A246" s="574" t="s">
        <v>2219</v>
      </c>
      <c r="B246" s="574" t="s">
        <v>2220</v>
      </c>
      <c r="C246" s="574" t="s">
        <v>2221</v>
      </c>
      <c r="D246" s="574" t="s">
        <v>2220</v>
      </c>
      <c r="E246" s="574" t="s">
        <v>2222</v>
      </c>
      <c r="F246" s="574" t="s">
        <v>2223</v>
      </c>
      <c r="G246" s="574" t="s">
        <v>2224</v>
      </c>
      <c r="H246" s="574" t="s">
        <v>2225</v>
      </c>
      <c r="I246" s="574" t="s">
        <v>2226</v>
      </c>
      <c r="J246" s="574" t="s">
        <v>2227</v>
      </c>
      <c r="K246" s="574" t="s">
        <v>2228</v>
      </c>
      <c r="L246" s="574" t="s">
        <v>2229</v>
      </c>
      <c r="M246" s="574" t="s">
        <v>2230</v>
      </c>
      <c r="N246" s="574" t="s">
        <v>2231</v>
      </c>
      <c r="O246" s="574" t="s">
        <v>2232</v>
      </c>
      <c r="P246" s="574" t="s">
        <v>2233</v>
      </c>
      <c r="Q246" s="574" t="s">
        <v>2234</v>
      </c>
      <c r="R246" s="574" t="s">
        <v>2225</v>
      </c>
      <c r="S246" s="574" t="s">
        <v>2737</v>
      </c>
      <c r="T246" s="574" t="s">
        <v>2738</v>
      </c>
      <c r="U246" s="574" t="s">
        <v>2754</v>
      </c>
      <c r="V246" s="574" t="s">
        <v>2238</v>
      </c>
      <c r="W246" s="574" t="s">
        <v>2239</v>
      </c>
      <c r="X246" s="574" t="s">
        <v>2365</v>
      </c>
      <c r="Y246" s="575" t="s">
        <v>2648</v>
      </c>
      <c r="Z246" s="575" t="s">
        <v>2648</v>
      </c>
      <c r="AA246" s="574" t="s">
        <v>1692</v>
      </c>
      <c r="AB246" s="574" t="s">
        <v>2307</v>
      </c>
      <c r="AC246" s="574" t="s">
        <v>2367</v>
      </c>
      <c r="AD246" s="574" t="s">
        <v>2368</v>
      </c>
      <c r="AE246" s="574" t="s">
        <v>2369</v>
      </c>
      <c r="AF246" s="574" t="s">
        <v>117</v>
      </c>
      <c r="AG246" s="576">
        <v>664800</v>
      </c>
      <c r="AH246" s="576">
        <v>0</v>
      </c>
    </row>
    <row r="247" spans="1:34" customFormat="1" x14ac:dyDescent="0.25">
      <c r="A247" s="574" t="s">
        <v>2219</v>
      </c>
      <c r="B247" s="574" t="s">
        <v>2220</v>
      </c>
      <c r="C247" s="574" t="s">
        <v>2221</v>
      </c>
      <c r="D247" s="574" t="s">
        <v>2220</v>
      </c>
      <c r="E247" s="574" t="s">
        <v>2222</v>
      </c>
      <c r="F247" s="574" t="s">
        <v>2223</v>
      </c>
      <c r="G247" s="574" t="s">
        <v>2224</v>
      </c>
      <c r="H247" s="574" t="s">
        <v>2225</v>
      </c>
      <c r="I247" s="574" t="s">
        <v>2226</v>
      </c>
      <c r="J247" s="574" t="s">
        <v>2227</v>
      </c>
      <c r="K247" s="574" t="s">
        <v>2228</v>
      </c>
      <c r="L247" s="574" t="s">
        <v>2229</v>
      </c>
      <c r="M247" s="574" t="s">
        <v>2230</v>
      </c>
      <c r="N247" s="574" t="s">
        <v>2231</v>
      </c>
      <c r="O247" s="574" t="s">
        <v>2232</v>
      </c>
      <c r="P247" s="574" t="s">
        <v>2233</v>
      </c>
      <c r="Q247" s="574" t="s">
        <v>2234</v>
      </c>
      <c r="R247" s="574" t="s">
        <v>2225</v>
      </c>
      <c r="S247" s="574" t="s">
        <v>2737</v>
      </c>
      <c r="T247" s="574" t="s">
        <v>2738</v>
      </c>
      <c r="U247" s="574" t="s">
        <v>2755</v>
      </c>
      <c r="V247" s="574" t="s">
        <v>2238</v>
      </c>
      <c r="W247" s="574" t="s">
        <v>2239</v>
      </c>
      <c r="X247" s="574" t="s">
        <v>2325</v>
      </c>
      <c r="Y247" s="575" t="s">
        <v>2648</v>
      </c>
      <c r="Z247" s="575" t="s">
        <v>2648</v>
      </c>
      <c r="AA247" s="574" t="s">
        <v>1691</v>
      </c>
      <c r="AB247" s="574" t="s">
        <v>2297</v>
      </c>
      <c r="AC247" s="574" t="s">
        <v>2298</v>
      </c>
      <c r="AD247" s="574" t="s">
        <v>2299</v>
      </c>
      <c r="AE247" s="574" t="s">
        <v>1468</v>
      </c>
      <c r="AF247" s="574" t="s">
        <v>2299</v>
      </c>
      <c r="AG247" s="576">
        <v>810000</v>
      </c>
      <c r="AH247" s="576">
        <v>0</v>
      </c>
    </row>
    <row r="248" spans="1:34" customFormat="1" x14ac:dyDescent="0.25">
      <c r="A248" s="574" t="s">
        <v>2219</v>
      </c>
      <c r="B248" s="574" t="s">
        <v>2220</v>
      </c>
      <c r="C248" s="574" t="s">
        <v>2221</v>
      </c>
      <c r="D248" s="574" t="s">
        <v>2220</v>
      </c>
      <c r="E248" s="574" t="s">
        <v>2222</v>
      </c>
      <c r="F248" s="574" t="s">
        <v>2223</v>
      </c>
      <c r="G248" s="574" t="s">
        <v>2224</v>
      </c>
      <c r="H248" s="574" t="s">
        <v>2225</v>
      </c>
      <c r="I248" s="574" t="s">
        <v>2226</v>
      </c>
      <c r="J248" s="574" t="s">
        <v>2227</v>
      </c>
      <c r="K248" s="574" t="s">
        <v>2228</v>
      </c>
      <c r="L248" s="574" t="s">
        <v>2229</v>
      </c>
      <c r="M248" s="574" t="s">
        <v>2230</v>
      </c>
      <c r="N248" s="574" t="s">
        <v>2231</v>
      </c>
      <c r="O248" s="574" t="s">
        <v>2232</v>
      </c>
      <c r="P248" s="574" t="s">
        <v>2233</v>
      </c>
      <c r="Q248" s="574" t="s">
        <v>2234</v>
      </c>
      <c r="R248" s="574" t="s">
        <v>2225</v>
      </c>
      <c r="S248" s="574" t="s">
        <v>2737</v>
      </c>
      <c r="T248" s="574" t="s">
        <v>2738</v>
      </c>
      <c r="U248" s="574" t="s">
        <v>2756</v>
      </c>
      <c r="V248" s="574" t="s">
        <v>2238</v>
      </c>
      <c r="W248" s="574" t="s">
        <v>2239</v>
      </c>
      <c r="X248" s="574" t="s">
        <v>2354</v>
      </c>
      <c r="Y248" s="575" t="s">
        <v>2648</v>
      </c>
      <c r="Z248" s="575" t="s">
        <v>2648</v>
      </c>
      <c r="AA248" s="574" t="s">
        <v>1691</v>
      </c>
      <c r="AB248" s="574" t="s">
        <v>2297</v>
      </c>
      <c r="AC248" s="574" t="s">
        <v>2298</v>
      </c>
      <c r="AD248" s="574" t="s">
        <v>2299</v>
      </c>
      <c r="AE248" s="574" t="s">
        <v>1468</v>
      </c>
      <c r="AF248" s="574" t="s">
        <v>2299</v>
      </c>
      <c r="AG248" s="576">
        <v>51000</v>
      </c>
      <c r="AH248" s="576">
        <v>0</v>
      </c>
    </row>
    <row r="249" spans="1:34" customFormat="1" x14ac:dyDescent="0.25">
      <c r="A249" s="574" t="s">
        <v>2219</v>
      </c>
      <c r="B249" s="574" t="s">
        <v>2220</v>
      </c>
      <c r="C249" s="574" t="s">
        <v>2221</v>
      </c>
      <c r="D249" s="574" t="s">
        <v>2220</v>
      </c>
      <c r="E249" s="574" t="s">
        <v>2222</v>
      </c>
      <c r="F249" s="574" t="s">
        <v>2223</v>
      </c>
      <c r="G249" s="574" t="s">
        <v>2224</v>
      </c>
      <c r="H249" s="574" t="s">
        <v>2225</v>
      </c>
      <c r="I249" s="574" t="s">
        <v>2226</v>
      </c>
      <c r="J249" s="574" t="s">
        <v>2227</v>
      </c>
      <c r="K249" s="574" t="s">
        <v>2228</v>
      </c>
      <c r="L249" s="574" t="s">
        <v>2229</v>
      </c>
      <c r="M249" s="574" t="s">
        <v>2230</v>
      </c>
      <c r="N249" s="574" t="s">
        <v>2231</v>
      </c>
      <c r="O249" s="574" t="s">
        <v>2232</v>
      </c>
      <c r="P249" s="574" t="s">
        <v>2233</v>
      </c>
      <c r="Q249" s="574" t="s">
        <v>2234</v>
      </c>
      <c r="R249" s="574" t="s">
        <v>2225</v>
      </c>
      <c r="S249" s="574" t="s">
        <v>2737</v>
      </c>
      <c r="T249" s="574" t="s">
        <v>2738</v>
      </c>
      <c r="U249" s="574" t="s">
        <v>2757</v>
      </c>
      <c r="V249" s="574" t="s">
        <v>2238</v>
      </c>
      <c r="W249" s="574" t="s">
        <v>2239</v>
      </c>
      <c r="X249" s="574" t="s">
        <v>2328</v>
      </c>
      <c r="Y249" s="575" t="s">
        <v>2648</v>
      </c>
      <c r="Z249" s="575" t="s">
        <v>2648</v>
      </c>
      <c r="AA249" s="574" t="s">
        <v>1691</v>
      </c>
      <c r="AB249" s="574" t="s">
        <v>2297</v>
      </c>
      <c r="AC249" s="574" t="s">
        <v>2298</v>
      </c>
      <c r="AD249" s="574" t="s">
        <v>2299</v>
      </c>
      <c r="AE249" s="574" t="s">
        <v>1468</v>
      </c>
      <c r="AF249" s="574" t="s">
        <v>2299</v>
      </c>
      <c r="AG249" s="576">
        <v>337500</v>
      </c>
      <c r="AH249" s="576">
        <v>0</v>
      </c>
    </row>
    <row r="250" spans="1:34" customFormat="1" x14ac:dyDescent="0.25">
      <c r="A250" s="574" t="s">
        <v>2219</v>
      </c>
      <c r="B250" s="574" t="s">
        <v>2220</v>
      </c>
      <c r="C250" s="574" t="s">
        <v>2221</v>
      </c>
      <c r="D250" s="574" t="s">
        <v>2220</v>
      </c>
      <c r="E250" s="574" t="s">
        <v>2222</v>
      </c>
      <c r="F250" s="574" t="s">
        <v>2223</v>
      </c>
      <c r="G250" s="574" t="s">
        <v>2224</v>
      </c>
      <c r="H250" s="574" t="s">
        <v>2225</v>
      </c>
      <c r="I250" s="574" t="s">
        <v>2226</v>
      </c>
      <c r="J250" s="574" t="s">
        <v>2227</v>
      </c>
      <c r="K250" s="574" t="s">
        <v>2228</v>
      </c>
      <c r="L250" s="574" t="s">
        <v>2229</v>
      </c>
      <c r="M250" s="574" t="s">
        <v>2230</v>
      </c>
      <c r="N250" s="574" t="s">
        <v>2231</v>
      </c>
      <c r="O250" s="574" t="s">
        <v>2232</v>
      </c>
      <c r="P250" s="574" t="s">
        <v>2233</v>
      </c>
      <c r="Q250" s="574" t="s">
        <v>2234</v>
      </c>
      <c r="R250" s="574" t="s">
        <v>2225</v>
      </c>
      <c r="S250" s="574" t="s">
        <v>2737</v>
      </c>
      <c r="T250" s="574" t="s">
        <v>2738</v>
      </c>
      <c r="U250" s="574" t="s">
        <v>2758</v>
      </c>
      <c r="V250" s="574" t="s">
        <v>2238</v>
      </c>
      <c r="W250" s="574" t="s">
        <v>2239</v>
      </c>
      <c r="X250" s="574" t="s">
        <v>2352</v>
      </c>
      <c r="Y250" s="575" t="s">
        <v>2648</v>
      </c>
      <c r="Z250" s="575" t="s">
        <v>2648</v>
      </c>
      <c r="AA250" s="574" t="s">
        <v>1691</v>
      </c>
      <c r="AB250" s="574" t="s">
        <v>2297</v>
      </c>
      <c r="AC250" s="574" t="s">
        <v>2298</v>
      </c>
      <c r="AD250" s="574" t="s">
        <v>2299</v>
      </c>
      <c r="AE250" s="574" t="s">
        <v>1468</v>
      </c>
      <c r="AF250" s="574" t="s">
        <v>2299</v>
      </c>
      <c r="AG250" s="576">
        <v>225000</v>
      </c>
      <c r="AH250" s="576">
        <v>0</v>
      </c>
    </row>
    <row r="251" spans="1:34" customFormat="1" x14ac:dyDescent="0.25">
      <c r="A251" s="574" t="s">
        <v>2219</v>
      </c>
      <c r="B251" s="574" t="s">
        <v>2220</v>
      </c>
      <c r="C251" s="574" t="s">
        <v>2221</v>
      </c>
      <c r="D251" s="574" t="s">
        <v>2220</v>
      </c>
      <c r="E251" s="574" t="s">
        <v>2222</v>
      </c>
      <c r="F251" s="574" t="s">
        <v>2223</v>
      </c>
      <c r="G251" s="574" t="s">
        <v>2224</v>
      </c>
      <c r="H251" s="574" t="s">
        <v>2225</v>
      </c>
      <c r="I251" s="574" t="s">
        <v>2226</v>
      </c>
      <c r="J251" s="574" t="s">
        <v>2227</v>
      </c>
      <c r="K251" s="574" t="s">
        <v>2228</v>
      </c>
      <c r="L251" s="574" t="s">
        <v>2229</v>
      </c>
      <c r="M251" s="574" t="s">
        <v>2230</v>
      </c>
      <c r="N251" s="574" t="s">
        <v>2231</v>
      </c>
      <c r="O251" s="574" t="s">
        <v>2232</v>
      </c>
      <c r="P251" s="574" t="s">
        <v>2233</v>
      </c>
      <c r="Q251" s="574" t="s">
        <v>2234</v>
      </c>
      <c r="R251" s="574" t="s">
        <v>2225</v>
      </c>
      <c r="S251" s="574" t="s">
        <v>2737</v>
      </c>
      <c r="T251" s="574" t="s">
        <v>2738</v>
      </c>
      <c r="U251" s="574" t="s">
        <v>2759</v>
      </c>
      <c r="V251" s="574" t="s">
        <v>2238</v>
      </c>
      <c r="W251" s="574" t="s">
        <v>2239</v>
      </c>
      <c r="X251" s="574" t="s">
        <v>2330</v>
      </c>
      <c r="Y251" s="575" t="s">
        <v>2648</v>
      </c>
      <c r="Z251" s="575" t="s">
        <v>2648</v>
      </c>
      <c r="AA251" s="574" t="s">
        <v>1691</v>
      </c>
      <c r="AB251" s="574" t="s">
        <v>2297</v>
      </c>
      <c r="AC251" s="574" t="s">
        <v>2298</v>
      </c>
      <c r="AD251" s="574" t="s">
        <v>2299</v>
      </c>
      <c r="AE251" s="574" t="s">
        <v>1468</v>
      </c>
      <c r="AF251" s="574" t="s">
        <v>2299</v>
      </c>
      <c r="AG251" s="576">
        <v>190000</v>
      </c>
      <c r="AH251" s="576">
        <v>0</v>
      </c>
    </row>
    <row r="252" spans="1:34" customFormat="1" x14ac:dyDescent="0.25">
      <c r="A252" s="574" t="s">
        <v>2219</v>
      </c>
      <c r="B252" s="574" t="s">
        <v>2220</v>
      </c>
      <c r="C252" s="574" t="s">
        <v>2221</v>
      </c>
      <c r="D252" s="574" t="s">
        <v>2220</v>
      </c>
      <c r="E252" s="574" t="s">
        <v>2222</v>
      </c>
      <c r="F252" s="574" t="s">
        <v>2223</v>
      </c>
      <c r="G252" s="574" t="s">
        <v>2224</v>
      </c>
      <c r="H252" s="574" t="s">
        <v>2225</v>
      </c>
      <c r="I252" s="574" t="s">
        <v>2226</v>
      </c>
      <c r="J252" s="574" t="s">
        <v>2227</v>
      </c>
      <c r="K252" s="574" t="s">
        <v>2228</v>
      </c>
      <c r="L252" s="574" t="s">
        <v>2229</v>
      </c>
      <c r="M252" s="574" t="s">
        <v>2230</v>
      </c>
      <c r="N252" s="574" t="s">
        <v>2231</v>
      </c>
      <c r="O252" s="574" t="s">
        <v>2232</v>
      </c>
      <c r="P252" s="574" t="s">
        <v>2233</v>
      </c>
      <c r="Q252" s="574" t="s">
        <v>2234</v>
      </c>
      <c r="R252" s="574" t="s">
        <v>2225</v>
      </c>
      <c r="S252" s="574" t="s">
        <v>2737</v>
      </c>
      <c r="T252" s="574" t="s">
        <v>2738</v>
      </c>
      <c r="U252" s="574" t="s">
        <v>2760</v>
      </c>
      <c r="V252" s="574" t="s">
        <v>2238</v>
      </c>
      <c r="W252" s="574" t="s">
        <v>2239</v>
      </c>
      <c r="X252" s="574" t="s">
        <v>2350</v>
      </c>
      <c r="Y252" s="575" t="s">
        <v>2648</v>
      </c>
      <c r="Z252" s="575" t="s">
        <v>2648</v>
      </c>
      <c r="AA252" s="574" t="s">
        <v>1691</v>
      </c>
      <c r="AB252" s="574" t="s">
        <v>2297</v>
      </c>
      <c r="AC252" s="574" t="s">
        <v>2298</v>
      </c>
      <c r="AD252" s="574" t="s">
        <v>2299</v>
      </c>
      <c r="AE252" s="574" t="s">
        <v>1468</v>
      </c>
      <c r="AF252" s="574" t="s">
        <v>2299</v>
      </c>
      <c r="AG252" s="576">
        <v>32500</v>
      </c>
      <c r="AH252" s="576">
        <v>0</v>
      </c>
    </row>
    <row r="253" spans="1:34" customFormat="1" x14ac:dyDescent="0.25">
      <c r="A253" s="574" t="s">
        <v>2219</v>
      </c>
      <c r="B253" s="574" t="s">
        <v>2220</v>
      </c>
      <c r="C253" s="574" t="s">
        <v>2221</v>
      </c>
      <c r="D253" s="574" t="s">
        <v>2220</v>
      </c>
      <c r="E253" s="574" t="s">
        <v>2222</v>
      </c>
      <c r="F253" s="574" t="s">
        <v>2223</v>
      </c>
      <c r="G253" s="574" t="s">
        <v>2224</v>
      </c>
      <c r="H253" s="574" t="s">
        <v>2225</v>
      </c>
      <c r="I253" s="574" t="s">
        <v>2226</v>
      </c>
      <c r="J253" s="574" t="s">
        <v>2227</v>
      </c>
      <c r="K253" s="574" t="s">
        <v>2228</v>
      </c>
      <c r="L253" s="574" t="s">
        <v>2229</v>
      </c>
      <c r="M253" s="574" t="s">
        <v>2230</v>
      </c>
      <c r="N253" s="574" t="s">
        <v>2231</v>
      </c>
      <c r="O253" s="574" t="s">
        <v>2232</v>
      </c>
      <c r="P253" s="574" t="s">
        <v>2233</v>
      </c>
      <c r="Q253" s="574" t="s">
        <v>2234</v>
      </c>
      <c r="R253" s="574" t="s">
        <v>2225</v>
      </c>
      <c r="S253" s="574" t="s">
        <v>2737</v>
      </c>
      <c r="T253" s="574" t="s">
        <v>2738</v>
      </c>
      <c r="U253" s="574" t="s">
        <v>2761</v>
      </c>
      <c r="V253" s="574" t="s">
        <v>2238</v>
      </c>
      <c r="W253" s="574" t="s">
        <v>2239</v>
      </c>
      <c r="X253" s="574" t="s">
        <v>2341</v>
      </c>
      <c r="Y253" s="575" t="s">
        <v>2648</v>
      </c>
      <c r="Z253" s="575" t="s">
        <v>2648</v>
      </c>
      <c r="AA253" s="574" t="s">
        <v>1691</v>
      </c>
      <c r="AB253" s="574" t="s">
        <v>2297</v>
      </c>
      <c r="AC253" s="574" t="s">
        <v>2298</v>
      </c>
      <c r="AD253" s="574" t="s">
        <v>2299</v>
      </c>
      <c r="AE253" s="574" t="s">
        <v>1468</v>
      </c>
      <c r="AF253" s="574" t="s">
        <v>2299</v>
      </c>
      <c r="AG253" s="576">
        <v>180000</v>
      </c>
      <c r="AH253" s="576">
        <v>0</v>
      </c>
    </row>
    <row r="254" spans="1:34" customFormat="1" x14ac:dyDescent="0.25">
      <c r="A254" s="574" t="s">
        <v>2219</v>
      </c>
      <c r="B254" s="574" t="s">
        <v>2220</v>
      </c>
      <c r="C254" s="574" t="s">
        <v>2221</v>
      </c>
      <c r="D254" s="574" t="s">
        <v>2220</v>
      </c>
      <c r="E254" s="574" t="s">
        <v>2222</v>
      </c>
      <c r="F254" s="574" t="s">
        <v>2223</v>
      </c>
      <c r="G254" s="574" t="s">
        <v>2224</v>
      </c>
      <c r="H254" s="574" t="s">
        <v>2225</v>
      </c>
      <c r="I254" s="574" t="s">
        <v>2226</v>
      </c>
      <c r="J254" s="574" t="s">
        <v>2227</v>
      </c>
      <c r="K254" s="574" t="s">
        <v>2228</v>
      </c>
      <c r="L254" s="574" t="s">
        <v>2229</v>
      </c>
      <c r="M254" s="574" t="s">
        <v>2230</v>
      </c>
      <c r="N254" s="574" t="s">
        <v>2231</v>
      </c>
      <c r="O254" s="574" t="s">
        <v>2232</v>
      </c>
      <c r="P254" s="574" t="s">
        <v>2233</v>
      </c>
      <c r="Q254" s="574" t="s">
        <v>2234</v>
      </c>
      <c r="R254" s="574" t="s">
        <v>2225</v>
      </c>
      <c r="S254" s="574" t="s">
        <v>2737</v>
      </c>
      <c r="T254" s="574" t="s">
        <v>2738</v>
      </c>
      <c r="U254" s="574" t="s">
        <v>2762</v>
      </c>
      <c r="V254" s="574" t="s">
        <v>2238</v>
      </c>
      <c r="W254" s="574" t="s">
        <v>2239</v>
      </c>
      <c r="X254" s="574" t="s">
        <v>2371</v>
      </c>
      <c r="Y254" s="575" t="s">
        <v>2650</v>
      </c>
      <c r="Z254" s="575" t="s">
        <v>2650</v>
      </c>
      <c r="AA254" s="574" t="s">
        <v>1692</v>
      </c>
      <c r="AB254" s="574" t="s">
        <v>2307</v>
      </c>
      <c r="AC254" s="574" t="s">
        <v>2308</v>
      </c>
      <c r="AD254" s="574" t="s">
        <v>2309</v>
      </c>
      <c r="AE254" s="574" t="s">
        <v>1490</v>
      </c>
      <c r="AF254" s="574" t="s">
        <v>176</v>
      </c>
      <c r="AG254" s="576">
        <v>1387311.78</v>
      </c>
      <c r="AH254" s="576">
        <v>0</v>
      </c>
    </row>
    <row r="255" spans="1:34" customFormat="1" x14ac:dyDescent="0.25">
      <c r="A255" s="574" t="s">
        <v>2219</v>
      </c>
      <c r="B255" s="574" t="s">
        <v>2220</v>
      </c>
      <c r="C255" s="574" t="s">
        <v>2221</v>
      </c>
      <c r="D255" s="574" t="s">
        <v>2220</v>
      </c>
      <c r="E255" s="574" t="s">
        <v>2222</v>
      </c>
      <c r="F255" s="574" t="s">
        <v>2223</v>
      </c>
      <c r="G255" s="574" t="s">
        <v>2224</v>
      </c>
      <c r="H255" s="574" t="s">
        <v>2225</v>
      </c>
      <c r="I255" s="574" t="s">
        <v>2226</v>
      </c>
      <c r="J255" s="574" t="s">
        <v>2227</v>
      </c>
      <c r="K255" s="574" t="s">
        <v>2228</v>
      </c>
      <c r="L255" s="574" t="s">
        <v>2229</v>
      </c>
      <c r="M255" s="574" t="s">
        <v>2230</v>
      </c>
      <c r="N255" s="574" t="s">
        <v>2231</v>
      </c>
      <c r="O255" s="574" t="s">
        <v>2232</v>
      </c>
      <c r="P255" s="574" t="s">
        <v>2233</v>
      </c>
      <c r="Q255" s="574" t="s">
        <v>2234</v>
      </c>
      <c r="R255" s="574" t="s">
        <v>2225</v>
      </c>
      <c r="S255" s="574" t="s">
        <v>2737</v>
      </c>
      <c r="T255" s="574" t="s">
        <v>2738</v>
      </c>
      <c r="U255" s="574" t="s">
        <v>2763</v>
      </c>
      <c r="V255" s="574" t="s">
        <v>2238</v>
      </c>
      <c r="W255" s="574" t="s">
        <v>2239</v>
      </c>
      <c r="X255" s="574" t="s">
        <v>2374</v>
      </c>
      <c r="Y255" s="575" t="s">
        <v>2650</v>
      </c>
      <c r="Z255" s="575" t="s">
        <v>2650</v>
      </c>
      <c r="AA255" s="574" t="s">
        <v>1693</v>
      </c>
      <c r="AB255" s="574" t="s">
        <v>2319</v>
      </c>
      <c r="AC255" s="574" t="s">
        <v>2320</v>
      </c>
      <c r="AD255" s="574" t="s">
        <v>2321</v>
      </c>
      <c r="AE255" s="574" t="s">
        <v>1446</v>
      </c>
      <c r="AF255" s="574" t="s">
        <v>2321</v>
      </c>
      <c r="AG255" s="576">
        <v>227150</v>
      </c>
      <c r="AH255" s="576">
        <v>0</v>
      </c>
    </row>
    <row r="256" spans="1:34" customFormat="1" x14ac:dyDescent="0.25">
      <c r="A256" s="574" t="s">
        <v>2219</v>
      </c>
      <c r="B256" s="574" t="s">
        <v>2220</v>
      </c>
      <c r="C256" s="574" t="s">
        <v>2221</v>
      </c>
      <c r="D256" s="574" t="s">
        <v>2220</v>
      </c>
      <c r="E256" s="574" t="s">
        <v>2222</v>
      </c>
      <c r="F256" s="574" t="s">
        <v>2223</v>
      </c>
      <c r="G256" s="574" t="s">
        <v>2224</v>
      </c>
      <c r="H256" s="574" t="s">
        <v>2225</v>
      </c>
      <c r="I256" s="574" t="s">
        <v>2226</v>
      </c>
      <c r="J256" s="574" t="s">
        <v>2227</v>
      </c>
      <c r="K256" s="574" t="s">
        <v>2228</v>
      </c>
      <c r="L256" s="574" t="s">
        <v>2229</v>
      </c>
      <c r="M256" s="574" t="s">
        <v>2230</v>
      </c>
      <c r="N256" s="574" t="s">
        <v>2231</v>
      </c>
      <c r="O256" s="574" t="s">
        <v>2232</v>
      </c>
      <c r="P256" s="574" t="s">
        <v>2233</v>
      </c>
      <c r="Q256" s="574" t="s">
        <v>2234</v>
      </c>
      <c r="R256" s="574" t="s">
        <v>2225</v>
      </c>
      <c r="S256" s="574" t="s">
        <v>2737</v>
      </c>
      <c r="T256" s="574" t="s">
        <v>2738</v>
      </c>
      <c r="U256" s="574" t="s">
        <v>2764</v>
      </c>
      <c r="V256" s="574" t="s">
        <v>2238</v>
      </c>
      <c r="W256" s="574" t="s">
        <v>2239</v>
      </c>
      <c r="X256" s="574" t="s">
        <v>2334</v>
      </c>
      <c r="Y256" s="575" t="s">
        <v>2650</v>
      </c>
      <c r="Z256" s="575" t="s">
        <v>2650</v>
      </c>
      <c r="AA256" s="574" t="s">
        <v>1693</v>
      </c>
      <c r="AB256" s="574" t="s">
        <v>2319</v>
      </c>
      <c r="AC256" s="574" t="s">
        <v>2320</v>
      </c>
      <c r="AD256" s="574" t="s">
        <v>2321</v>
      </c>
      <c r="AE256" s="574" t="s">
        <v>1446</v>
      </c>
      <c r="AF256" s="574" t="s">
        <v>2321</v>
      </c>
      <c r="AG256" s="576">
        <v>185850</v>
      </c>
      <c r="AH256" s="576">
        <v>0</v>
      </c>
    </row>
    <row r="257" spans="1:34" customFormat="1" x14ac:dyDescent="0.25">
      <c r="A257" s="574" t="s">
        <v>2219</v>
      </c>
      <c r="B257" s="574" t="s">
        <v>2220</v>
      </c>
      <c r="C257" s="574" t="s">
        <v>2221</v>
      </c>
      <c r="D257" s="574" t="s">
        <v>2220</v>
      </c>
      <c r="E257" s="574" t="s">
        <v>2222</v>
      </c>
      <c r="F257" s="574" t="s">
        <v>2223</v>
      </c>
      <c r="G257" s="574" t="s">
        <v>2224</v>
      </c>
      <c r="H257" s="574" t="s">
        <v>2225</v>
      </c>
      <c r="I257" s="574" t="s">
        <v>2226</v>
      </c>
      <c r="J257" s="574" t="s">
        <v>2227</v>
      </c>
      <c r="K257" s="574" t="s">
        <v>2228</v>
      </c>
      <c r="L257" s="574" t="s">
        <v>2229</v>
      </c>
      <c r="M257" s="574" t="s">
        <v>2230</v>
      </c>
      <c r="N257" s="574" t="s">
        <v>2231</v>
      </c>
      <c r="O257" s="574" t="s">
        <v>2232</v>
      </c>
      <c r="P257" s="574" t="s">
        <v>2233</v>
      </c>
      <c r="Q257" s="574" t="s">
        <v>2234</v>
      </c>
      <c r="R257" s="574" t="s">
        <v>2225</v>
      </c>
      <c r="S257" s="574" t="s">
        <v>2737</v>
      </c>
      <c r="T257" s="574" t="s">
        <v>2738</v>
      </c>
      <c r="U257" s="574" t="s">
        <v>2765</v>
      </c>
      <c r="V257" s="574" t="s">
        <v>2238</v>
      </c>
      <c r="W257" s="574" t="s">
        <v>2239</v>
      </c>
      <c r="X257" s="574" t="s">
        <v>2318</v>
      </c>
      <c r="Y257" s="575" t="s">
        <v>2650</v>
      </c>
      <c r="Z257" s="575" t="s">
        <v>2650</v>
      </c>
      <c r="AA257" s="574" t="s">
        <v>1693</v>
      </c>
      <c r="AB257" s="574" t="s">
        <v>2319</v>
      </c>
      <c r="AC257" s="574" t="s">
        <v>2320</v>
      </c>
      <c r="AD257" s="574" t="s">
        <v>2321</v>
      </c>
      <c r="AE257" s="574" t="s">
        <v>1446</v>
      </c>
      <c r="AF257" s="574" t="s">
        <v>2321</v>
      </c>
      <c r="AG257" s="576">
        <v>45689.599999999999</v>
      </c>
      <c r="AH257" s="576">
        <v>0</v>
      </c>
    </row>
    <row r="258" spans="1:34" customFormat="1" x14ac:dyDescent="0.25">
      <c r="A258" s="574" t="s">
        <v>2219</v>
      </c>
      <c r="B258" s="574" t="s">
        <v>2220</v>
      </c>
      <c r="C258" s="574" t="s">
        <v>2221</v>
      </c>
      <c r="D258" s="574" t="s">
        <v>2220</v>
      </c>
      <c r="E258" s="574" t="s">
        <v>2222</v>
      </c>
      <c r="F258" s="574" t="s">
        <v>2223</v>
      </c>
      <c r="G258" s="574" t="s">
        <v>2224</v>
      </c>
      <c r="H258" s="574" t="s">
        <v>2225</v>
      </c>
      <c r="I258" s="574" t="s">
        <v>2226</v>
      </c>
      <c r="J258" s="574" t="s">
        <v>2227</v>
      </c>
      <c r="K258" s="574" t="s">
        <v>2228</v>
      </c>
      <c r="L258" s="574" t="s">
        <v>2229</v>
      </c>
      <c r="M258" s="574" t="s">
        <v>2230</v>
      </c>
      <c r="N258" s="574" t="s">
        <v>2231</v>
      </c>
      <c r="O258" s="574" t="s">
        <v>2232</v>
      </c>
      <c r="P258" s="574" t="s">
        <v>2233</v>
      </c>
      <c r="Q258" s="574" t="s">
        <v>2234</v>
      </c>
      <c r="R258" s="574" t="s">
        <v>2225</v>
      </c>
      <c r="S258" s="574" t="s">
        <v>2737</v>
      </c>
      <c r="T258" s="574" t="s">
        <v>2738</v>
      </c>
      <c r="U258" s="574" t="s">
        <v>2766</v>
      </c>
      <c r="V258" s="574" t="s">
        <v>2238</v>
      </c>
      <c r="W258" s="574" t="s">
        <v>2239</v>
      </c>
      <c r="X258" s="574" t="s">
        <v>2423</v>
      </c>
      <c r="Y258" s="575" t="s">
        <v>2662</v>
      </c>
      <c r="Z258" s="575" t="s">
        <v>2662</v>
      </c>
      <c r="AA258" s="574" t="s">
        <v>1691</v>
      </c>
      <c r="AB258" s="574" t="s">
        <v>2297</v>
      </c>
      <c r="AC258" s="574" t="s">
        <v>2298</v>
      </c>
      <c r="AD258" s="574" t="s">
        <v>2299</v>
      </c>
      <c r="AE258" s="574" t="s">
        <v>1468</v>
      </c>
      <c r="AF258" s="574" t="s">
        <v>2299</v>
      </c>
      <c r="AG258" s="576">
        <v>13180</v>
      </c>
      <c r="AH258" s="576">
        <v>0</v>
      </c>
    </row>
    <row r="259" spans="1:34" customFormat="1" x14ac:dyDescent="0.25">
      <c r="A259" s="574" t="s">
        <v>2219</v>
      </c>
      <c r="B259" s="574" t="s">
        <v>2220</v>
      </c>
      <c r="C259" s="574" t="s">
        <v>2221</v>
      </c>
      <c r="D259" s="574" t="s">
        <v>2220</v>
      </c>
      <c r="E259" s="574" t="s">
        <v>2222</v>
      </c>
      <c r="F259" s="574" t="s">
        <v>2223</v>
      </c>
      <c r="G259" s="574" t="s">
        <v>2224</v>
      </c>
      <c r="H259" s="574" t="s">
        <v>2225</v>
      </c>
      <c r="I259" s="574" t="s">
        <v>2226</v>
      </c>
      <c r="J259" s="574" t="s">
        <v>2227</v>
      </c>
      <c r="K259" s="574" t="s">
        <v>2228</v>
      </c>
      <c r="L259" s="574" t="s">
        <v>2229</v>
      </c>
      <c r="M259" s="574" t="s">
        <v>2230</v>
      </c>
      <c r="N259" s="574" t="s">
        <v>2231</v>
      </c>
      <c r="O259" s="574" t="s">
        <v>2232</v>
      </c>
      <c r="P259" s="574" t="s">
        <v>2233</v>
      </c>
      <c r="Q259" s="574" t="s">
        <v>2234</v>
      </c>
      <c r="R259" s="574" t="s">
        <v>2225</v>
      </c>
      <c r="S259" s="574" t="s">
        <v>2737</v>
      </c>
      <c r="T259" s="574" t="s">
        <v>2738</v>
      </c>
      <c r="U259" s="574" t="s">
        <v>2766</v>
      </c>
      <c r="V259" s="574" t="s">
        <v>2238</v>
      </c>
      <c r="W259" s="574" t="s">
        <v>2239</v>
      </c>
      <c r="X259" s="574" t="s">
        <v>2423</v>
      </c>
      <c r="Y259" s="575" t="s">
        <v>2662</v>
      </c>
      <c r="Z259" s="575" t="s">
        <v>2662</v>
      </c>
      <c r="AA259" s="574" t="s">
        <v>1693</v>
      </c>
      <c r="AB259" s="574" t="s">
        <v>2319</v>
      </c>
      <c r="AC259" s="574" t="s">
        <v>2320</v>
      </c>
      <c r="AD259" s="574" t="s">
        <v>2321</v>
      </c>
      <c r="AE259" s="574" t="s">
        <v>1446</v>
      </c>
      <c r="AF259" s="574" t="s">
        <v>2321</v>
      </c>
      <c r="AG259" s="576">
        <v>19769.72</v>
      </c>
      <c r="AH259" s="576">
        <v>0</v>
      </c>
    </row>
    <row r="260" spans="1:34" customFormat="1" x14ac:dyDescent="0.25">
      <c r="A260" s="574" t="s">
        <v>2219</v>
      </c>
      <c r="B260" s="574" t="s">
        <v>2220</v>
      </c>
      <c r="C260" s="574" t="s">
        <v>2221</v>
      </c>
      <c r="D260" s="574" t="s">
        <v>2220</v>
      </c>
      <c r="E260" s="574" t="s">
        <v>2222</v>
      </c>
      <c r="F260" s="574" t="s">
        <v>2223</v>
      </c>
      <c r="G260" s="574" t="s">
        <v>2224</v>
      </c>
      <c r="H260" s="574" t="s">
        <v>2225</v>
      </c>
      <c r="I260" s="574" t="s">
        <v>2226</v>
      </c>
      <c r="J260" s="574" t="s">
        <v>2227</v>
      </c>
      <c r="K260" s="574" t="s">
        <v>2228</v>
      </c>
      <c r="L260" s="574" t="s">
        <v>2229</v>
      </c>
      <c r="M260" s="574" t="s">
        <v>2230</v>
      </c>
      <c r="N260" s="574" t="s">
        <v>2231</v>
      </c>
      <c r="O260" s="574" t="s">
        <v>2232</v>
      </c>
      <c r="P260" s="574" t="s">
        <v>2233</v>
      </c>
      <c r="Q260" s="574" t="s">
        <v>2234</v>
      </c>
      <c r="R260" s="574" t="s">
        <v>2225</v>
      </c>
      <c r="S260" s="574" t="s">
        <v>2737</v>
      </c>
      <c r="T260" s="574" t="s">
        <v>2738</v>
      </c>
      <c r="U260" s="574" t="s">
        <v>2767</v>
      </c>
      <c r="V260" s="574" t="s">
        <v>2238</v>
      </c>
      <c r="W260" s="574" t="s">
        <v>2239</v>
      </c>
      <c r="X260" s="574" t="s">
        <v>2498</v>
      </c>
      <c r="Y260" s="575" t="s">
        <v>2663</v>
      </c>
      <c r="Z260" s="575" t="s">
        <v>2663</v>
      </c>
      <c r="AA260" s="574" t="s">
        <v>1693</v>
      </c>
      <c r="AB260" s="574" t="s">
        <v>2319</v>
      </c>
      <c r="AC260" s="574" t="s">
        <v>2320</v>
      </c>
      <c r="AD260" s="574" t="s">
        <v>2321</v>
      </c>
      <c r="AE260" s="574" t="s">
        <v>1446</v>
      </c>
      <c r="AF260" s="574" t="s">
        <v>2321</v>
      </c>
      <c r="AG260" s="576">
        <v>180600</v>
      </c>
      <c r="AH260" s="576">
        <v>0</v>
      </c>
    </row>
    <row r="261" spans="1:34" customFormat="1" x14ac:dyDescent="0.25">
      <c r="A261" s="574" t="s">
        <v>2219</v>
      </c>
      <c r="B261" s="574" t="s">
        <v>2220</v>
      </c>
      <c r="C261" s="574" t="s">
        <v>2221</v>
      </c>
      <c r="D261" s="574" t="s">
        <v>2220</v>
      </c>
      <c r="E261" s="574" t="s">
        <v>2222</v>
      </c>
      <c r="F261" s="574" t="s">
        <v>2223</v>
      </c>
      <c r="G261" s="574" t="s">
        <v>2224</v>
      </c>
      <c r="H261" s="574" t="s">
        <v>2225</v>
      </c>
      <c r="I261" s="574" t="s">
        <v>2226</v>
      </c>
      <c r="J261" s="574" t="s">
        <v>2227</v>
      </c>
      <c r="K261" s="574" t="s">
        <v>2228</v>
      </c>
      <c r="L261" s="574" t="s">
        <v>2229</v>
      </c>
      <c r="M261" s="574" t="s">
        <v>2230</v>
      </c>
      <c r="N261" s="574" t="s">
        <v>2231</v>
      </c>
      <c r="O261" s="574" t="s">
        <v>2232</v>
      </c>
      <c r="P261" s="574" t="s">
        <v>2233</v>
      </c>
      <c r="Q261" s="574" t="s">
        <v>2234</v>
      </c>
      <c r="R261" s="574" t="s">
        <v>2225</v>
      </c>
      <c r="S261" s="574" t="s">
        <v>2737</v>
      </c>
      <c r="T261" s="574" t="s">
        <v>2738</v>
      </c>
      <c r="U261" s="574" t="s">
        <v>2768</v>
      </c>
      <c r="V261" s="574" t="s">
        <v>2238</v>
      </c>
      <c r="W261" s="574" t="s">
        <v>2239</v>
      </c>
      <c r="X261" s="574" t="s">
        <v>2376</v>
      </c>
      <c r="Y261" s="575" t="s">
        <v>2663</v>
      </c>
      <c r="Z261" s="575" t="s">
        <v>2663</v>
      </c>
      <c r="AA261" s="574" t="s">
        <v>1693</v>
      </c>
      <c r="AB261" s="574" t="s">
        <v>2319</v>
      </c>
      <c r="AC261" s="574" t="s">
        <v>2320</v>
      </c>
      <c r="AD261" s="574" t="s">
        <v>2321</v>
      </c>
      <c r="AE261" s="574" t="s">
        <v>1446</v>
      </c>
      <c r="AF261" s="574" t="s">
        <v>2321</v>
      </c>
      <c r="AG261" s="576">
        <v>202488</v>
      </c>
      <c r="AH261" s="576">
        <v>0</v>
      </c>
    </row>
    <row r="262" spans="1:34" customFormat="1" x14ac:dyDescent="0.25">
      <c r="A262" s="574" t="s">
        <v>2219</v>
      </c>
      <c r="B262" s="574" t="s">
        <v>2220</v>
      </c>
      <c r="C262" s="574" t="s">
        <v>2221</v>
      </c>
      <c r="D262" s="574" t="s">
        <v>2220</v>
      </c>
      <c r="E262" s="574" t="s">
        <v>2222</v>
      </c>
      <c r="F262" s="574" t="s">
        <v>2223</v>
      </c>
      <c r="G262" s="574" t="s">
        <v>2224</v>
      </c>
      <c r="H262" s="574" t="s">
        <v>2225</v>
      </c>
      <c r="I262" s="574" t="s">
        <v>2226</v>
      </c>
      <c r="J262" s="574" t="s">
        <v>2227</v>
      </c>
      <c r="K262" s="574" t="s">
        <v>2228</v>
      </c>
      <c r="L262" s="574" t="s">
        <v>2229</v>
      </c>
      <c r="M262" s="574" t="s">
        <v>2230</v>
      </c>
      <c r="N262" s="574" t="s">
        <v>2231</v>
      </c>
      <c r="O262" s="574" t="s">
        <v>2232</v>
      </c>
      <c r="P262" s="574" t="s">
        <v>2233</v>
      </c>
      <c r="Q262" s="574" t="s">
        <v>2234</v>
      </c>
      <c r="R262" s="574" t="s">
        <v>2225</v>
      </c>
      <c r="S262" s="574" t="s">
        <v>2737</v>
      </c>
      <c r="T262" s="574" t="s">
        <v>2738</v>
      </c>
      <c r="U262" s="574" t="s">
        <v>2769</v>
      </c>
      <c r="V262" s="574" t="s">
        <v>2238</v>
      </c>
      <c r="W262" s="574" t="s">
        <v>2239</v>
      </c>
      <c r="X262" s="574" t="s">
        <v>2380</v>
      </c>
      <c r="Y262" s="575" t="s">
        <v>2663</v>
      </c>
      <c r="Z262" s="575" t="s">
        <v>2663</v>
      </c>
      <c r="AA262" s="574" t="s">
        <v>1691</v>
      </c>
      <c r="AB262" s="574" t="s">
        <v>2297</v>
      </c>
      <c r="AC262" s="574" t="s">
        <v>2298</v>
      </c>
      <c r="AD262" s="574" t="s">
        <v>2299</v>
      </c>
      <c r="AE262" s="574" t="s">
        <v>1468</v>
      </c>
      <c r="AF262" s="574" t="s">
        <v>2299</v>
      </c>
      <c r="AG262" s="576">
        <v>204000</v>
      </c>
      <c r="AH262" s="576">
        <v>0</v>
      </c>
    </row>
    <row r="263" spans="1:34" customFormat="1" x14ac:dyDescent="0.25">
      <c r="A263" s="574" t="s">
        <v>2219</v>
      </c>
      <c r="B263" s="574" t="s">
        <v>2220</v>
      </c>
      <c r="C263" s="574" t="s">
        <v>2221</v>
      </c>
      <c r="D263" s="574" t="s">
        <v>2220</v>
      </c>
      <c r="E263" s="574" t="s">
        <v>2222</v>
      </c>
      <c r="F263" s="574" t="s">
        <v>2223</v>
      </c>
      <c r="G263" s="574" t="s">
        <v>2224</v>
      </c>
      <c r="H263" s="574" t="s">
        <v>2225</v>
      </c>
      <c r="I263" s="574" t="s">
        <v>2226</v>
      </c>
      <c r="J263" s="574" t="s">
        <v>2227</v>
      </c>
      <c r="K263" s="574" t="s">
        <v>2228</v>
      </c>
      <c r="L263" s="574" t="s">
        <v>2229</v>
      </c>
      <c r="M263" s="574" t="s">
        <v>2230</v>
      </c>
      <c r="N263" s="574" t="s">
        <v>2231</v>
      </c>
      <c r="O263" s="574" t="s">
        <v>2232</v>
      </c>
      <c r="P263" s="574" t="s">
        <v>2233</v>
      </c>
      <c r="Q263" s="574" t="s">
        <v>2234</v>
      </c>
      <c r="R263" s="574" t="s">
        <v>2225</v>
      </c>
      <c r="S263" s="574" t="s">
        <v>2737</v>
      </c>
      <c r="T263" s="574" t="s">
        <v>2738</v>
      </c>
      <c r="U263" s="574" t="s">
        <v>2769</v>
      </c>
      <c r="V263" s="574" t="s">
        <v>2238</v>
      </c>
      <c r="W263" s="574" t="s">
        <v>2239</v>
      </c>
      <c r="X263" s="574" t="s">
        <v>2380</v>
      </c>
      <c r="Y263" s="575" t="s">
        <v>2663</v>
      </c>
      <c r="Z263" s="575" t="s">
        <v>2663</v>
      </c>
      <c r="AA263" s="574" t="s">
        <v>1692</v>
      </c>
      <c r="AB263" s="574" t="s">
        <v>2307</v>
      </c>
      <c r="AC263" s="574" t="s">
        <v>2308</v>
      </c>
      <c r="AD263" s="574" t="s">
        <v>2309</v>
      </c>
      <c r="AE263" s="574" t="s">
        <v>1490</v>
      </c>
      <c r="AF263" s="574" t="s">
        <v>176</v>
      </c>
      <c r="AG263" s="576">
        <v>8400</v>
      </c>
      <c r="AH263" s="576">
        <v>0</v>
      </c>
    </row>
    <row r="264" spans="1:34" customFormat="1" x14ac:dyDescent="0.25">
      <c r="A264" s="574" t="s">
        <v>2219</v>
      </c>
      <c r="B264" s="574" t="s">
        <v>2220</v>
      </c>
      <c r="C264" s="574" t="s">
        <v>2221</v>
      </c>
      <c r="D264" s="574" t="s">
        <v>2220</v>
      </c>
      <c r="E264" s="574" t="s">
        <v>2222</v>
      </c>
      <c r="F264" s="574" t="s">
        <v>2223</v>
      </c>
      <c r="G264" s="574" t="s">
        <v>2224</v>
      </c>
      <c r="H264" s="574" t="s">
        <v>2225</v>
      </c>
      <c r="I264" s="574" t="s">
        <v>2226</v>
      </c>
      <c r="J264" s="574" t="s">
        <v>2227</v>
      </c>
      <c r="K264" s="574" t="s">
        <v>2228</v>
      </c>
      <c r="L264" s="574" t="s">
        <v>2229</v>
      </c>
      <c r="M264" s="574" t="s">
        <v>2230</v>
      </c>
      <c r="N264" s="574" t="s">
        <v>2231</v>
      </c>
      <c r="O264" s="574" t="s">
        <v>2232</v>
      </c>
      <c r="P264" s="574" t="s">
        <v>2233</v>
      </c>
      <c r="Q264" s="574" t="s">
        <v>2234</v>
      </c>
      <c r="R264" s="574" t="s">
        <v>2225</v>
      </c>
      <c r="S264" s="574" t="s">
        <v>2737</v>
      </c>
      <c r="T264" s="574" t="s">
        <v>2738</v>
      </c>
      <c r="U264" s="574" t="s">
        <v>2770</v>
      </c>
      <c r="V264" s="574" t="s">
        <v>2238</v>
      </c>
      <c r="W264" s="574" t="s">
        <v>2239</v>
      </c>
      <c r="X264" s="574" t="s">
        <v>2414</v>
      </c>
      <c r="Y264" s="575" t="s">
        <v>2663</v>
      </c>
      <c r="Z264" s="575" t="s">
        <v>2663</v>
      </c>
      <c r="AA264" s="574" t="s">
        <v>1693</v>
      </c>
      <c r="AB264" s="574" t="s">
        <v>2319</v>
      </c>
      <c r="AC264" s="574" t="s">
        <v>2320</v>
      </c>
      <c r="AD264" s="574" t="s">
        <v>2321</v>
      </c>
      <c r="AE264" s="574" t="s">
        <v>1446</v>
      </c>
      <c r="AF264" s="574" t="s">
        <v>2321</v>
      </c>
      <c r="AG264" s="576">
        <v>247092</v>
      </c>
      <c r="AH264" s="576">
        <v>0</v>
      </c>
    </row>
    <row r="265" spans="1:34" customFormat="1" x14ac:dyDescent="0.25">
      <c r="A265" s="574" t="s">
        <v>2219</v>
      </c>
      <c r="B265" s="574" t="s">
        <v>2220</v>
      </c>
      <c r="C265" s="574" t="s">
        <v>2221</v>
      </c>
      <c r="D265" s="574" t="s">
        <v>2220</v>
      </c>
      <c r="E265" s="574" t="s">
        <v>2222</v>
      </c>
      <c r="F265" s="574" t="s">
        <v>2223</v>
      </c>
      <c r="G265" s="574" t="s">
        <v>2224</v>
      </c>
      <c r="H265" s="574" t="s">
        <v>2225</v>
      </c>
      <c r="I265" s="574" t="s">
        <v>2226</v>
      </c>
      <c r="J265" s="574" t="s">
        <v>2227</v>
      </c>
      <c r="K265" s="574" t="s">
        <v>2228</v>
      </c>
      <c r="L265" s="574" t="s">
        <v>2229</v>
      </c>
      <c r="M265" s="574" t="s">
        <v>2230</v>
      </c>
      <c r="N265" s="574" t="s">
        <v>2231</v>
      </c>
      <c r="O265" s="574" t="s">
        <v>2232</v>
      </c>
      <c r="P265" s="574" t="s">
        <v>2233</v>
      </c>
      <c r="Q265" s="574" t="s">
        <v>2234</v>
      </c>
      <c r="R265" s="574" t="s">
        <v>2225</v>
      </c>
      <c r="S265" s="574" t="s">
        <v>2737</v>
      </c>
      <c r="T265" s="574" t="s">
        <v>2738</v>
      </c>
      <c r="U265" s="574" t="s">
        <v>2771</v>
      </c>
      <c r="V265" s="574" t="s">
        <v>2238</v>
      </c>
      <c r="W265" s="574" t="s">
        <v>2239</v>
      </c>
      <c r="X265" s="574" t="s">
        <v>2382</v>
      </c>
      <c r="Y265" s="575" t="s">
        <v>2663</v>
      </c>
      <c r="Z265" s="575" t="s">
        <v>2663</v>
      </c>
      <c r="AA265" s="574" t="s">
        <v>1691</v>
      </c>
      <c r="AB265" s="574" t="s">
        <v>2297</v>
      </c>
      <c r="AC265" s="574" t="s">
        <v>2298</v>
      </c>
      <c r="AD265" s="574" t="s">
        <v>2299</v>
      </c>
      <c r="AE265" s="574" t="s">
        <v>1468</v>
      </c>
      <c r="AF265" s="574" t="s">
        <v>2299</v>
      </c>
      <c r="AG265" s="576">
        <v>64350</v>
      </c>
      <c r="AH265" s="576">
        <v>0</v>
      </c>
    </row>
    <row r="266" spans="1:34" customFormat="1" x14ac:dyDescent="0.25">
      <c r="A266" s="574" t="s">
        <v>2219</v>
      </c>
      <c r="B266" s="574" t="s">
        <v>2220</v>
      </c>
      <c r="C266" s="574" t="s">
        <v>2221</v>
      </c>
      <c r="D266" s="574" t="s">
        <v>2220</v>
      </c>
      <c r="E266" s="574" t="s">
        <v>2222</v>
      </c>
      <c r="F266" s="574" t="s">
        <v>2223</v>
      </c>
      <c r="G266" s="574" t="s">
        <v>2224</v>
      </c>
      <c r="H266" s="574" t="s">
        <v>2225</v>
      </c>
      <c r="I266" s="574" t="s">
        <v>2226</v>
      </c>
      <c r="J266" s="574" t="s">
        <v>2227</v>
      </c>
      <c r="K266" s="574" t="s">
        <v>2228</v>
      </c>
      <c r="L266" s="574" t="s">
        <v>2229</v>
      </c>
      <c r="M266" s="574" t="s">
        <v>2230</v>
      </c>
      <c r="N266" s="574" t="s">
        <v>2231</v>
      </c>
      <c r="O266" s="574" t="s">
        <v>2232</v>
      </c>
      <c r="P266" s="574" t="s">
        <v>2233</v>
      </c>
      <c r="Q266" s="574" t="s">
        <v>2234</v>
      </c>
      <c r="R266" s="574" t="s">
        <v>2225</v>
      </c>
      <c r="S266" s="574" t="s">
        <v>2737</v>
      </c>
      <c r="T266" s="574" t="s">
        <v>2738</v>
      </c>
      <c r="U266" s="574" t="s">
        <v>2772</v>
      </c>
      <c r="V266" s="574" t="s">
        <v>2238</v>
      </c>
      <c r="W266" s="574" t="s">
        <v>2239</v>
      </c>
      <c r="X266" s="574" t="s">
        <v>2732</v>
      </c>
      <c r="Y266" s="575" t="s">
        <v>2663</v>
      </c>
      <c r="Z266" s="575" t="s">
        <v>2663</v>
      </c>
      <c r="AA266" s="574" t="s">
        <v>1688</v>
      </c>
      <c r="AB266" s="574" t="s">
        <v>2430</v>
      </c>
      <c r="AC266" s="574" t="s">
        <v>2431</v>
      </c>
      <c r="AD266" s="574" t="s">
        <v>99</v>
      </c>
      <c r="AE266" s="574" t="s">
        <v>1531</v>
      </c>
      <c r="AF266" s="574" t="s">
        <v>99</v>
      </c>
      <c r="AG266" s="576">
        <v>337500</v>
      </c>
      <c r="AH266" s="576">
        <v>0</v>
      </c>
    </row>
    <row r="267" spans="1:34" customFormat="1" x14ac:dyDescent="0.25">
      <c r="A267" s="574" t="s">
        <v>2219</v>
      </c>
      <c r="B267" s="574" t="s">
        <v>2220</v>
      </c>
      <c r="C267" s="574" t="s">
        <v>2221</v>
      </c>
      <c r="D267" s="574" t="s">
        <v>2220</v>
      </c>
      <c r="E267" s="574" t="s">
        <v>2222</v>
      </c>
      <c r="F267" s="574" t="s">
        <v>2223</v>
      </c>
      <c r="G267" s="574" t="s">
        <v>2224</v>
      </c>
      <c r="H267" s="574" t="s">
        <v>2225</v>
      </c>
      <c r="I267" s="574" t="s">
        <v>2226</v>
      </c>
      <c r="J267" s="574" t="s">
        <v>2227</v>
      </c>
      <c r="K267" s="574" t="s">
        <v>2228</v>
      </c>
      <c r="L267" s="574" t="s">
        <v>2229</v>
      </c>
      <c r="M267" s="574" t="s">
        <v>2230</v>
      </c>
      <c r="N267" s="574" t="s">
        <v>2231</v>
      </c>
      <c r="O267" s="574" t="s">
        <v>2232</v>
      </c>
      <c r="P267" s="574" t="s">
        <v>2233</v>
      </c>
      <c r="Q267" s="574" t="s">
        <v>2234</v>
      </c>
      <c r="R267" s="574" t="s">
        <v>2225</v>
      </c>
      <c r="S267" s="574" t="s">
        <v>2737</v>
      </c>
      <c r="T267" s="574" t="s">
        <v>2738</v>
      </c>
      <c r="U267" s="574" t="s">
        <v>2772</v>
      </c>
      <c r="V267" s="574" t="s">
        <v>2238</v>
      </c>
      <c r="W267" s="574" t="s">
        <v>2239</v>
      </c>
      <c r="X267" s="574" t="s">
        <v>2732</v>
      </c>
      <c r="Y267" s="575" t="s">
        <v>2663</v>
      </c>
      <c r="Z267" s="575" t="s">
        <v>2296</v>
      </c>
      <c r="AA267" s="574" t="s">
        <v>1688</v>
      </c>
      <c r="AB267" s="574" t="s">
        <v>2430</v>
      </c>
      <c r="AC267" s="574" t="s">
        <v>2431</v>
      </c>
      <c r="AD267" s="574" t="s">
        <v>99</v>
      </c>
      <c r="AE267" s="574" t="s">
        <v>1531</v>
      </c>
      <c r="AF267" s="574" t="s">
        <v>99</v>
      </c>
      <c r="AG267" s="576">
        <v>-337500</v>
      </c>
      <c r="AH267" s="576">
        <v>0</v>
      </c>
    </row>
    <row r="268" spans="1:34" customFormat="1" x14ac:dyDescent="0.25">
      <c r="A268" s="574" t="s">
        <v>2219</v>
      </c>
      <c r="B268" s="574" t="s">
        <v>2220</v>
      </c>
      <c r="C268" s="574" t="s">
        <v>2221</v>
      </c>
      <c r="D268" s="574" t="s">
        <v>2220</v>
      </c>
      <c r="E268" s="574" t="s">
        <v>2222</v>
      </c>
      <c r="F268" s="574" t="s">
        <v>2223</v>
      </c>
      <c r="G268" s="574" t="s">
        <v>2224</v>
      </c>
      <c r="H268" s="574" t="s">
        <v>2225</v>
      </c>
      <c r="I268" s="574" t="s">
        <v>2226</v>
      </c>
      <c r="J268" s="574" t="s">
        <v>2227</v>
      </c>
      <c r="K268" s="574" t="s">
        <v>2228</v>
      </c>
      <c r="L268" s="574" t="s">
        <v>2229</v>
      </c>
      <c r="M268" s="574" t="s">
        <v>2230</v>
      </c>
      <c r="N268" s="574" t="s">
        <v>2231</v>
      </c>
      <c r="O268" s="574" t="s">
        <v>2232</v>
      </c>
      <c r="P268" s="574" t="s">
        <v>2233</v>
      </c>
      <c r="Q268" s="574" t="s">
        <v>2234</v>
      </c>
      <c r="R268" s="574" t="s">
        <v>2225</v>
      </c>
      <c r="S268" s="574" t="s">
        <v>2737</v>
      </c>
      <c r="T268" s="574" t="s">
        <v>2738</v>
      </c>
      <c r="U268" s="574" t="s">
        <v>2773</v>
      </c>
      <c r="V268" s="574" t="s">
        <v>2238</v>
      </c>
      <c r="W268" s="574" t="s">
        <v>2239</v>
      </c>
      <c r="X268" s="574" t="s">
        <v>2332</v>
      </c>
      <c r="Y268" s="575" t="s">
        <v>2663</v>
      </c>
      <c r="Z268" s="575" t="s">
        <v>2663</v>
      </c>
      <c r="AA268" s="574" t="s">
        <v>1693</v>
      </c>
      <c r="AB268" s="574" t="s">
        <v>2319</v>
      </c>
      <c r="AC268" s="574" t="s">
        <v>2320</v>
      </c>
      <c r="AD268" s="574" t="s">
        <v>2321</v>
      </c>
      <c r="AE268" s="574" t="s">
        <v>1446</v>
      </c>
      <c r="AF268" s="574" t="s">
        <v>2321</v>
      </c>
      <c r="AG268" s="576">
        <v>212400</v>
      </c>
      <c r="AH268" s="576">
        <v>0</v>
      </c>
    </row>
    <row r="269" spans="1:34" customFormat="1" x14ac:dyDescent="0.25">
      <c r="A269" s="574" t="s">
        <v>2219</v>
      </c>
      <c r="B269" s="574" t="s">
        <v>2220</v>
      </c>
      <c r="C269" s="574" t="s">
        <v>2221</v>
      </c>
      <c r="D269" s="574" t="s">
        <v>2220</v>
      </c>
      <c r="E269" s="574" t="s">
        <v>2222</v>
      </c>
      <c r="F269" s="574" t="s">
        <v>2223</v>
      </c>
      <c r="G269" s="574" t="s">
        <v>2224</v>
      </c>
      <c r="H269" s="574" t="s">
        <v>2225</v>
      </c>
      <c r="I269" s="574" t="s">
        <v>2226</v>
      </c>
      <c r="J269" s="574" t="s">
        <v>2227</v>
      </c>
      <c r="K269" s="574" t="s">
        <v>2228</v>
      </c>
      <c r="L269" s="574" t="s">
        <v>2229</v>
      </c>
      <c r="M269" s="574" t="s">
        <v>2230</v>
      </c>
      <c r="N269" s="574" t="s">
        <v>2231</v>
      </c>
      <c r="O269" s="574" t="s">
        <v>2232</v>
      </c>
      <c r="P269" s="574" t="s">
        <v>2233</v>
      </c>
      <c r="Q269" s="574" t="s">
        <v>2234</v>
      </c>
      <c r="R269" s="574" t="s">
        <v>2225</v>
      </c>
      <c r="S269" s="574" t="s">
        <v>2737</v>
      </c>
      <c r="T269" s="574" t="s">
        <v>2738</v>
      </c>
      <c r="U269" s="574" t="s">
        <v>2774</v>
      </c>
      <c r="V269" s="574" t="s">
        <v>2238</v>
      </c>
      <c r="W269" s="574" t="s">
        <v>2239</v>
      </c>
      <c r="X269" s="574" t="s">
        <v>2401</v>
      </c>
      <c r="Y269" s="575" t="s">
        <v>2663</v>
      </c>
      <c r="Z269" s="575" t="s">
        <v>2663</v>
      </c>
      <c r="AA269" s="574" t="s">
        <v>1693</v>
      </c>
      <c r="AB269" s="574" t="s">
        <v>2319</v>
      </c>
      <c r="AC269" s="574" t="s">
        <v>2402</v>
      </c>
      <c r="AD269" s="574" t="s">
        <v>2403</v>
      </c>
      <c r="AE269" s="574" t="s">
        <v>1486</v>
      </c>
      <c r="AF269" s="574" t="s">
        <v>2403</v>
      </c>
      <c r="AG269" s="576">
        <v>5015</v>
      </c>
      <c r="AH269" s="576">
        <v>0</v>
      </c>
    </row>
    <row r="270" spans="1:34" customFormat="1" x14ac:dyDescent="0.25">
      <c r="A270" s="574" t="s">
        <v>2219</v>
      </c>
      <c r="B270" s="574" t="s">
        <v>2220</v>
      </c>
      <c r="C270" s="574" t="s">
        <v>2221</v>
      </c>
      <c r="D270" s="574" t="s">
        <v>2220</v>
      </c>
      <c r="E270" s="574" t="s">
        <v>2222</v>
      </c>
      <c r="F270" s="574" t="s">
        <v>2223</v>
      </c>
      <c r="G270" s="574" t="s">
        <v>2224</v>
      </c>
      <c r="H270" s="574" t="s">
        <v>2225</v>
      </c>
      <c r="I270" s="574" t="s">
        <v>2226</v>
      </c>
      <c r="J270" s="574" t="s">
        <v>2227</v>
      </c>
      <c r="K270" s="574" t="s">
        <v>2228</v>
      </c>
      <c r="L270" s="574" t="s">
        <v>2229</v>
      </c>
      <c r="M270" s="574" t="s">
        <v>2230</v>
      </c>
      <c r="N270" s="574" t="s">
        <v>2231</v>
      </c>
      <c r="O270" s="574" t="s">
        <v>2232</v>
      </c>
      <c r="P270" s="574" t="s">
        <v>2233</v>
      </c>
      <c r="Q270" s="574" t="s">
        <v>2234</v>
      </c>
      <c r="R270" s="574" t="s">
        <v>2225</v>
      </c>
      <c r="S270" s="574" t="s">
        <v>2737</v>
      </c>
      <c r="T270" s="574" t="s">
        <v>2738</v>
      </c>
      <c r="U270" s="574" t="s">
        <v>2774</v>
      </c>
      <c r="V270" s="574" t="s">
        <v>2238</v>
      </c>
      <c r="W270" s="574" t="s">
        <v>2239</v>
      </c>
      <c r="X270" s="574" t="s">
        <v>2401</v>
      </c>
      <c r="Y270" s="575" t="s">
        <v>2663</v>
      </c>
      <c r="Z270" s="575" t="s">
        <v>2663</v>
      </c>
      <c r="AA270" s="574" t="s">
        <v>1693</v>
      </c>
      <c r="AB270" s="574" t="s">
        <v>2319</v>
      </c>
      <c r="AC270" s="574" t="s">
        <v>2320</v>
      </c>
      <c r="AD270" s="574" t="s">
        <v>2321</v>
      </c>
      <c r="AE270" s="574" t="s">
        <v>1446</v>
      </c>
      <c r="AF270" s="574" t="s">
        <v>2321</v>
      </c>
      <c r="AG270" s="576">
        <v>41808.58</v>
      </c>
      <c r="AH270" s="576">
        <v>0</v>
      </c>
    </row>
    <row r="271" spans="1:34" customFormat="1" x14ac:dyDescent="0.25">
      <c r="A271" s="574" t="s">
        <v>2219</v>
      </c>
      <c r="B271" s="574" t="s">
        <v>2220</v>
      </c>
      <c r="C271" s="574" t="s">
        <v>2221</v>
      </c>
      <c r="D271" s="574" t="s">
        <v>2220</v>
      </c>
      <c r="E271" s="574" t="s">
        <v>2222</v>
      </c>
      <c r="F271" s="574" t="s">
        <v>2223</v>
      </c>
      <c r="G271" s="574" t="s">
        <v>2224</v>
      </c>
      <c r="H271" s="574" t="s">
        <v>2225</v>
      </c>
      <c r="I271" s="574" t="s">
        <v>2226</v>
      </c>
      <c r="J271" s="574" t="s">
        <v>2227</v>
      </c>
      <c r="K271" s="574" t="s">
        <v>2228</v>
      </c>
      <c r="L271" s="574" t="s">
        <v>2229</v>
      </c>
      <c r="M271" s="574" t="s">
        <v>2230</v>
      </c>
      <c r="N271" s="574" t="s">
        <v>2231</v>
      </c>
      <c r="O271" s="574" t="s">
        <v>2232</v>
      </c>
      <c r="P271" s="574" t="s">
        <v>2233</v>
      </c>
      <c r="Q271" s="574" t="s">
        <v>2234</v>
      </c>
      <c r="R271" s="574" t="s">
        <v>2225</v>
      </c>
      <c r="S271" s="574" t="s">
        <v>2737</v>
      </c>
      <c r="T271" s="574" t="s">
        <v>2738</v>
      </c>
      <c r="U271" s="574" t="s">
        <v>2774</v>
      </c>
      <c r="V271" s="574" t="s">
        <v>2238</v>
      </c>
      <c r="W271" s="574" t="s">
        <v>2239</v>
      </c>
      <c r="X271" s="574" t="s">
        <v>2401</v>
      </c>
      <c r="Y271" s="575" t="s">
        <v>2663</v>
      </c>
      <c r="Z271" s="575" t="s">
        <v>2663</v>
      </c>
      <c r="AA271" s="574" t="s">
        <v>1696</v>
      </c>
      <c r="AB271" s="574" t="s">
        <v>2404</v>
      </c>
      <c r="AC271" s="574" t="s">
        <v>2405</v>
      </c>
      <c r="AD271" s="574" t="s">
        <v>2406</v>
      </c>
      <c r="AE271" s="574" t="s">
        <v>2407</v>
      </c>
      <c r="AF271" s="574" t="s">
        <v>2406</v>
      </c>
      <c r="AG271" s="576">
        <v>64605</v>
      </c>
      <c r="AH271" s="576">
        <v>0</v>
      </c>
    </row>
    <row r="272" spans="1:34" customFormat="1" x14ac:dyDescent="0.25">
      <c r="A272" s="574" t="s">
        <v>2219</v>
      </c>
      <c r="B272" s="574" t="s">
        <v>2220</v>
      </c>
      <c r="C272" s="574" t="s">
        <v>2221</v>
      </c>
      <c r="D272" s="574" t="s">
        <v>2220</v>
      </c>
      <c r="E272" s="574" t="s">
        <v>2222</v>
      </c>
      <c r="F272" s="574" t="s">
        <v>2223</v>
      </c>
      <c r="G272" s="574" t="s">
        <v>2224</v>
      </c>
      <c r="H272" s="574" t="s">
        <v>2225</v>
      </c>
      <c r="I272" s="574" t="s">
        <v>2226</v>
      </c>
      <c r="J272" s="574" t="s">
        <v>2227</v>
      </c>
      <c r="K272" s="574" t="s">
        <v>2228</v>
      </c>
      <c r="L272" s="574" t="s">
        <v>2229</v>
      </c>
      <c r="M272" s="574" t="s">
        <v>2230</v>
      </c>
      <c r="N272" s="574" t="s">
        <v>2231</v>
      </c>
      <c r="O272" s="574" t="s">
        <v>2232</v>
      </c>
      <c r="P272" s="574" t="s">
        <v>2233</v>
      </c>
      <c r="Q272" s="574" t="s">
        <v>2234</v>
      </c>
      <c r="R272" s="574" t="s">
        <v>2225</v>
      </c>
      <c r="S272" s="574" t="s">
        <v>2737</v>
      </c>
      <c r="T272" s="574" t="s">
        <v>2738</v>
      </c>
      <c r="U272" s="574" t="s">
        <v>2775</v>
      </c>
      <c r="V272" s="574" t="s">
        <v>2238</v>
      </c>
      <c r="W272" s="574" t="s">
        <v>2239</v>
      </c>
      <c r="X272" s="574" t="s">
        <v>2733</v>
      </c>
      <c r="Y272" s="575" t="s">
        <v>2663</v>
      </c>
      <c r="Z272" s="575" t="s">
        <v>2663</v>
      </c>
      <c r="AA272" s="574" t="s">
        <v>1688</v>
      </c>
      <c r="AB272" s="574" t="s">
        <v>2430</v>
      </c>
      <c r="AC272" s="574" t="s">
        <v>2431</v>
      </c>
      <c r="AD272" s="574" t="s">
        <v>99</v>
      </c>
      <c r="AE272" s="574" t="s">
        <v>1531</v>
      </c>
      <c r="AF272" s="574" t="s">
        <v>99</v>
      </c>
      <c r="AG272" s="576">
        <v>929768</v>
      </c>
      <c r="AH272" s="576">
        <v>0</v>
      </c>
    </row>
    <row r="273" spans="1:34" customFormat="1" x14ac:dyDescent="0.25">
      <c r="A273" s="574" t="s">
        <v>2219</v>
      </c>
      <c r="B273" s="574" t="s">
        <v>2220</v>
      </c>
      <c r="C273" s="574" t="s">
        <v>2221</v>
      </c>
      <c r="D273" s="574" t="s">
        <v>2220</v>
      </c>
      <c r="E273" s="574" t="s">
        <v>2222</v>
      </c>
      <c r="F273" s="574" t="s">
        <v>2223</v>
      </c>
      <c r="G273" s="574" t="s">
        <v>2224</v>
      </c>
      <c r="H273" s="574" t="s">
        <v>2225</v>
      </c>
      <c r="I273" s="574" t="s">
        <v>2226</v>
      </c>
      <c r="J273" s="574" t="s">
        <v>2227</v>
      </c>
      <c r="K273" s="574" t="s">
        <v>2228</v>
      </c>
      <c r="L273" s="574" t="s">
        <v>2229</v>
      </c>
      <c r="M273" s="574" t="s">
        <v>2230</v>
      </c>
      <c r="N273" s="574" t="s">
        <v>2231</v>
      </c>
      <c r="O273" s="574" t="s">
        <v>2232</v>
      </c>
      <c r="P273" s="574" t="s">
        <v>2233</v>
      </c>
      <c r="Q273" s="574" t="s">
        <v>2234</v>
      </c>
      <c r="R273" s="574" t="s">
        <v>2225</v>
      </c>
      <c r="S273" s="574" t="s">
        <v>2737</v>
      </c>
      <c r="T273" s="574" t="s">
        <v>2738</v>
      </c>
      <c r="U273" s="574" t="s">
        <v>2775</v>
      </c>
      <c r="V273" s="574" t="s">
        <v>2238</v>
      </c>
      <c r="W273" s="574" t="s">
        <v>2239</v>
      </c>
      <c r="X273" s="574" t="s">
        <v>2733</v>
      </c>
      <c r="Y273" s="575" t="s">
        <v>2663</v>
      </c>
      <c r="Z273" s="575" t="s">
        <v>2296</v>
      </c>
      <c r="AA273" s="574" t="s">
        <v>1688</v>
      </c>
      <c r="AB273" s="574" t="s">
        <v>2430</v>
      </c>
      <c r="AC273" s="574" t="s">
        <v>2431</v>
      </c>
      <c r="AD273" s="574" t="s">
        <v>99</v>
      </c>
      <c r="AE273" s="574" t="s">
        <v>1531</v>
      </c>
      <c r="AF273" s="574" t="s">
        <v>99</v>
      </c>
      <c r="AG273" s="576">
        <v>-929768</v>
      </c>
      <c r="AH273" s="576">
        <v>0</v>
      </c>
    </row>
    <row r="274" spans="1:34" customFormat="1" x14ac:dyDescent="0.25">
      <c r="A274" s="574" t="s">
        <v>2219</v>
      </c>
      <c r="B274" s="574" t="s">
        <v>2220</v>
      </c>
      <c r="C274" s="574" t="s">
        <v>2221</v>
      </c>
      <c r="D274" s="574" t="s">
        <v>2220</v>
      </c>
      <c r="E274" s="574" t="s">
        <v>2222</v>
      </c>
      <c r="F274" s="574" t="s">
        <v>2223</v>
      </c>
      <c r="G274" s="574" t="s">
        <v>2224</v>
      </c>
      <c r="H274" s="574" t="s">
        <v>2225</v>
      </c>
      <c r="I274" s="574" t="s">
        <v>2226</v>
      </c>
      <c r="J274" s="574" t="s">
        <v>2227</v>
      </c>
      <c r="K274" s="574" t="s">
        <v>2228</v>
      </c>
      <c r="L274" s="574" t="s">
        <v>2229</v>
      </c>
      <c r="M274" s="574" t="s">
        <v>2230</v>
      </c>
      <c r="N274" s="574" t="s">
        <v>2231</v>
      </c>
      <c r="O274" s="574" t="s">
        <v>2232</v>
      </c>
      <c r="P274" s="574" t="s">
        <v>2233</v>
      </c>
      <c r="Q274" s="574" t="s">
        <v>2234</v>
      </c>
      <c r="R274" s="574" t="s">
        <v>2225</v>
      </c>
      <c r="S274" s="574" t="s">
        <v>2737</v>
      </c>
      <c r="T274" s="574" t="s">
        <v>2738</v>
      </c>
      <c r="U274" s="574" t="s">
        <v>2776</v>
      </c>
      <c r="V274" s="574" t="s">
        <v>2238</v>
      </c>
      <c r="W274" s="574" t="s">
        <v>2239</v>
      </c>
      <c r="X274" s="574" t="s">
        <v>2734</v>
      </c>
      <c r="Y274" s="575" t="s">
        <v>2663</v>
      </c>
      <c r="Z274" s="575" t="s">
        <v>2663</v>
      </c>
      <c r="AA274" s="574" t="s">
        <v>1688</v>
      </c>
      <c r="AB274" s="574" t="s">
        <v>2430</v>
      </c>
      <c r="AC274" s="574" t="s">
        <v>2431</v>
      </c>
      <c r="AD274" s="574" t="s">
        <v>99</v>
      </c>
      <c r="AE274" s="574" t="s">
        <v>1531</v>
      </c>
      <c r="AF274" s="574" t="s">
        <v>99</v>
      </c>
      <c r="AG274" s="576">
        <v>1253100</v>
      </c>
      <c r="AH274" s="576">
        <v>0</v>
      </c>
    </row>
    <row r="275" spans="1:34" customFormat="1" x14ac:dyDescent="0.25">
      <c r="A275" s="574" t="s">
        <v>2219</v>
      </c>
      <c r="B275" s="574" t="s">
        <v>2220</v>
      </c>
      <c r="C275" s="574" t="s">
        <v>2221</v>
      </c>
      <c r="D275" s="574" t="s">
        <v>2220</v>
      </c>
      <c r="E275" s="574" t="s">
        <v>2222</v>
      </c>
      <c r="F275" s="574" t="s">
        <v>2223</v>
      </c>
      <c r="G275" s="574" t="s">
        <v>2224</v>
      </c>
      <c r="H275" s="574" t="s">
        <v>2225</v>
      </c>
      <c r="I275" s="574" t="s">
        <v>2226</v>
      </c>
      <c r="J275" s="574" t="s">
        <v>2227</v>
      </c>
      <c r="K275" s="574" t="s">
        <v>2228</v>
      </c>
      <c r="L275" s="574" t="s">
        <v>2229</v>
      </c>
      <c r="M275" s="574" t="s">
        <v>2230</v>
      </c>
      <c r="N275" s="574" t="s">
        <v>2231</v>
      </c>
      <c r="O275" s="574" t="s">
        <v>2232</v>
      </c>
      <c r="P275" s="574" t="s">
        <v>2233</v>
      </c>
      <c r="Q275" s="574" t="s">
        <v>2234</v>
      </c>
      <c r="R275" s="574" t="s">
        <v>2225</v>
      </c>
      <c r="S275" s="574" t="s">
        <v>2737</v>
      </c>
      <c r="T275" s="574" t="s">
        <v>2738</v>
      </c>
      <c r="U275" s="574" t="s">
        <v>2776</v>
      </c>
      <c r="V275" s="574" t="s">
        <v>2238</v>
      </c>
      <c r="W275" s="574" t="s">
        <v>2239</v>
      </c>
      <c r="X275" s="574" t="s">
        <v>2734</v>
      </c>
      <c r="Y275" s="575" t="s">
        <v>2663</v>
      </c>
      <c r="Z275" s="575" t="s">
        <v>2296</v>
      </c>
      <c r="AA275" s="574" t="s">
        <v>1688</v>
      </c>
      <c r="AB275" s="574" t="s">
        <v>2430</v>
      </c>
      <c r="AC275" s="574" t="s">
        <v>2431</v>
      </c>
      <c r="AD275" s="574" t="s">
        <v>99</v>
      </c>
      <c r="AE275" s="574" t="s">
        <v>1531</v>
      </c>
      <c r="AF275" s="574" t="s">
        <v>99</v>
      </c>
      <c r="AG275" s="576">
        <v>-1253100</v>
      </c>
      <c r="AH275" s="576">
        <v>0</v>
      </c>
    </row>
    <row r="276" spans="1:34" customFormat="1" x14ac:dyDescent="0.25">
      <c r="A276" s="574" t="s">
        <v>2219</v>
      </c>
      <c r="B276" s="574" t="s">
        <v>2220</v>
      </c>
      <c r="C276" s="574" t="s">
        <v>2221</v>
      </c>
      <c r="D276" s="574" t="s">
        <v>2220</v>
      </c>
      <c r="E276" s="574" t="s">
        <v>2222</v>
      </c>
      <c r="F276" s="574" t="s">
        <v>2223</v>
      </c>
      <c r="G276" s="574" t="s">
        <v>2224</v>
      </c>
      <c r="H276" s="574" t="s">
        <v>2225</v>
      </c>
      <c r="I276" s="574" t="s">
        <v>2226</v>
      </c>
      <c r="J276" s="574" t="s">
        <v>2227</v>
      </c>
      <c r="K276" s="574" t="s">
        <v>2228</v>
      </c>
      <c r="L276" s="574" t="s">
        <v>2229</v>
      </c>
      <c r="M276" s="574" t="s">
        <v>2230</v>
      </c>
      <c r="N276" s="574" t="s">
        <v>2231</v>
      </c>
      <c r="O276" s="574" t="s">
        <v>2232</v>
      </c>
      <c r="P276" s="574" t="s">
        <v>2233</v>
      </c>
      <c r="Q276" s="574" t="s">
        <v>2234</v>
      </c>
      <c r="R276" s="574" t="s">
        <v>2225</v>
      </c>
      <c r="S276" s="574" t="s">
        <v>2737</v>
      </c>
      <c r="T276" s="574" t="s">
        <v>2738</v>
      </c>
      <c r="U276" s="574" t="s">
        <v>2777</v>
      </c>
      <c r="V276" s="574" t="s">
        <v>2238</v>
      </c>
      <c r="W276" s="574" t="s">
        <v>2239</v>
      </c>
      <c r="X276" s="574" t="s">
        <v>2409</v>
      </c>
      <c r="Y276" s="575" t="s">
        <v>2663</v>
      </c>
      <c r="Z276" s="575" t="s">
        <v>2663</v>
      </c>
      <c r="AA276" s="574" t="s">
        <v>1693</v>
      </c>
      <c r="AB276" s="574" t="s">
        <v>2319</v>
      </c>
      <c r="AC276" s="574" t="s">
        <v>2320</v>
      </c>
      <c r="AD276" s="574" t="s">
        <v>2321</v>
      </c>
      <c r="AE276" s="574" t="s">
        <v>1446</v>
      </c>
      <c r="AF276" s="574" t="s">
        <v>2321</v>
      </c>
      <c r="AG276" s="576">
        <v>182900</v>
      </c>
      <c r="AH276" s="576">
        <v>0</v>
      </c>
    </row>
    <row r="277" spans="1:34" customFormat="1" x14ac:dyDescent="0.25">
      <c r="A277" s="574" t="s">
        <v>2219</v>
      </c>
      <c r="B277" s="574" t="s">
        <v>2220</v>
      </c>
      <c r="C277" s="574" t="s">
        <v>2221</v>
      </c>
      <c r="D277" s="574" t="s">
        <v>2220</v>
      </c>
      <c r="E277" s="574" t="s">
        <v>2222</v>
      </c>
      <c r="F277" s="574" t="s">
        <v>2223</v>
      </c>
      <c r="G277" s="574" t="s">
        <v>2224</v>
      </c>
      <c r="H277" s="574" t="s">
        <v>2225</v>
      </c>
      <c r="I277" s="574" t="s">
        <v>2226</v>
      </c>
      <c r="J277" s="574" t="s">
        <v>2227</v>
      </c>
      <c r="K277" s="574" t="s">
        <v>2228</v>
      </c>
      <c r="L277" s="574" t="s">
        <v>2229</v>
      </c>
      <c r="M277" s="574" t="s">
        <v>2230</v>
      </c>
      <c r="N277" s="574" t="s">
        <v>2231</v>
      </c>
      <c r="O277" s="574" t="s">
        <v>2232</v>
      </c>
      <c r="P277" s="574" t="s">
        <v>2233</v>
      </c>
      <c r="Q277" s="574" t="s">
        <v>2234</v>
      </c>
      <c r="R277" s="574" t="s">
        <v>2225</v>
      </c>
      <c r="S277" s="574" t="s">
        <v>2737</v>
      </c>
      <c r="T277" s="574" t="s">
        <v>2738</v>
      </c>
      <c r="U277" s="574" t="s">
        <v>2778</v>
      </c>
      <c r="V277" s="574" t="s">
        <v>2238</v>
      </c>
      <c r="W277" s="574" t="s">
        <v>2239</v>
      </c>
      <c r="X277" s="574" t="s">
        <v>2735</v>
      </c>
      <c r="Y277" s="575" t="s">
        <v>2663</v>
      </c>
      <c r="Z277" s="575" t="s">
        <v>2663</v>
      </c>
      <c r="AA277" s="574" t="s">
        <v>1688</v>
      </c>
      <c r="AB277" s="574" t="s">
        <v>2430</v>
      </c>
      <c r="AC277" s="574" t="s">
        <v>2431</v>
      </c>
      <c r="AD277" s="574" t="s">
        <v>99</v>
      </c>
      <c r="AE277" s="574" t="s">
        <v>1531</v>
      </c>
      <c r="AF277" s="574" t="s">
        <v>99</v>
      </c>
      <c r="AG277" s="576">
        <v>791125</v>
      </c>
      <c r="AH277" s="576">
        <v>0</v>
      </c>
    </row>
    <row r="278" spans="1:34" customFormat="1" x14ac:dyDescent="0.25">
      <c r="A278" s="574" t="s">
        <v>2219</v>
      </c>
      <c r="B278" s="574" t="s">
        <v>2220</v>
      </c>
      <c r="C278" s="574" t="s">
        <v>2221</v>
      </c>
      <c r="D278" s="574" t="s">
        <v>2220</v>
      </c>
      <c r="E278" s="574" t="s">
        <v>2222</v>
      </c>
      <c r="F278" s="574" t="s">
        <v>2223</v>
      </c>
      <c r="G278" s="574" t="s">
        <v>2224</v>
      </c>
      <c r="H278" s="574" t="s">
        <v>2225</v>
      </c>
      <c r="I278" s="574" t="s">
        <v>2226</v>
      </c>
      <c r="J278" s="574" t="s">
        <v>2227</v>
      </c>
      <c r="K278" s="574" t="s">
        <v>2228</v>
      </c>
      <c r="L278" s="574" t="s">
        <v>2229</v>
      </c>
      <c r="M278" s="574" t="s">
        <v>2230</v>
      </c>
      <c r="N278" s="574" t="s">
        <v>2231</v>
      </c>
      <c r="O278" s="574" t="s">
        <v>2232</v>
      </c>
      <c r="P278" s="574" t="s">
        <v>2233</v>
      </c>
      <c r="Q278" s="574" t="s">
        <v>2234</v>
      </c>
      <c r="R278" s="574" t="s">
        <v>2225</v>
      </c>
      <c r="S278" s="574" t="s">
        <v>2737</v>
      </c>
      <c r="T278" s="574" t="s">
        <v>2738</v>
      </c>
      <c r="U278" s="574" t="s">
        <v>2778</v>
      </c>
      <c r="V278" s="574" t="s">
        <v>2238</v>
      </c>
      <c r="W278" s="574" t="s">
        <v>2239</v>
      </c>
      <c r="X278" s="574" t="s">
        <v>2735</v>
      </c>
      <c r="Y278" s="575" t="s">
        <v>2663</v>
      </c>
      <c r="Z278" s="575" t="s">
        <v>2296</v>
      </c>
      <c r="AA278" s="574" t="s">
        <v>1688</v>
      </c>
      <c r="AB278" s="574" t="s">
        <v>2430</v>
      </c>
      <c r="AC278" s="574" t="s">
        <v>2431</v>
      </c>
      <c r="AD278" s="574" t="s">
        <v>99</v>
      </c>
      <c r="AE278" s="574" t="s">
        <v>1531</v>
      </c>
      <c r="AF278" s="574" t="s">
        <v>99</v>
      </c>
      <c r="AG278" s="576">
        <v>-791125</v>
      </c>
      <c r="AH278" s="576">
        <v>0</v>
      </c>
    </row>
    <row r="279" spans="1:34" customFormat="1" x14ac:dyDescent="0.25">
      <c r="A279" s="574" t="s">
        <v>2219</v>
      </c>
      <c r="B279" s="574" t="s">
        <v>2220</v>
      </c>
      <c r="C279" s="574" t="s">
        <v>2221</v>
      </c>
      <c r="D279" s="574" t="s">
        <v>2220</v>
      </c>
      <c r="E279" s="574" t="s">
        <v>2222</v>
      </c>
      <c r="F279" s="574" t="s">
        <v>2223</v>
      </c>
      <c r="G279" s="574" t="s">
        <v>2224</v>
      </c>
      <c r="H279" s="574" t="s">
        <v>2225</v>
      </c>
      <c r="I279" s="574" t="s">
        <v>2226</v>
      </c>
      <c r="J279" s="574" t="s">
        <v>2227</v>
      </c>
      <c r="K279" s="574" t="s">
        <v>2228</v>
      </c>
      <c r="L279" s="574" t="s">
        <v>2229</v>
      </c>
      <c r="M279" s="574" t="s">
        <v>2230</v>
      </c>
      <c r="N279" s="574" t="s">
        <v>2231</v>
      </c>
      <c r="O279" s="574" t="s">
        <v>2232</v>
      </c>
      <c r="P279" s="574" t="s">
        <v>2233</v>
      </c>
      <c r="Q279" s="574" t="s">
        <v>2234</v>
      </c>
      <c r="R279" s="574" t="s">
        <v>2225</v>
      </c>
      <c r="S279" s="574" t="s">
        <v>2737</v>
      </c>
      <c r="T279" s="574" t="s">
        <v>2738</v>
      </c>
      <c r="U279" s="574" t="s">
        <v>2779</v>
      </c>
      <c r="V279" s="574" t="s">
        <v>2238</v>
      </c>
      <c r="W279" s="574" t="s">
        <v>2239</v>
      </c>
      <c r="X279" s="574" t="s">
        <v>2389</v>
      </c>
      <c r="Y279" s="575" t="s">
        <v>2663</v>
      </c>
      <c r="Z279" s="575" t="s">
        <v>2663</v>
      </c>
      <c r="AA279" s="574" t="s">
        <v>1691</v>
      </c>
      <c r="AB279" s="574" t="s">
        <v>2297</v>
      </c>
      <c r="AC279" s="574" t="s">
        <v>2298</v>
      </c>
      <c r="AD279" s="574" t="s">
        <v>2299</v>
      </c>
      <c r="AE279" s="574" t="s">
        <v>1468</v>
      </c>
      <c r="AF279" s="574" t="s">
        <v>2299</v>
      </c>
      <c r="AG279" s="576">
        <v>44000</v>
      </c>
      <c r="AH279" s="576">
        <v>0</v>
      </c>
    </row>
    <row r="280" spans="1:34" customFormat="1" x14ac:dyDescent="0.25">
      <c r="A280" s="574" t="s">
        <v>2219</v>
      </c>
      <c r="B280" s="574" t="s">
        <v>2220</v>
      </c>
      <c r="C280" s="574" t="s">
        <v>2221</v>
      </c>
      <c r="D280" s="574" t="s">
        <v>2220</v>
      </c>
      <c r="E280" s="574" t="s">
        <v>2222</v>
      </c>
      <c r="F280" s="574" t="s">
        <v>2223</v>
      </c>
      <c r="G280" s="574" t="s">
        <v>2224</v>
      </c>
      <c r="H280" s="574" t="s">
        <v>2225</v>
      </c>
      <c r="I280" s="574" t="s">
        <v>2226</v>
      </c>
      <c r="J280" s="574" t="s">
        <v>2227</v>
      </c>
      <c r="K280" s="574" t="s">
        <v>2228</v>
      </c>
      <c r="L280" s="574" t="s">
        <v>2229</v>
      </c>
      <c r="M280" s="574" t="s">
        <v>2230</v>
      </c>
      <c r="N280" s="574" t="s">
        <v>2231</v>
      </c>
      <c r="O280" s="574" t="s">
        <v>2232</v>
      </c>
      <c r="P280" s="574" t="s">
        <v>2233</v>
      </c>
      <c r="Q280" s="574" t="s">
        <v>2234</v>
      </c>
      <c r="R280" s="574" t="s">
        <v>2225</v>
      </c>
      <c r="S280" s="574" t="s">
        <v>2737</v>
      </c>
      <c r="T280" s="574" t="s">
        <v>2738</v>
      </c>
      <c r="U280" s="574" t="s">
        <v>2779</v>
      </c>
      <c r="V280" s="574" t="s">
        <v>2238</v>
      </c>
      <c r="W280" s="574" t="s">
        <v>2239</v>
      </c>
      <c r="X280" s="574" t="s">
        <v>2389</v>
      </c>
      <c r="Y280" s="575" t="s">
        <v>2663</v>
      </c>
      <c r="Z280" s="575" t="s">
        <v>2663</v>
      </c>
      <c r="AA280" s="574" t="s">
        <v>1693</v>
      </c>
      <c r="AB280" s="574" t="s">
        <v>2319</v>
      </c>
      <c r="AC280" s="574" t="s">
        <v>2320</v>
      </c>
      <c r="AD280" s="574" t="s">
        <v>2321</v>
      </c>
      <c r="AE280" s="574" t="s">
        <v>1446</v>
      </c>
      <c r="AF280" s="574" t="s">
        <v>2321</v>
      </c>
      <c r="AG280" s="576">
        <v>64900</v>
      </c>
      <c r="AH280" s="576">
        <v>0</v>
      </c>
    </row>
    <row r="281" spans="1:34" customFormat="1" x14ac:dyDescent="0.25">
      <c r="A281" s="574" t="s">
        <v>2219</v>
      </c>
      <c r="B281" s="574" t="s">
        <v>2220</v>
      </c>
      <c r="C281" s="574" t="s">
        <v>2221</v>
      </c>
      <c r="D281" s="574" t="s">
        <v>2220</v>
      </c>
      <c r="E281" s="574" t="s">
        <v>2222</v>
      </c>
      <c r="F281" s="574" t="s">
        <v>2223</v>
      </c>
      <c r="G281" s="574" t="s">
        <v>2224</v>
      </c>
      <c r="H281" s="574" t="s">
        <v>2225</v>
      </c>
      <c r="I281" s="574" t="s">
        <v>2226</v>
      </c>
      <c r="J281" s="574" t="s">
        <v>2227</v>
      </c>
      <c r="K281" s="574" t="s">
        <v>2228</v>
      </c>
      <c r="L281" s="574" t="s">
        <v>2229</v>
      </c>
      <c r="M281" s="574" t="s">
        <v>2230</v>
      </c>
      <c r="N281" s="574" t="s">
        <v>2231</v>
      </c>
      <c r="O281" s="574" t="s">
        <v>2232</v>
      </c>
      <c r="P281" s="574" t="s">
        <v>2233</v>
      </c>
      <c r="Q281" s="574" t="s">
        <v>2234</v>
      </c>
      <c r="R281" s="574" t="s">
        <v>2225</v>
      </c>
      <c r="S281" s="574" t="s">
        <v>2737</v>
      </c>
      <c r="T281" s="574" t="s">
        <v>2738</v>
      </c>
      <c r="U281" s="574" t="s">
        <v>2780</v>
      </c>
      <c r="V281" s="574" t="s">
        <v>2238</v>
      </c>
      <c r="W281" s="574" t="s">
        <v>2239</v>
      </c>
      <c r="X281" s="574" t="s">
        <v>2391</v>
      </c>
      <c r="Y281" s="575" t="s">
        <v>2663</v>
      </c>
      <c r="Z281" s="575" t="s">
        <v>2663</v>
      </c>
      <c r="AA281" s="574" t="s">
        <v>1693</v>
      </c>
      <c r="AB281" s="574" t="s">
        <v>2319</v>
      </c>
      <c r="AC281" s="574" t="s">
        <v>2320</v>
      </c>
      <c r="AD281" s="574" t="s">
        <v>2321</v>
      </c>
      <c r="AE281" s="574" t="s">
        <v>1446</v>
      </c>
      <c r="AF281" s="574" t="s">
        <v>2321</v>
      </c>
      <c r="AG281" s="576">
        <v>39648</v>
      </c>
      <c r="AH281" s="576">
        <v>0</v>
      </c>
    </row>
    <row r="282" spans="1:34" customFormat="1" x14ac:dyDescent="0.25">
      <c r="A282" s="574" t="s">
        <v>2219</v>
      </c>
      <c r="B282" s="574" t="s">
        <v>2220</v>
      </c>
      <c r="C282" s="574" t="s">
        <v>2221</v>
      </c>
      <c r="D282" s="574" t="s">
        <v>2220</v>
      </c>
      <c r="E282" s="574" t="s">
        <v>2222</v>
      </c>
      <c r="F282" s="574" t="s">
        <v>2223</v>
      </c>
      <c r="G282" s="574" t="s">
        <v>2224</v>
      </c>
      <c r="H282" s="574" t="s">
        <v>2225</v>
      </c>
      <c r="I282" s="574" t="s">
        <v>2226</v>
      </c>
      <c r="J282" s="574" t="s">
        <v>2227</v>
      </c>
      <c r="K282" s="574" t="s">
        <v>2228</v>
      </c>
      <c r="L282" s="574" t="s">
        <v>2229</v>
      </c>
      <c r="M282" s="574" t="s">
        <v>2230</v>
      </c>
      <c r="N282" s="574" t="s">
        <v>2231</v>
      </c>
      <c r="O282" s="574" t="s">
        <v>2232</v>
      </c>
      <c r="P282" s="574" t="s">
        <v>2233</v>
      </c>
      <c r="Q282" s="574" t="s">
        <v>2234</v>
      </c>
      <c r="R282" s="574" t="s">
        <v>2225</v>
      </c>
      <c r="S282" s="574" t="s">
        <v>2737</v>
      </c>
      <c r="T282" s="574" t="s">
        <v>2738</v>
      </c>
      <c r="U282" s="574" t="s">
        <v>2781</v>
      </c>
      <c r="V282" s="574" t="s">
        <v>2238</v>
      </c>
      <c r="W282" s="574" t="s">
        <v>2239</v>
      </c>
      <c r="X282" s="574" t="s">
        <v>2393</v>
      </c>
      <c r="Y282" s="575" t="s">
        <v>2663</v>
      </c>
      <c r="Z282" s="575" t="s">
        <v>2663</v>
      </c>
      <c r="AA282" s="574" t="s">
        <v>1693</v>
      </c>
      <c r="AB282" s="574" t="s">
        <v>2319</v>
      </c>
      <c r="AC282" s="574" t="s">
        <v>2320</v>
      </c>
      <c r="AD282" s="574" t="s">
        <v>2321</v>
      </c>
      <c r="AE282" s="574" t="s">
        <v>1446</v>
      </c>
      <c r="AF282" s="574" t="s">
        <v>2321</v>
      </c>
      <c r="AG282" s="576">
        <v>177000</v>
      </c>
      <c r="AH282" s="576">
        <v>0</v>
      </c>
    </row>
    <row r="283" spans="1:34" customFormat="1" x14ac:dyDescent="0.25">
      <c r="A283" s="574" t="s">
        <v>2219</v>
      </c>
      <c r="B283" s="574" t="s">
        <v>2220</v>
      </c>
      <c r="C283" s="574" t="s">
        <v>2221</v>
      </c>
      <c r="D283" s="574" t="s">
        <v>2220</v>
      </c>
      <c r="E283" s="574" t="s">
        <v>2222</v>
      </c>
      <c r="F283" s="574" t="s">
        <v>2223</v>
      </c>
      <c r="G283" s="574" t="s">
        <v>2224</v>
      </c>
      <c r="H283" s="574" t="s">
        <v>2225</v>
      </c>
      <c r="I283" s="574" t="s">
        <v>2226</v>
      </c>
      <c r="J283" s="574" t="s">
        <v>2227</v>
      </c>
      <c r="K283" s="574" t="s">
        <v>2228</v>
      </c>
      <c r="L283" s="574" t="s">
        <v>2229</v>
      </c>
      <c r="M283" s="574" t="s">
        <v>2230</v>
      </c>
      <c r="N283" s="574" t="s">
        <v>2231</v>
      </c>
      <c r="O283" s="574" t="s">
        <v>2232</v>
      </c>
      <c r="P283" s="574" t="s">
        <v>2233</v>
      </c>
      <c r="Q283" s="574" t="s">
        <v>2234</v>
      </c>
      <c r="R283" s="574" t="s">
        <v>2225</v>
      </c>
      <c r="S283" s="574" t="s">
        <v>2737</v>
      </c>
      <c r="T283" s="574" t="s">
        <v>2738</v>
      </c>
      <c r="U283" s="574" t="s">
        <v>2782</v>
      </c>
      <c r="V283" s="574" t="s">
        <v>2238</v>
      </c>
      <c r="W283" s="574" t="s">
        <v>2239</v>
      </c>
      <c r="X283" s="574" t="s">
        <v>2395</v>
      </c>
      <c r="Y283" s="575" t="s">
        <v>2663</v>
      </c>
      <c r="Z283" s="575" t="s">
        <v>2663</v>
      </c>
      <c r="AA283" s="574" t="s">
        <v>1693</v>
      </c>
      <c r="AB283" s="574" t="s">
        <v>2319</v>
      </c>
      <c r="AC283" s="574" t="s">
        <v>2320</v>
      </c>
      <c r="AD283" s="574" t="s">
        <v>2321</v>
      </c>
      <c r="AE283" s="574" t="s">
        <v>1446</v>
      </c>
      <c r="AF283" s="574" t="s">
        <v>2321</v>
      </c>
      <c r="AG283" s="576">
        <v>234230</v>
      </c>
      <c r="AH283" s="576">
        <v>0</v>
      </c>
    </row>
    <row r="284" spans="1:34" customFormat="1" x14ac:dyDescent="0.25">
      <c r="A284" s="574" t="s">
        <v>2219</v>
      </c>
      <c r="B284" s="574" t="s">
        <v>2220</v>
      </c>
      <c r="C284" s="574" t="s">
        <v>2221</v>
      </c>
      <c r="D284" s="574" t="s">
        <v>2220</v>
      </c>
      <c r="E284" s="574" t="s">
        <v>2222</v>
      </c>
      <c r="F284" s="574" t="s">
        <v>2223</v>
      </c>
      <c r="G284" s="574" t="s">
        <v>2224</v>
      </c>
      <c r="H284" s="574" t="s">
        <v>2225</v>
      </c>
      <c r="I284" s="574" t="s">
        <v>2226</v>
      </c>
      <c r="J284" s="574" t="s">
        <v>2227</v>
      </c>
      <c r="K284" s="574" t="s">
        <v>2228</v>
      </c>
      <c r="L284" s="574" t="s">
        <v>2229</v>
      </c>
      <c r="M284" s="574" t="s">
        <v>2230</v>
      </c>
      <c r="N284" s="574" t="s">
        <v>2231</v>
      </c>
      <c r="O284" s="574" t="s">
        <v>2232</v>
      </c>
      <c r="P284" s="574" t="s">
        <v>2233</v>
      </c>
      <c r="Q284" s="574" t="s">
        <v>2234</v>
      </c>
      <c r="R284" s="574" t="s">
        <v>2225</v>
      </c>
      <c r="S284" s="574" t="s">
        <v>2737</v>
      </c>
      <c r="T284" s="574" t="s">
        <v>2738</v>
      </c>
      <c r="U284" s="574" t="s">
        <v>2783</v>
      </c>
      <c r="V284" s="574" t="s">
        <v>2238</v>
      </c>
      <c r="W284" s="574" t="s">
        <v>2239</v>
      </c>
      <c r="X284" s="574" t="s">
        <v>2428</v>
      </c>
      <c r="Y284" s="575" t="s">
        <v>2296</v>
      </c>
      <c r="Z284" s="575" t="s">
        <v>2296</v>
      </c>
      <c r="AA284" s="574" t="s">
        <v>1688</v>
      </c>
      <c r="AB284" s="574" t="s">
        <v>2430</v>
      </c>
      <c r="AC284" s="574" t="s">
        <v>2431</v>
      </c>
      <c r="AD284" s="574" t="s">
        <v>99</v>
      </c>
      <c r="AE284" s="574" t="s">
        <v>1531</v>
      </c>
      <c r="AF284" s="574" t="s">
        <v>99</v>
      </c>
      <c r="AG284" s="576">
        <v>929768</v>
      </c>
      <c r="AH284" s="576">
        <v>0</v>
      </c>
    </row>
    <row r="285" spans="1:34" customFormat="1" x14ac:dyDescent="0.25">
      <c r="A285" s="574" t="s">
        <v>2219</v>
      </c>
      <c r="B285" s="574" t="s">
        <v>2220</v>
      </c>
      <c r="C285" s="574" t="s">
        <v>2221</v>
      </c>
      <c r="D285" s="574" t="s">
        <v>2220</v>
      </c>
      <c r="E285" s="574" t="s">
        <v>2222</v>
      </c>
      <c r="F285" s="574" t="s">
        <v>2223</v>
      </c>
      <c r="G285" s="574" t="s">
        <v>2224</v>
      </c>
      <c r="H285" s="574" t="s">
        <v>2225</v>
      </c>
      <c r="I285" s="574" t="s">
        <v>2226</v>
      </c>
      <c r="J285" s="574" t="s">
        <v>2227</v>
      </c>
      <c r="K285" s="574" t="s">
        <v>2228</v>
      </c>
      <c r="L285" s="574" t="s">
        <v>2229</v>
      </c>
      <c r="M285" s="574" t="s">
        <v>2230</v>
      </c>
      <c r="N285" s="574" t="s">
        <v>2231</v>
      </c>
      <c r="O285" s="574" t="s">
        <v>2232</v>
      </c>
      <c r="P285" s="574" t="s">
        <v>2233</v>
      </c>
      <c r="Q285" s="574" t="s">
        <v>2234</v>
      </c>
      <c r="R285" s="574" t="s">
        <v>2225</v>
      </c>
      <c r="S285" s="574" t="s">
        <v>2737</v>
      </c>
      <c r="T285" s="574" t="s">
        <v>2738</v>
      </c>
      <c r="U285" s="574" t="s">
        <v>2784</v>
      </c>
      <c r="V285" s="574" t="s">
        <v>2238</v>
      </c>
      <c r="W285" s="574" t="s">
        <v>2239</v>
      </c>
      <c r="X285" s="574" t="s">
        <v>2433</v>
      </c>
      <c r="Y285" s="575" t="s">
        <v>2296</v>
      </c>
      <c r="Z285" s="575" t="s">
        <v>2296</v>
      </c>
      <c r="AA285" s="574" t="s">
        <v>1688</v>
      </c>
      <c r="AB285" s="574" t="s">
        <v>2430</v>
      </c>
      <c r="AC285" s="574" t="s">
        <v>2431</v>
      </c>
      <c r="AD285" s="574" t="s">
        <v>99</v>
      </c>
      <c r="AE285" s="574" t="s">
        <v>1531</v>
      </c>
      <c r="AF285" s="574" t="s">
        <v>99</v>
      </c>
      <c r="AG285" s="576">
        <v>337500</v>
      </c>
      <c r="AH285" s="576">
        <v>0</v>
      </c>
    </row>
    <row r="286" spans="1:34" customFormat="1" x14ac:dyDescent="0.25">
      <c r="A286" s="574" t="s">
        <v>2219</v>
      </c>
      <c r="B286" s="574" t="s">
        <v>2220</v>
      </c>
      <c r="C286" s="574" t="s">
        <v>2221</v>
      </c>
      <c r="D286" s="574" t="s">
        <v>2220</v>
      </c>
      <c r="E286" s="574" t="s">
        <v>2222</v>
      </c>
      <c r="F286" s="574" t="s">
        <v>2223</v>
      </c>
      <c r="G286" s="574" t="s">
        <v>2224</v>
      </c>
      <c r="H286" s="574" t="s">
        <v>2225</v>
      </c>
      <c r="I286" s="574" t="s">
        <v>2226</v>
      </c>
      <c r="J286" s="574" t="s">
        <v>2227</v>
      </c>
      <c r="K286" s="574" t="s">
        <v>2228</v>
      </c>
      <c r="L286" s="574" t="s">
        <v>2229</v>
      </c>
      <c r="M286" s="574" t="s">
        <v>2230</v>
      </c>
      <c r="N286" s="574" t="s">
        <v>2231</v>
      </c>
      <c r="O286" s="574" t="s">
        <v>2232</v>
      </c>
      <c r="P286" s="574" t="s">
        <v>2233</v>
      </c>
      <c r="Q286" s="574" t="s">
        <v>2234</v>
      </c>
      <c r="R286" s="574" t="s">
        <v>2225</v>
      </c>
      <c r="S286" s="574" t="s">
        <v>2737</v>
      </c>
      <c r="T286" s="574" t="s">
        <v>2738</v>
      </c>
      <c r="U286" s="574" t="s">
        <v>2785</v>
      </c>
      <c r="V286" s="574" t="s">
        <v>2238</v>
      </c>
      <c r="W286" s="574" t="s">
        <v>2239</v>
      </c>
      <c r="X286" s="574" t="s">
        <v>2435</v>
      </c>
      <c r="Y286" s="575" t="s">
        <v>2296</v>
      </c>
      <c r="Z286" s="575" t="s">
        <v>2296</v>
      </c>
      <c r="AA286" s="574" t="s">
        <v>1688</v>
      </c>
      <c r="AB286" s="574" t="s">
        <v>2430</v>
      </c>
      <c r="AC286" s="574" t="s">
        <v>2431</v>
      </c>
      <c r="AD286" s="574" t="s">
        <v>99</v>
      </c>
      <c r="AE286" s="574" t="s">
        <v>1531</v>
      </c>
      <c r="AF286" s="574" t="s">
        <v>99</v>
      </c>
      <c r="AG286" s="576">
        <v>791125</v>
      </c>
      <c r="AH286" s="576">
        <v>0</v>
      </c>
    </row>
    <row r="287" spans="1:34" customFormat="1" x14ac:dyDescent="0.25">
      <c r="A287" s="574" t="s">
        <v>2219</v>
      </c>
      <c r="B287" s="574" t="s">
        <v>2220</v>
      </c>
      <c r="C287" s="574" t="s">
        <v>2221</v>
      </c>
      <c r="D287" s="574" t="s">
        <v>2220</v>
      </c>
      <c r="E287" s="574" t="s">
        <v>2222</v>
      </c>
      <c r="F287" s="574" t="s">
        <v>2223</v>
      </c>
      <c r="G287" s="574" t="s">
        <v>2224</v>
      </c>
      <c r="H287" s="574" t="s">
        <v>2225</v>
      </c>
      <c r="I287" s="574" t="s">
        <v>2226</v>
      </c>
      <c r="J287" s="574" t="s">
        <v>2227</v>
      </c>
      <c r="K287" s="574" t="s">
        <v>2228</v>
      </c>
      <c r="L287" s="574" t="s">
        <v>2229</v>
      </c>
      <c r="M287" s="574" t="s">
        <v>2230</v>
      </c>
      <c r="N287" s="574" t="s">
        <v>2231</v>
      </c>
      <c r="O287" s="574" t="s">
        <v>2232</v>
      </c>
      <c r="P287" s="574" t="s">
        <v>2233</v>
      </c>
      <c r="Q287" s="574" t="s">
        <v>2234</v>
      </c>
      <c r="R287" s="574" t="s">
        <v>2225</v>
      </c>
      <c r="S287" s="574" t="s">
        <v>2737</v>
      </c>
      <c r="T287" s="574" t="s">
        <v>2738</v>
      </c>
      <c r="U287" s="574" t="s">
        <v>2786</v>
      </c>
      <c r="V287" s="574" t="s">
        <v>2238</v>
      </c>
      <c r="W287" s="574" t="s">
        <v>2239</v>
      </c>
      <c r="X287" s="574" t="s">
        <v>2437</v>
      </c>
      <c r="Y287" s="575" t="s">
        <v>2296</v>
      </c>
      <c r="Z287" s="575" t="s">
        <v>2296</v>
      </c>
      <c r="AA287" s="574" t="s">
        <v>1688</v>
      </c>
      <c r="AB287" s="574" t="s">
        <v>2430</v>
      </c>
      <c r="AC287" s="574" t="s">
        <v>2431</v>
      </c>
      <c r="AD287" s="574" t="s">
        <v>99</v>
      </c>
      <c r="AE287" s="574" t="s">
        <v>1531</v>
      </c>
      <c r="AF287" s="574" t="s">
        <v>99</v>
      </c>
      <c r="AG287" s="576">
        <v>1253100</v>
      </c>
      <c r="AH287" s="576">
        <v>0</v>
      </c>
    </row>
    <row r="288" spans="1:34" customFormat="1" x14ac:dyDescent="0.25">
      <c r="A288" s="574" t="s">
        <v>2219</v>
      </c>
      <c r="B288" s="574" t="s">
        <v>2220</v>
      </c>
      <c r="C288" s="574" t="s">
        <v>2221</v>
      </c>
      <c r="D288" s="574" t="s">
        <v>2220</v>
      </c>
      <c r="E288" s="574" t="s">
        <v>2222</v>
      </c>
      <c r="F288" s="574" t="s">
        <v>2223</v>
      </c>
      <c r="G288" s="574" t="s">
        <v>2224</v>
      </c>
      <c r="H288" s="574" t="s">
        <v>2225</v>
      </c>
      <c r="I288" s="574" t="s">
        <v>2226</v>
      </c>
      <c r="J288" s="574" t="s">
        <v>2227</v>
      </c>
      <c r="K288" s="574" t="s">
        <v>2228</v>
      </c>
      <c r="L288" s="574" t="s">
        <v>2229</v>
      </c>
      <c r="M288" s="574" t="s">
        <v>2230</v>
      </c>
      <c r="N288" s="574" t="s">
        <v>2231</v>
      </c>
      <c r="O288" s="574" t="s">
        <v>2232</v>
      </c>
      <c r="P288" s="574" t="s">
        <v>2233</v>
      </c>
      <c r="Q288" s="574" t="s">
        <v>2234</v>
      </c>
      <c r="R288" s="574" t="s">
        <v>2225</v>
      </c>
      <c r="S288" s="574" t="s">
        <v>2737</v>
      </c>
      <c r="T288" s="574" t="s">
        <v>2738</v>
      </c>
      <c r="U288" s="574" t="s">
        <v>2787</v>
      </c>
      <c r="V288" s="574" t="s">
        <v>2238</v>
      </c>
      <c r="W288" s="574" t="s">
        <v>2239</v>
      </c>
      <c r="X288" s="574" t="s">
        <v>2664</v>
      </c>
      <c r="Y288" s="575" t="s">
        <v>2306</v>
      </c>
      <c r="Z288" s="575" t="s">
        <v>2306</v>
      </c>
      <c r="AA288" s="574" t="s">
        <v>1688</v>
      </c>
      <c r="AB288" s="574" t="s">
        <v>2430</v>
      </c>
      <c r="AC288" s="574" t="s">
        <v>2431</v>
      </c>
      <c r="AD288" s="574" t="s">
        <v>99</v>
      </c>
      <c r="AE288" s="574" t="s">
        <v>1531</v>
      </c>
      <c r="AF288" s="574" t="s">
        <v>99</v>
      </c>
      <c r="AG288" s="576">
        <v>183950</v>
      </c>
      <c r="AH288" s="576">
        <v>0</v>
      </c>
    </row>
    <row r="289" spans="1:34" customFormat="1" x14ac:dyDescent="0.25">
      <c r="A289" s="574" t="s">
        <v>2219</v>
      </c>
      <c r="B289" s="574" t="s">
        <v>2220</v>
      </c>
      <c r="C289" s="574" t="s">
        <v>2221</v>
      </c>
      <c r="D289" s="574" t="s">
        <v>2220</v>
      </c>
      <c r="E289" s="574" t="s">
        <v>2222</v>
      </c>
      <c r="F289" s="574" t="s">
        <v>2223</v>
      </c>
      <c r="G289" s="574" t="s">
        <v>2224</v>
      </c>
      <c r="H289" s="574" t="s">
        <v>2225</v>
      </c>
      <c r="I289" s="574" t="s">
        <v>2226</v>
      </c>
      <c r="J289" s="574" t="s">
        <v>2227</v>
      </c>
      <c r="K289" s="574" t="s">
        <v>2228</v>
      </c>
      <c r="L289" s="574" t="s">
        <v>2229</v>
      </c>
      <c r="M289" s="574" t="s">
        <v>2230</v>
      </c>
      <c r="N289" s="574" t="s">
        <v>2231</v>
      </c>
      <c r="O289" s="574" t="s">
        <v>2232</v>
      </c>
      <c r="P289" s="574" t="s">
        <v>2233</v>
      </c>
      <c r="Q289" s="574" t="s">
        <v>2234</v>
      </c>
      <c r="R289" s="574" t="s">
        <v>2225</v>
      </c>
      <c r="S289" s="574" t="s">
        <v>2737</v>
      </c>
      <c r="T289" s="574" t="s">
        <v>2738</v>
      </c>
      <c r="U289" s="574" t="s">
        <v>2787</v>
      </c>
      <c r="V289" s="574" t="s">
        <v>2238</v>
      </c>
      <c r="W289" s="574" t="s">
        <v>2239</v>
      </c>
      <c r="X289" s="574" t="s">
        <v>2664</v>
      </c>
      <c r="Y289" s="575" t="s">
        <v>2306</v>
      </c>
      <c r="Z289" s="575" t="s">
        <v>2665</v>
      </c>
      <c r="AA289" s="574" t="s">
        <v>1688</v>
      </c>
      <c r="AB289" s="574" t="s">
        <v>2430</v>
      </c>
      <c r="AC289" s="574" t="s">
        <v>2431</v>
      </c>
      <c r="AD289" s="574" t="s">
        <v>99</v>
      </c>
      <c r="AE289" s="574" t="s">
        <v>1531</v>
      </c>
      <c r="AF289" s="574" t="s">
        <v>99</v>
      </c>
      <c r="AG289" s="576">
        <v>-183950</v>
      </c>
      <c r="AH289" s="576">
        <v>0</v>
      </c>
    </row>
    <row r="290" spans="1:34" customFormat="1" x14ac:dyDescent="0.25">
      <c r="A290" s="574" t="s">
        <v>2219</v>
      </c>
      <c r="B290" s="574" t="s">
        <v>2220</v>
      </c>
      <c r="C290" s="574" t="s">
        <v>2221</v>
      </c>
      <c r="D290" s="574" t="s">
        <v>2220</v>
      </c>
      <c r="E290" s="574" t="s">
        <v>2222</v>
      </c>
      <c r="F290" s="574" t="s">
        <v>2223</v>
      </c>
      <c r="G290" s="574" t="s">
        <v>2224</v>
      </c>
      <c r="H290" s="574" t="s">
        <v>2225</v>
      </c>
      <c r="I290" s="574" t="s">
        <v>2226</v>
      </c>
      <c r="J290" s="574" t="s">
        <v>2227</v>
      </c>
      <c r="K290" s="574" t="s">
        <v>2228</v>
      </c>
      <c r="L290" s="574" t="s">
        <v>2229</v>
      </c>
      <c r="M290" s="574" t="s">
        <v>2230</v>
      </c>
      <c r="N290" s="574" t="s">
        <v>2231</v>
      </c>
      <c r="O290" s="574" t="s">
        <v>2232</v>
      </c>
      <c r="P290" s="574" t="s">
        <v>2233</v>
      </c>
      <c r="Q290" s="574" t="s">
        <v>2234</v>
      </c>
      <c r="R290" s="574" t="s">
        <v>2225</v>
      </c>
      <c r="S290" s="574" t="s">
        <v>2737</v>
      </c>
      <c r="T290" s="574" t="s">
        <v>2738</v>
      </c>
      <c r="U290" s="574" t="s">
        <v>2788</v>
      </c>
      <c r="V290" s="574" t="s">
        <v>2238</v>
      </c>
      <c r="W290" s="574" t="s">
        <v>2239</v>
      </c>
      <c r="X290" s="574" t="s">
        <v>2443</v>
      </c>
      <c r="Y290" s="575" t="s">
        <v>2306</v>
      </c>
      <c r="Z290" s="575" t="s">
        <v>2306</v>
      </c>
      <c r="AA290" s="574" t="s">
        <v>1691</v>
      </c>
      <c r="AB290" s="574" t="s">
        <v>2297</v>
      </c>
      <c r="AC290" s="574" t="s">
        <v>2298</v>
      </c>
      <c r="AD290" s="574" t="s">
        <v>2299</v>
      </c>
      <c r="AE290" s="574" t="s">
        <v>1468</v>
      </c>
      <c r="AF290" s="574" t="s">
        <v>2299</v>
      </c>
      <c r="AG290" s="576">
        <v>84000</v>
      </c>
      <c r="AH290" s="576">
        <v>0</v>
      </c>
    </row>
    <row r="291" spans="1:34" customFormat="1" x14ac:dyDescent="0.25">
      <c r="A291" s="574" t="s">
        <v>2219</v>
      </c>
      <c r="B291" s="574" t="s">
        <v>2220</v>
      </c>
      <c r="C291" s="574" t="s">
        <v>2221</v>
      </c>
      <c r="D291" s="574" t="s">
        <v>2220</v>
      </c>
      <c r="E291" s="574" t="s">
        <v>2222</v>
      </c>
      <c r="F291" s="574" t="s">
        <v>2223</v>
      </c>
      <c r="G291" s="574" t="s">
        <v>2224</v>
      </c>
      <c r="H291" s="574" t="s">
        <v>2225</v>
      </c>
      <c r="I291" s="574" t="s">
        <v>2226</v>
      </c>
      <c r="J291" s="574" t="s">
        <v>2227</v>
      </c>
      <c r="K291" s="574" t="s">
        <v>2228</v>
      </c>
      <c r="L291" s="574" t="s">
        <v>2229</v>
      </c>
      <c r="M291" s="574" t="s">
        <v>2230</v>
      </c>
      <c r="N291" s="574" t="s">
        <v>2231</v>
      </c>
      <c r="O291" s="574" t="s">
        <v>2232</v>
      </c>
      <c r="P291" s="574" t="s">
        <v>2233</v>
      </c>
      <c r="Q291" s="574" t="s">
        <v>2234</v>
      </c>
      <c r="R291" s="574" t="s">
        <v>2225</v>
      </c>
      <c r="S291" s="574" t="s">
        <v>2737</v>
      </c>
      <c r="T291" s="574" t="s">
        <v>2738</v>
      </c>
      <c r="U291" s="574" t="s">
        <v>2789</v>
      </c>
      <c r="V291" s="574" t="s">
        <v>2238</v>
      </c>
      <c r="W291" s="574" t="s">
        <v>2239</v>
      </c>
      <c r="X291" s="574" t="s">
        <v>2439</v>
      </c>
      <c r="Y291" s="575" t="s">
        <v>2306</v>
      </c>
      <c r="Z291" s="575" t="s">
        <v>2306</v>
      </c>
      <c r="AA291" s="574" t="s">
        <v>1691</v>
      </c>
      <c r="AB291" s="574" t="s">
        <v>2297</v>
      </c>
      <c r="AC291" s="574" t="s">
        <v>2298</v>
      </c>
      <c r="AD291" s="574" t="s">
        <v>2299</v>
      </c>
      <c r="AE291" s="574" t="s">
        <v>1468</v>
      </c>
      <c r="AF291" s="574" t="s">
        <v>2299</v>
      </c>
      <c r="AG291" s="576">
        <v>176250</v>
      </c>
      <c r="AH291" s="576">
        <v>0</v>
      </c>
    </row>
    <row r="292" spans="1:34" customFormat="1" x14ac:dyDescent="0.25">
      <c r="A292" s="574" t="s">
        <v>2219</v>
      </c>
      <c r="B292" s="574" t="s">
        <v>2220</v>
      </c>
      <c r="C292" s="574" t="s">
        <v>2221</v>
      </c>
      <c r="D292" s="574" t="s">
        <v>2220</v>
      </c>
      <c r="E292" s="574" t="s">
        <v>2222</v>
      </c>
      <c r="F292" s="574" t="s">
        <v>2223</v>
      </c>
      <c r="G292" s="574" t="s">
        <v>2224</v>
      </c>
      <c r="H292" s="574" t="s">
        <v>2225</v>
      </c>
      <c r="I292" s="574" t="s">
        <v>2226</v>
      </c>
      <c r="J292" s="574" t="s">
        <v>2227</v>
      </c>
      <c r="K292" s="574" t="s">
        <v>2228</v>
      </c>
      <c r="L292" s="574" t="s">
        <v>2229</v>
      </c>
      <c r="M292" s="574" t="s">
        <v>2230</v>
      </c>
      <c r="N292" s="574" t="s">
        <v>2231</v>
      </c>
      <c r="O292" s="574" t="s">
        <v>2232</v>
      </c>
      <c r="P292" s="574" t="s">
        <v>2233</v>
      </c>
      <c r="Q292" s="574" t="s">
        <v>2234</v>
      </c>
      <c r="R292" s="574" t="s">
        <v>2225</v>
      </c>
      <c r="S292" s="574" t="s">
        <v>2737</v>
      </c>
      <c r="T292" s="574" t="s">
        <v>2738</v>
      </c>
      <c r="U292" s="574" t="s">
        <v>2790</v>
      </c>
      <c r="V292" s="574" t="s">
        <v>2238</v>
      </c>
      <c r="W292" s="574" t="s">
        <v>2239</v>
      </c>
      <c r="X292" s="574" t="s">
        <v>2456</v>
      </c>
      <c r="Y292" s="575" t="s">
        <v>2366</v>
      </c>
      <c r="Z292" s="575" t="s">
        <v>2366</v>
      </c>
      <c r="AA292" s="574" t="s">
        <v>1688</v>
      </c>
      <c r="AB292" s="574" t="s">
        <v>2430</v>
      </c>
      <c r="AC292" s="574" t="s">
        <v>2431</v>
      </c>
      <c r="AD292" s="574" t="s">
        <v>99</v>
      </c>
      <c r="AE292" s="574" t="s">
        <v>1531</v>
      </c>
      <c r="AF292" s="574" t="s">
        <v>99</v>
      </c>
      <c r="AG292" s="576">
        <v>361801</v>
      </c>
      <c r="AH292" s="576">
        <v>0</v>
      </c>
    </row>
    <row r="293" spans="1:34" customFormat="1" x14ac:dyDescent="0.25">
      <c r="A293" s="574" t="s">
        <v>2219</v>
      </c>
      <c r="B293" s="574" t="s">
        <v>2220</v>
      </c>
      <c r="C293" s="574" t="s">
        <v>2221</v>
      </c>
      <c r="D293" s="574" t="s">
        <v>2220</v>
      </c>
      <c r="E293" s="574" t="s">
        <v>2222</v>
      </c>
      <c r="F293" s="574" t="s">
        <v>2223</v>
      </c>
      <c r="G293" s="574" t="s">
        <v>2224</v>
      </c>
      <c r="H293" s="574" t="s">
        <v>2225</v>
      </c>
      <c r="I293" s="574" t="s">
        <v>2226</v>
      </c>
      <c r="J293" s="574" t="s">
        <v>2227</v>
      </c>
      <c r="K293" s="574" t="s">
        <v>2228</v>
      </c>
      <c r="L293" s="574" t="s">
        <v>2229</v>
      </c>
      <c r="M293" s="574" t="s">
        <v>2230</v>
      </c>
      <c r="N293" s="574" t="s">
        <v>2231</v>
      </c>
      <c r="O293" s="574" t="s">
        <v>2232</v>
      </c>
      <c r="P293" s="574" t="s">
        <v>2233</v>
      </c>
      <c r="Q293" s="574" t="s">
        <v>2234</v>
      </c>
      <c r="R293" s="574" t="s">
        <v>2225</v>
      </c>
      <c r="S293" s="574" t="s">
        <v>2737</v>
      </c>
      <c r="T293" s="574" t="s">
        <v>2738</v>
      </c>
      <c r="U293" s="574" t="s">
        <v>2791</v>
      </c>
      <c r="V293" s="574" t="s">
        <v>2238</v>
      </c>
      <c r="W293" s="574" t="s">
        <v>2239</v>
      </c>
      <c r="X293" s="574" t="s">
        <v>2720</v>
      </c>
      <c r="Y293" s="575" t="s">
        <v>2366</v>
      </c>
      <c r="Z293" s="575" t="s">
        <v>2366</v>
      </c>
      <c r="AA293" s="574" t="s">
        <v>1688</v>
      </c>
      <c r="AB293" s="574" t="s">
        <v>2430</v>
      </c>
      <c r="AC293" s="574" t="s">
        <v>2431</v>
      </c>
      <c r="AD293" s="574" t="s">
        <v>99</v>
      </c>
      <c r="AE293" s="574" t="s">
        <v>1531</v>
      </c>
      <c r="AF293" s="574" t="s">
        <v>99</v>
      </c>
      <c r="AG293" s="576">
        <v>851100</v>
      </c>
      <c r="AH293" s="576">
        <v>0</v>
      </c>
    </row>
    <row r="294" spans="1:34" customFormat="1" x14ac:dyDescent="0.25">
      <c r="A294" s="574" t="s">
        <v>2219</v>
      </c>
      <c r="B294" s="574" t="s">
        <v>2220</v>
      </c>
      <c r="C294" s="574" t="s">
        <v>2221</v>
      </c>
      <c r="D294" s="574" t="s">
        <v>2220</v>
      </c>
      <c r="E294" s="574" t="s">
        <v>2222</v>
      </c>
      <c r="F294" s="574" t="s">
        <v>2223</v>
      </c>
      <c r="G294" s="574" t="s">
        <v>2224</v>
      </c>
      <c r="H294" s="574" t="s">
        <v>2225</v>
      </c>
      <c r="I294" s="574" t="s">
        <v>2226</v>
      </c>
      <c r="J294" s="574" t="s">
        <v>2227</v>
      </c>
      <c r="K294" s="574" t="s">
        <v>2228</v>
      </c>
      <c r="L294" s="574" t="s">
        <v>2229</v>
      </c>
      <c r="M294" s="574" t="s">
        <v>2230</v>
      </c>
      <c r="N294" s="574" t="s">
        <v>2231</v>
      </c>
      <c r="O294" s="574" t="s">
        <v>2232</v>
      </c>
      <c r="P294" s="574" t="s">
        <v>2233</v>
      </c>
      <c r="Q294" s="574" t="s">
        <v>2234</v>
      </c>
      <c r="R294" s="574" t="s">
        <v>2225</v>
      </c>
      <c r="S294" s="574" t="s">
        <v>2737</v>
      </c>
      <c r="T294" s="574" t="s">
        <v>2738</v>
      </c>
      <c r="U294" s="574" t="s">
        <v>2791</v>
      </c>
      <c r="V294" s="574" t="s">
        <v>2238</v>
      </c>
      <c r="W294" s="574" t="s">
        <v>2239</v>
      </c>
      <c r="X294" s="574" t="s">
        <v>2720</v>
      </c>
      <c r="Y294" s="575" t="s">
        <v>2366</v>
      </c>
      <c r="Z294" s="575" t="s">
        <v>2669</v>
      </c>
      <c r="AA294" s="574" t="s">
        <v>1688</v>
      </c>
      <c r="AB294" s="574" t="s">
        <v>2430</v>
      </c>
      <c r="AC294" s="574" t="s">
        <v>2431</v>
      </c>
      <c r="AD294" s="574" t="s">
        <v>99</v>
      </c>
      <c r="AE294" s="574" t="s">
        <v>1531</v>
      </c>
      <c r="AF294" s="574" t="s">
        <v>99</v>
      </c>
      <c r="AG294" s="576">
        <v>-851100</v>
      </c>
      <c r="AH294" s="576">
        <v>0</v>
      </c>
    </row>
    <row r="295" spans="1:34" customFormat="1" x14ac:dyDescent="0.25">
      <c r="A295" s="574" t="s">
        <v>2219</v>
      </c>
      <c r="B295" s="574" t="s">
        <v>2220</v>
      </c>
      <c r="C295" s="574" t="s">
        <v>2221</v>
      </c>
      <c r="D295" s="574" t="s">
        <v>2220</v>
      </c>
      <c r="E295" s="574" t="s">
        <v>2222</v>
      </c>
      <c r="F295" s="574" t="s">
        <v>2223</v>
      </c>
      <c r="G295" s="574" t="s">
        <v>2224</v>
      </c>
      <c r="H295" s="574" t="s">
        <v>2225</v>
      </c>
      <c r="I295" s="574" t="s">
        <v>2226</v>
      </c>
      <c r="J295" s="574" t="s">
        <v>2227</v>
      </c>
      <c r="K295" s="574" t="s">
        <v>2228</v>
      </c>
      <c r="L295" s="574" t="s">
        <v>2229</v>
      </c>
      <c r="M295" s="574" t="s">
        <v>2230</v>
      </c>
      <c r="N295" s="574" t="s">
        <v>2231</v>
      </c>
      <c r="O295" s="574" t="s">
        <v>2232</v>
      </c>
      <c r="P295" s="574" t="s">
        <v>2233</v>
      </c>
      <c r="Q295" s="574" t="s">
        <v>2234</v>
      </c>
      <c r="R295" s="574" t="s">
        <v>2225</v>
      </c>
      <c r="S295" s="574" t="s">
        <v>2737</v>
      </c>
      <c r="T295" s="574" t="s">
        <v>2738</v>
      </c>
      <c r="U295" s="574" t="s">
        <v>2792</v>
      </c>
      <c r="V295" s="574" t="s">
        <v>2238</v>
      </c>
      <c r="W295" s="574" t="s">
        <v>2239</v>
      </c>
      <c r="X295" s="574" t="s">
        <v>2721</v>
      </c>
      <c r="Y295" s="575" t="s">
        <v>2366</v>
      </c>
      <c r="Z295" s="575" t="s">
        <v>2366</v>
      </c>
      <c r="AA295" s="574" t="s">
        <v>1693</v>
      </c>
      <c r="AB295" s="574" t="s">
        <v>2319</v>
      </c>
      <c r="AC295" s="574" t="s">
        <v>2320</v>
      </c>
      <c r="AD295" s="574" t="s">
        <v>2321</v>
      </c>
      <c r="AE295" s="574" t="s">
        <v>1446</v>
      </c>
      <c r="AF295" s="574" t="s">
        <v>2321</v>
      </c>
      <c r="AG295" s="576">
        <v>1267200</v>
      </c>
      <c r="AH295" s="576">
        <v>0</v>
      </c>
    </row>
    <row r="296" spans="1:34" customFormat="1" x14ac:dyDescent="0.25">
      <c r="A296" s="574" t="s">
        <v>2219</v>
      </c>
      <c r="B296" s="574" t="s">
        <v>2220</v>
      </c>
      <c r="C296" s="574" t="s">
        <v>2221</v>
      </c>
      <c r="D296" s="574" t="s">
        <v>2220</v>
      </c>
      <c r="E296" s="574" t="s">
        <v>2222</v>
      </c>
      <c r="F296" s="574" t="s">
        <v>2223</v>
      </c>
      <c r="G296" s="574" t="s">
        <v>2224</v>
      </c>
      <c r="H296" s="574" t="s">
        <v>2225</v>
      </c>
      <c r="I296" s="574" t="s">
        <v>2226</v>
      </c>
      <c r="J296" s="574" t="s">
        <v>2227</v>
      </c>
      <c r="K296" s="574" t="s">
        <v>2228</v>
      </c>
      <c r="L296" s="574" t="s">
        <v>2229</v>
      </c>
      <c r="M296" s="574" t="s">
        <v>2230</v>
      </c>
      <c r="N296" s="574" t="s">
        <v>2231</v>
      </c>
      <c r="O296" s="574" t="s">
        <v>2232</v>
      </c>
      <c r="P296" s="574" t="s">
        <v>2233</v>
      </c>
      <c r="Q296" s="574" t="s">
        <v>2234</v>
      </c>
      <c r="R296" s="574" t="s">
        <v>2225</v>
      </c>
      <c r="S296" s="574" t="s">
        <v>2737</v>
      </c>
      <c r="T296" s="574" t="s">
        <v>2738</v>
      </c>
      <c r="U296" s="574" t="s">
        <v>2792</v>
      </c>
      <c r="V296" s="574" t="s">
        <v>2238</v>
      </c>
      <c r="W296" s="574" t="s">
        <v>2239</v>
      </c>
      <c r="X296" s="574" t="s">
        <v>2721</v>
      </c>
      <c r="Y296" s="575" t="s">
        <v>2366</v>
      </c>
      <c r="Z296" s="575" t="s">
        <v>2669</v>
      </c>
      <c r="AA296" s="574" t="s">
        <v>1693</v>
      </c>
      <c r="AB296" s="574" t="s">
        <v>2319</v>
      </c>
      <c r="AC296" s="574" t="s">
        <v>2320</v>
      </c>
      <c r="AD296" s="574" t="s">
        <v>2321</v>
      </c>
      <c r="AE296" s="574" t="s">
        <v>1446</v>
      </c>
      <c r="AF296" s="574" t="s">
        <v>2321</v>
      </c>
      <c r="AG296" s="576">
        <v>-1267200</v>
      </c>
      <c r="AH296" s="576">
        <v>0</v>
      </c>
    </row>
    <row r="297" spans="1:34" customFormat="1" x14ac:dyDescent="0.25">
      <c r="A297" s="574" t="s">
        <v>2219</v>
      </c>
      <c r="B297" s="574" t="s">
        <v>2220</v>
      </c>
      <c r="C297" s="574" t="s">
        <v>2221</v>
      </c>
      <c r="D297" s="574" t="s">
        <v>2220</v>
      </c>
      <c r="E297" s="574" t="s">
        <v>2222</v>
      </c>
      <c r="F297" s="574" t="s">
        <v>2223</v>
      </c>
      <c r="G297" s="574" t="s">
        <v>2224</v>
      </c>
      <c r="H297" s="574" t="s">
        <v>2225</v>
      </c>
      <c r="I297" s="574" t="s">
        <v>2226</v>
      </c>
      <c r="J297" s="574" t="s">
        <v>2227</v>
      </c>
      <c r="K297" s="574" t="s">
        <v>2228</v>
      </c>
      <c r="L297" s="574" t="s">
        <v>2229</v>
      </c>
      <c r="M297" s="574" t="s">
        <v>2230</v>
      </c>
      <c r="N297" s="574" t="s">
        <v>2231</v>
      </c>
      <c r="O297" s="574" t="s">
        <v>2232</v>
      </c>
      <c r="P297" s="574" t="s">
        <v>2233</v>
      </c>
      <c r="Q297" s="574" t="s">
        <v>2234</v>
      </c>
      <c r="R297" s="574" t="s">
        <v>2225</v>
      </c>
      <c r="S297" s="574" t="s">
        <v>2737</v>
      </c>
      <c r="T297" s="574" t="s">
        <v>2738</v>
      </c>
      <c r="U297" s="574" t="s">
        <v>2793</v>
      </c>
      <c r="V297" s="574" t="s">
        <v>2238</v>
      </c>
      <c r="W297" s="574" t="s">
        <v>2239</v>
      </c>
      <c r="X297" s="574" t="s">
        <v>2463</v>
      </c>
      <c r="Y297" s="575" t="s">
        <v>2372</v>
      </c>
      <c r="Z297" s="575" t="s">
        <v>2372</v>
      </c>
      <c r="AA297" s="574" t="s">
        <v>1688</v>
      </c>
      <c r="AB297" s="574" t="s">
        <v>2430</v>
      </c>
      <c r="AC297" s="574" t="s">
        <v>2431</v>
      </c>
      <c r="AD297" s="574" t="s">
        <v>99</v>
      </c>
      <c r="AE297" s="574" t="s">
        <v>1531</v>
      </c>
      <c r="AF297" s="574" t="s">
        <v>99</v>
      </c>
      <c r="AG297" s="576">
        <v>436518</v>
      </c>
      <c r="AH297" s="576">
        <v>0</v>
      </c>
    </row>
    <row r="298" spans="1:34" customFormat="1" x14ac:dyDescent="0.25">
      <c r="A298" s="574" t="s">
        <v>2219</v>
      </c>
      <c r="B298" s="574" t="s">
        <v>2220</v>
      </c>
      <c r="C298" s="574" t="s">
        <v>2221</v>
      </c>
      <c r="D298" s="574" t="s">
        <v>2220</v>
      </c>
      <c r="E298" s="574" t="s">
        <v>2222</v>
      </c>
      <c r="F298" s="574" t="s">
        <v>2223</v>
      </c>
      <c r="G298" s="574" t="s">
        <v>2224</v>
      </c>
      <c r="H298" s="574" t="s">
        <v>2225</v>
      </c>
      <c r="I298" s="574" t="s">
        <v>2226</v>
      </c>
      <c r="J298" s="574" t="s">
        <v>2227</v>
      </c>
      <c r="K298" s="574" t="s">
        <v>2228</v>
      </c>
      <c r="L298" s="574" t="s">
        <v>2229</v>
      </c>
      <c r="M298" s="574" t="s">
        <v>2230</v>
      </c>
      <c r="N298" s="574" t="s">
        <v>2231</v>
      </c>
      <c r="O298" s="574" t="s">
        <v>2232</v>
      </c>
      <c r="P298" s="574" t="s">
        <v>2233</v>
      </c>
      <c r="Q298" s="574" t="s">
        <v>2234</v>
      </c>
      <c r="R298" s="574" t="s">
        <v>2225</v>
      </c>
      <c r="S298" s="574" t="s">
        <v>2737</v>
      </c>
      <c r="T298" s="574" t="s">
        <v>2738</v>
      </c>
      <c r="U298" s="574" t="s">
        <v>2794</v>
      </c>
      <c r="V298" s="574" t="s">
        <v>2238</v>
      </c>
      <c r="W298" s="574" t="s">
        <v>2239</v>
      </c>
      <c r="X298" s="574" t="s">
        <v>2466</v>
      </c>
      <c r="Y298" s="575" t="s">
        <v>2372</v>
      </c>
      <c r="Z298" s="575" t="s">
        <v>2372</v>
      </c>
      <c r="AA298" s="574" t="s">
        <v>1691</v>
      </c>
      <c r="AB298" s="574" t="s">
        <v>2297</v>
      </c>
      <c r="AC298" s="574" t="s">
        <v>2298</v>
      </c>
      <c r="AD298" s="574" t="s">
        <v>2299</v>
      </c>
      <c r="AE298" s="574" t="s">
        <v>1468</v>
      </c>
      <c r="AF298" s="574" t="s">
        <v>2299</v>
      </c>
      <c r="AG298" s="576">
        <v>70080</v>
      </c>
      <c r="AH298" s="576">
        <v>0</v>
      </c>
    </row>
    <row r="299" spans="1:34" customFormat="1" x14ac:dyDescent="0.25">
      <c r="A299" s="574" t="s">
        <v>2219</v>
      </c>
      <c r="B299" s="574" t="s">
        <v>2220</v>
      </c>
      <c r="C299" s="574" t="s">
        <v>2221</v>
      </c>
      <c r="D299" s="574" t="s">
        <v>2220</v>
      </c>
      <c r="E299" s="574" t="s">
        <v>2222</v>
      </c>
      <c r="F299" s="574" t="s">
        <v>2223</v>
      </c>
      <c r="G299" s="574" t="s">
        <v>2224</v>
      </c>
      <c r="H299" s="574" t="s">
        <v>2225</v>
      </c>
      <c r="I299" s="574" t="s">
        <v>2226</v>
      </c>
      <c r="J299" s="574" t="s">
        <v>2227</v>
      </c>
      <c r="K299" s="574" t="s">
        <v>2228</v>
      </c>
      <c r="L299" s="574" t="s">
        <v>2229</v>
      </c>
      <c r="M299" s="574" t="s">
        <v>2230</v>
      </c>
      <c r="N299" s="574" t="s">
        <v>2231</v>
      </c>
      <c r="O299" s="574" t="s">
        <v>2232</v>
      </c>
      <c r="P299" s="574" t="s">
        <v>2233</v>
      </c>
      <c r="Q299" s="574" t="s">
        <v>2234</v>
      </c>
      <c r="R299" s="574" t="s">
        <v>2225</v>
      </c>
      <c r="S299" s="574" t="s">
        <v>2737</v>
      </c>
      <c r="T299" s="574" t="s">
        <v>2738</v>
      </c>
      <c r="U299" s="574" t="s">
        <v>2795</v>
      </c>
      <c r="V299" s="574" t="s">
        <v>2238</v>
      </c>
      <c r="W299" s="574" t="s">
        <v>2239</v>
      </c>
      <c r="X299" s="574" t="s">
        <v>2468</v>
      </c>
      <c r="Y299" s="575" t="s">
        <v>2372</v>
      </c>
      <c r="Z299" s="575" t="s">
        <v>2372</v>
      </c>
      <c r="AA299" s="574" t="s">
        <v>1692</v>
      </c>
      <c r="AB299" s="574" t="s">
        <v>2307</v>
      </c>
      <c r="AC299" s="574" t="s">
        <v>2308</v>
      </c>
      <c r="AD299" s="574" t="s">
        <v>2309</v>
      </c>
      <c r="AE299" s="574" t="s">
        <v>1490</v>
      </c>
      <c r="AF299" s="574" t="s">
        <v>176</v>
      </c>
      <c r="AG299" s="576">
        <v>114170</v>
      </c>
      <c r="AH299" s="576">
        <v>0</v>
      </c>
    </row>
    <row r="300" spans="1:34" customFormat="1" x14ac:dyDescent="0.25">
      <c r="A300" s="574" t="s">
        <v>2219</v>
      </c>
      <c r="B300" s="574" t="s">
        <v>2220</v>
      </c>
      <c r="C300" s="574" t="s">
        <v>2221</v>
      </c>
      <c r="D300" s="574" t="s">
        <v>2220</v>
      </c>
      <c r="E300" s="574" t="s">
        <v>2222</v>
      </c>
      <c r="F300" s="574" t="s">
        <v>2223</v>
      </c>
      <c r="G300" s="574" t="s">
        <v>2224</v>
      </c>
      <c r="H300" s="574" t="s">
        <v>2225</v>
      </c>
      <c r="I300" s="574" t="s">
        <v>2226</v>
      </c>
      <c r="J300" s="574" t="s">
        <v>2227</v>
      </c>
      <c r="K300" s="574" t="s">
        <v>2228</v>
      </c>
      <c r="L300" s="574" t="s">
        <v>2229</v>
      </c>
      <c r="M300" s="574" t="s">
        <v>2230</v>
      </c>
      <c r="N300" s="574" t="s">
        <v>2231</v>
      </c>
      <c r="O300" s="574" t="s">
        <v>2232</v>
      </c>
      <c r="P300" s="574" t="s">
        <v>2233</v>
      </c>
      <c r="Q300" s="574" t="s">
        <v>2234</v>
      </c>
      <c r="R300" s="574" t="s">
        <v>2225</v>
      </c>
      <c r="S300" s="574" t="s">
        <v>2737</v>
      </c>
      <c r="T300" s="574" t="s">
        <v>2738</v>
      </c>
      <c r="U300" s="574" t="s">
        <v>2795</v>
      </c>
      <c r="V300" s="574" t="s">
        <v>2238</v>
      </c>
      <c r="W300" s="574" t="s">
        <v>2239</v>
      </c>
      <c r="X300" s="574" t="s">
        <v>2468</v>
      </c>
      <c r="Y300" s="575" t="s">
        <v>2372</v>
      </c>
      <c r="Z300" s="575" t="s">
        <v>2372</v>
      </c>
      <c r="AA300" s="574" t="s">
        <v>1693</v>
      </c>
      <c r="AB300" s="574" t="s">
        <v>2319</v>
      </c>
      <c r="AC300" s="574" t="s">
        <v>2320</v>
      </c>
      <c r="AD300" s="574" t="s">
        <v>2321</v>
      </c>
      <c r="AE300" s="574" t="s">
        <v>1446</v>
      </c>
      <c r="AF300" s="574" t="s">
        <v>2321</v>
      </c>
      <c r="AG300" s="576">
        <v>75166.8</v>
      </c>
      <c r="AH300" s="576">
        <v>0</v>
      </c>
    </row>
    <row r="301" spans="1:34" customFormat="1" x14ac:dyDescent="0.25">
      <c r="A301" s="574" t="s">
        <v>2219</v>
      </c>
      <c r="B301" s="574" t="s">
        <v>2220</v>
      </c>
      <c r="C301" s="574" t="s">
        <v>2221</v>
      </c>
      <c r="D301" s="574" t="s">
        <v>2220</v>
      </c>
      <c r="E301" s="574" t="s">
        <v>2222</v>
      </c>
      <c r="F301" s="574" t="s">
        <v>2223</v>
      </c>
      <c r="G301" s="574" t="s">
        <v>2224</v>
      </c>
      <c r="H301" s="574" t="s">
        <v>2225</v>
      </c>
      <c r="I301" s="574" t="s">
        <v>2226</v>
      </c>
      <c r="J301" s="574" t="s">
        <v>2227</v>
      </c>
      <c r="K301" s="574" t="s">
        <v>2228</v>
      </c>
      <c r="L301" s="574" t="s">
        <v>2229</v>
      </c>
      <c r="M301" s="574" t="s">
        <v>2230</v>
      </c>
      <c r="N301" s="574" t="s">
        <v>2231</v>
      </c>
      <c r="O301" s="574" t="s">
        <v>2232</v>
      </c>
      <c r="P301" s="574" t="s">
        <v>2233</v>
      </c>
      <c r="Q301" s="574" t="s">
        <v>2234</v>
      </c>
      <c r="R301" s="574" t="s">
        <v>2225</v>
      </c>
      <c r="S301" s="574" t="s">
        <v>2737</v>
      </c>
      <c r="T301" s="574" t="s">
        <v>2738</v>
      </c>
      <c r="U301" s="574" t="s">
        <v>2796</v>
      </c>
      <c r="V301" s="574" t="s">
        <v>2238</v>
      </c>
      <c r="W301" s="574" t="s">
        <v>2239</v>
      </c>
      <c r="X301" s="574" t="s">
        <v>2470</v>
      </c>
      <c r="Y301" s="575" t="s">
        <v>2666</v>
      </c>
      <c r="Z301" s="575" t="s">
        <v>2666</v>
      </c>
      <c r="AA301" s="574" t="s">
        <v>1691</v>
      </c>
      <c r="AB301" s="574" t="s">
        <v>2297</v>
      </c>
      <c r="AC301" s="574" t="s">
        <v>2298</v>
      </c>
      <c r="AD301" s="574" t="s">
        <v>2299</v>
      </c>
      <c r="AE301" s="574" t="s">
        <v>1468</v>
      </c>
      <c r="AF301" s="574" t="s">
        <v>2299</v>
      </c>
      <c r="AG301" s="576">
        <v>148500</v>
      </c>
      <c r="AH301" s="576">
        <v>0</v>
      </c>
    </row>
    <row r="302" spans="1:34" customFormat="1" x14ac:dyDescent="0.25">
      <c r="A302" s="574" t="s">
        <v>2219</v>
      </c>
      <c r="B302" s="574" t="s">
        <v>2220</v>
      </c>
      <c r="C302" s="574" t="s">
        <v>2221</v>
      </c>
      <c r="D302" s="574" t="s">
        <v>2220</v>
      </c>
      <c r="E302" s="574" t="s">
        <v>2222</v>
      </c>
      <c r="F302" s="574" t="s">
        <v>2223</v>
      </c>
      <c r="G302" s="574" t="s">
        <v>2224</v>
      </c>
      <c r="H302" s="574" t="s">
        <v>2225</v>
      </c>
      <c r="I302" s="574" t="s">
        <v>2226</v>
      </c>
      <c r="J302" s="574" t="s">
        <v>2227</v>
      </c>
      <c r="K302" s="574" t="s">
        <v>2228</v>
      </c>
      <c r="L302" s="574" t="s">
        <v>2229</v>
      </c>
      <c r="M302" s="574" t="s">
        <v>2230</v>
      </c>
      <c r="N302" s="574" t="s">
        <v>2231</v>
      </c>
      <c r="O302" s="574" t="s">
        <v>2232</v>
      </c>
      <c r="P302" s="574" t="s">
        <v>2233</v>
      </c>
      <c r="Q302" s="574" t="s">
        <v>2234</v>
      </c>
      <c r="R302" s="574" t="s">
        <v>2225</v>
      </c>
      <c r="S302" s="574" t="s">
        <v>2737</v>
      </c>
      <c r="T302" s="574" t="s">
        <v>2738</v>
      </c>
      <c r="U302" s="574" t="s">
        <v>2797</v>
      </c>
      <c r="V302" s="574" t="s">
        <v>2238</v>
      </c>
      <c r="W302" s="574" t="s">
        <v>2239</v>
      </c>
      <c r="X302" s="574" t="s">
        <v>2478</v>
      </c>
      <c r="Y302" s="575" t="s">
        <v>2722</v>
      </c>
      <c r="Z302" s="575" t="s">
        <v>2722</v>
      </c>
      <c r="AA302" s="574" t="s">
        <v>1693</v>
      </c>
      <c r="AB302" s="574" t="s">
        <v>2319</v>
      </c>
      <c r="AC302" s="574" t="s">
        <v>2320</v>
      </c>
      <c r="AD302" s="574" t="s">
        <v>2321</v>
      </c>
      <c r="AE302" s="574" t="s">
        <v>1446</v>
      </c>
      <c r="AF302" s="574" t="s">
        <v>2321</v>
      </c>
      <c r="AG302" s="576">
        <v>29087</v>
      </c>
      <c r="AH302" s="576">
        <v>0</v>
      </c>
    </row>
    <row r="303" spans="1:34" customFormat="1" x14ac:dyDescent="0.25">
      <c r="A303" s="574" t="s">
        <v>2219</v>
      </c>
      <c r="B303" s="574" t="s">
        <v>2220</v>
      </c>
      <c r="C303" s="574" t="s">
        <v>2221</v>
      </c>
      <c r="D303" s="574" t="s">
        <v>2220</v>
      </c>
      <c r="E303" s="574" t="s">
        <v>2222</v>
      </c>
      <c r="F303" s="574" t="s">
        <v>2223</v>
      </c>
      <c r="G303" s="574" t="s">
        <v>2224</v>
      </c>
      <c r="H303" s="574" t="s">
        <v>2225</v>
      </c>
      <c r="I303" s="574" t="s">
        <v>2226</v>
      </c>
      <c r="J303" s="574" t="s">
        <v>2227</v>
      </c>
      <c r="K303" s="574" t="s">
        <v>2228</v>
      </c>
      <c r="L303" s="574" t="s">
        <v>2229</v>
      </c>
      <c r="M303" s="574" t="s">
        <v>2230</v>
      </c>
      <c r="N303" s="574" t="s">
        <v>2231</v>
      </c>
      <c r="O303" s="574" t="s">
        <v>2232</v>
      </c>
      <c r="P303" s="574" t="s">
        <v>2233</v>
      </c>
      <c r="Q303" s="574" t="s">
        <v>2234</v>
      </c>
      <c r="R303" s="574" t="s">
        <v>2225</v>
      </c>
      <c r="S303" s="574" t="s">
        <v>2737</v>
      </c>
      <c r="T303" s="574" t="s">
        <v>2738</v>
      </c>
      <c r="U303" s="574" t="s">
        <v>2798</v>
      </c>
      <c r="V303" s="574" t="s">
        <v>2238</v>
      </c>
      <c r="W303" s="574" t="s">
        <v>2239</v>
      </c>
      <c r="X303" s="574" t="s">
        <v>2473</v>
      </c>
      <c r="Y303" s="575" t="s">
        <v>2722</v>
      </c>
      <c r="Z303" s="575" t="s">
        <v>2722</v>
      </c>
      <c r="AA303" s="574" t="s">
        <v>1690</v>
      </c>
      <c r="AB303" s="574" t="s">
        <v>2475</v>
      </c>
      <c r="AC303" s="574" t="s">
        <v>2476</v>
      </c>
      <c r="AD303" s="574" t="s">
        <v>104</v>
      </c>
      <c r="AE303" s="574" t="s">
        <v>1676</v>
      </c>
      <c r="AF303" s="574" t="s">
        <v>104</v>
      </c>
      <c r="AG303" s="576">
        <v>627.16999999999996</v>
      </c>
      <c r="AH303" s="576">
        <v>0</v>
      </c>
    </row>
    <row r="304" spans="1:34" customFormat="1" x14ac:dyDescent="0.25">
      <c r="A304" s="574" t="s">
        <v>2219</v>
      </c>
      <c r="B304" s="574" t="s">
        <v>2220</v>
      </c>
      <c r="C304" s="574" t="s">
        <v>2221</v>
      </c>
      <c r="D304" s="574" t="s">
        <v>2220</v>
      </c>
      <c r="E304" s="574" t="s">
        <v>2222</v>
      </c>
      <c r="F304" s="574" t="s">
        <v>2223</v>
      </c>
      <c r="G304" s="574" t="s">
        <v>2224</v>
      </c>
      <c r="H304" s="574" t="s">
        <v>2225</v>
      </c>
      <c r="I304" s="574" t="s">
        <v>2226</v>
      </c>
      <c r="J304" s="574" t="s">
        <v>2227</v>
      </c>
      <c r="K304" s="574" t="s">
        <v>2228</v>
      </c>
      <c r="L304" s="574" t="s">
        <v>2229</v>
      </c>
      <c r="M304" s="574" t="s">
        <v>2230</v>
      </c>
      <c r="N304" s="574" t="s">
        <v>2231</v>
      </c>
      <c r="O304" s="574" t="s">
        <v>2232</v>
      </c>
      <c r="P304" s="574" t="s">
        <v>2233</v>
      </c>
      <c r="Q304" s="574" t="s">
        <v>2234</v>
      </c>
      <c r="R304" s="574" t="s">
        <v>2225</v>
      </c>
      <c r="S304" s="574" t="s">
        <v>2737</v>
      </c>
      <c r="T304" s="574" t="s">
        <v>2738</v>
      </c>
      <c r="U304" s="574" t="s">
        <v>2798</v>
      </c>
      <c r="V304" s="574" t="s">
        <v>2238</v>
      </c>
      <c r="W304" s="574" t="s">
        <v>2239</v>
      </c>
      <c r="X304" s="574" t="s">
        <v>2473</v>
      </c>
      <c r="Y304" s="575" t="s">
        <v>2722</v>
      </c>
      <c r="Z304" s="575" t="s">
        <v>2722</v>
      </c>
      <c r="AA304" s="574" t="s">
        <v>1692</v>
      </c>
      <c r="AB304" s="574" t="s">
        <v>2307</v>
      </c>
      <c r="AC304" s="574" t="s">
        <v>2308</v>
      </c>
      <c r="AD304" s="574" t="s">
        <v>2309</v>
      </c>
      <c r="AE304" s="574" t="s">
        <v>1490</v>
      </c>
      <c r="AF304" s="574" t="s">
        <v>176</v>
      </c>
      <c r="AG304" s="576">
        <v>183318.36</v>
      </c>
      <c r="AH304" s="576">
        <v>0</v>
      </c>
    </row>
    <row r="305" spans="1:34" customFormat="1" x14ac:dyDescent="0.25">
      <c r="A305" s="574" t="s">
        <v>2219</v>
      </c>
      <c r="B305" s="574" t="s">
        <v>2220</v>
      </c>
      <c r="C305" s="574" t="s">
        <v>2221</v>
      </c>
      <c r="D305" s="574" t="s">
        <v>2220</v>
      </c>
      <c r="E305" s="574" t="s">
        <v>2222</v>
      </c>
      <c r="F305" s="574" t="s">
        <v>2223</v>
      </c>
      <c r="G305" s="574" t="s">
        <v>2224</v>
      </c>
      <c r="H305" s="574" t="s">
        <v>2225</v>
      </c>
      <c r="I305" s="574" t="s">
        <v>2226</v>
      </c>
      <c r="J305" s="574" t="s">
        <v>2227</v>
      </c>
      <c r="K305" s="574" t="s">
        <v>2228</v>
      </c>
      <c r="L305" s="574" t="s">
        <v>2229</v>
      </c>
      <c r="M305" s="574" t="s">
        <v>2230</v>
      </c>
      <c r="N305" s="574" t="s">
        <v>2231</v>
      </c>
      <c r="O305" s="574" t="s">
        <v>2232</v>
      </c>
      <c r="P305" s="574" t="s">
        <v>2233</v>
      </c>
      <c r="Q305" s="574" t="s">
        <v>2234</v>
      </c>
      <c r="R305" s="574" t="s">
        <v>2225</v>
      </c>
      <c r="S305" s="574" t="s">
        <v>2737</v>
      </c>
      <c r="T305" s="574" t="s">
        <v>2738</v>
      </c>
      <c r="U305" s="574" t="s">
        <v>2799</v>
      </c>
      <c r="V305" s="574" t="s">
        <v>2238</v>
      </c>
      <c r="W305" s="574" t="s">
        <v>2239</v>
      </c>
      <c r="X305" s="574" t="s">
        <v>2483</v>
      </c>
      <c r="Y305" s="575" t="s">
        <v>2429</v>
      </c>
      <c r="Z305" s="575" t="s">
        <v>2429</v>
      </c>
      <c r="AA305" s="574" t="s">
        <v>1694</v>
      </c>
      <c r="AB305" s="574" t="s">
        <v>2314</v>
      </c>
      <c r="AC305" s="574" t="s">
        <v>2315</v>
      </c>
      <c r="AD305" s="574" t="s">
        <v>2316</v>
      </c>
      <c r="AE305" s="574" t="s">
        <v>1470</v>
      </c>
      <c r="AF305" s="574" t="s">
        <v>2316</v>
      </c>
      <c r="AG305" s="576">
        <v>153395.56</v>
      </c>
      <c r="AH305" s="576">
        <v>0</v>
      </c>
    </row>
    <row r="306" spans="1:34" customFormat="1" x14ac:dyDescent="0.25">
      <c r="A306" s="574" t="s">
        <v>2219</v>
      </c>
      <c r="B306" s="574" t="s">
        <v>2220</v>
      </c>
      <c r="C306" s="574" t="s">
        <v>2221</v>
      </c>
      <c r="D306" s="574" t="s">
        <v>2220</v>
      </c>
      <c r="E306" s="574" t="s">
        <v>2222</v>
      </c>
      <c r="F306" s="574" t="s">
        <v>2223</v>
      </c>
      <c r="G306" s="574" t="s">
        <v>2224</v>
      </c>
      <c r="H306" s="574" t="s">
        <v>2225</v>
      </c>
      <c r="I306" s="574" t="s">
        <v>2226</v>
      </c>
      <c r="J306" s="574" t="s">
        <v>2227</v>
      </c>
      <c r="K306" s="574" t="s">
        <v>2228</v>
      </c>
      <c r="L306" s="574" t="s">
        <v>2229</v>
      </c>
      <c r="M306" s="574" t="s">
        <v>2230</v>
      </c>
      <c r="N306" s="574" t="s">
        <v>2231</v>
      </c>
      <c r="O306" s="574" t="s">
        <v>2232</v>
      </c>
      <c r="P306" s="574" t="s">
        <v>2233</v>
      </c>
      <c r="Q306" s="574" t="s">
        <v>2234</v>
      </c>
      <c r="R306" s="574" t="s">
        <v>2225</v>
      </c>
      <c r="S306" s="574" t="s">
        <v>2737</v>
      </c>
      <c r="T306" s="574" t="s">
        <v>2738</v>
      </c>
      <c r="U306" s="574" t="s">
        <v>2800</v>
      </c>
      <c r="V306" s="574" t="s">
        <v>2238</v>
      </c>
      <c r="W306" s="574" t="s">
        <v>2239</v>
      </c>
      <c r="X306" s="574" t="s">
        <v>2516</v>
      </c>
      <c r="Y306" s="575" t="s">
        <v>2429</v>
      </c>
      <c r="Z306" s="575" t="s">
        <v>2429</v>
      </c>
      <c r="AA306" s="574" t="s">
        <v>1692</v>
      </c>
      <c r="AB306" s="574" t="s">
        <v>2307</v>
      </c>
      <c r="AC306" s="574" t="s">
        <v>2308</v>
      </c>
      <c r="AD306" s="574" t="s">
        <v>2309</v>
      </c>
      <c r="AE306" s="574" t="s">
        <v>1490</v>
      </c>
      <c r="AF306" s="574" t="s">
        <v>176</v>
      </c>
      <c r="AG306" s="576">
        <v>8750</v>
      </c>
      <c r="AH306" s="576">
        <v>0</v>
      </c>
    </row>
    <row r="307" spans="1:34" customFormat="1" x14ac:dyDescent="0.25">
      <c r="A307" s="574" t="s">
        <v>2219</v>
      </c>
      <c r="B307" s="574" t="s">
        <v>2220</v>
      </c>
      <c r="C307" s="574" t="s">
        <v>2221</v>
      </c>
      <c r="D307" s="574" t="s">
        <v>2220</v>
      </c>
      <c r="E307" s="574" t="s">
        <v>2222</v>
      </c>
      <c r="F307" s="574" t="s">
        <v>2223</v>
      </c>
      <c r="G307" s="574" t="s">
        <v>2224</v>
      </c>
      <c r="H307" s="574" t="s">
        <v>2225</v>
      </c>
      <c r="I307" s="574" t="s">
        <v>2226</v>
      </c>
      <c r="J307" s="574" t="s">
        <v>2227</v>
      </c>
      <c r="K307" s="574" t="s">
        <v>2228</v>
      </c>
      <c r="L307" s="574" t="s">
        <v>2229</v>
      </c>
      <c r="M307" s="574" t="s">
        <v>2230</v>
      </c>
      <c r="N307" s="574" t="s">
        <v>2231</v>
      </c>
      <c r="O307" s="574" t="s">
        <v>2232</v>
      </c>
      <c r="P307" s="574" t="s">
        <v>2233</v>
      </c>
      <c r="Q307" s="574" t="s">
        <v>2234</v>
      </c>
      <c r="R307" s="574" t="s">
        <v>2225</v>
      </c>
      <c r="S307" s="574" t="s">
        <v>2737</v>
      </c>
      <c r="T307" s="574" t="s">
        <v>2738</v>
      </c>
      <c r="U307" s="574" t="s">
        <v>2800</v>
      </c>
      <c r="V307" s="574" t="s">
        <v>2238</v>
      </c>
      <c r="W307" s="574" t="s">
        <v>2239</v>
      </c>
      <c r="X307" s="574" t="s">
        <v>2516</v>
      </c>
      <c r="Y307" s="575" t="s">
        <v>2429</v>
      </c>
      <c r="Z307" s="575" t="s">
        <v>2429</v>
      </c>
      <c r="AA307" s="574" t="s">
        <v>1693</v>
      </c>
      <c r="AB307" s="574" t="s">
        <v>2319</v>
      </c>
      <c r="AC307" s="574" t="s">
        <v>2402</v>
      </c>
      <c r="AD307" s="574" t="s">
        <v>2403</v>
      </c>
      <c r="AE307" s="574" t="s">
        <v>1486</v>
      </c>
      <c r="AF307" s="574" t="s">
        <v>2403</v>
      </c>
      <c r="AG307" s="576">
        <v>2000</v>
      </c>
      <c r="AH307" s="576">
        <v>0</v>
      </c>
    </row>
    <row r="308" spans="1:34" customFormat="1" x14ac:dyDescent="0.25">
      <c r="A308" s="574" t="s">
        <v>2219</v>
      </c>
      <c r="B308" s="574" t="s">
        <v>2220</v>
      </c>
      <c r="C308" s="574" t="s">
        <v>2221</v>
      </c>
      <c r="D308" s="574" t="s">
        <v>2220</v>
      </c>
      <c r="E308" s="574" t="s">
        <v>2222</v>
      </c>
      <c r="F308" s="574" t="s">
        <v>2223</v>
      </c>
      <c r="G308" s="574" t="s">
        <v>2224</v>
      </c>
      <c r="H308" s="574" t="s">
        <v>2225</v>
      </c>
      <c r="I308" s="574" t="s">
        <v>2226</v>
      </c>
      <c r="J308" s="574" t="s">
        <v>2227</v>
      </c>
      <c r="K308" s="574" t="s">
        <v>2228</v>
      </c>
      <c r="L308" s="574" t="s">
        <v>2229</v>
      </c>
      <c r="M308" s="574" t="s">
        <v>2230</v>
      </c>
      <c r="N308" s="574" t="s">
        <v>2231</v>
      </c>
      <c r="O308" s="574" t="s">
        <v>2232</v>
      </c>
      <c r="P308" s="574" t="s">
        <v>2233</v>
      </c>
      <c r="Q308" s="574" t="s">
        <v>2234</v>
      </c>
      <c r="R308" s="574" t="s">
        <v>2225</v>
      </c>
      <c r="S308" s="574" t="s">
        <v>2737</v>
      </c>
      <c r="T308" s="574" t="s">
        <v>2738</v>
      </c>
      <c r="U308" s="574" t="s">
        <v>2800</v>
      </c>
      <c r="V308" s="574" t="s">
        <v>2238</v>
      </c>
      <c r="W308" s="574" t="s">
        <v>2239</v>
      </c>
      <c r="X308" s="574" t="s">
        <v>2516</v>
      </c>
      <c r="Y308" s="575" t="s">
        <v>2429</v>
      </c>
      <c r="Z308" s="575" t="s">
        <v>2429</v>
      </c>
      <c r="AA308" s="574" t="s">
        <v>1693</v>
      </c>
      <c r="AB308" s="574" t="s">
        <v>2319</v>
      </c>
      <c r="AC308" s="574" t="s">
        <v>2320</v>
      </c>
      <c r="AD308" s="574" t="s">
        <v>2321</v>
      </c>
      <c r="AE308" s="574" t="s">
        <v>1446</v>
      </c>
      <c r="AF308" s="574" t="s">
        <v>2321</v>
      </c>
      <c r="AG308" s="576">
        <v>42500</v>
      </c>
      <c r="AH308" s="576">
        <v>0</v>
      </c>
    </row>
    <row r="309" spans="1:34" customFormat="1" x14ac:dyDescent="0.25">
      <c r="A309" s="574" t="s">
        <v>2219</v>
      </c>
      <c r="B309" s="574" t="s">
        <v>2220</v>
      </c>
      <c r="C309" s="574" t="s">
        <v>2221</v>
      </c>
      <c r="D309" s="574" t="s">
        <v>2220</v>
      </c>
      <c r="E309" s="574" t="s">
        <v>2222</v>
      </c>
      <c r="F309" s="574" t="s">
        <v>2223</v>
      </c>
      <c r="G309" s="574" t="s">
        <v>2224</v>
      </c>
      <c r="H309" s="574" t="s">
        <v>2225</v>
      </c>
      <c r="I309" s="574" t="s">
        <v>2226</v>
      </c>
      <c r="J309" s="574" t="s">
        <v>2227</v>
      </c>
      <c r="K309" s="574" t="s">
        <v>2228</v>
      </c>
      <c r="L309" s="574" t="s">
        <v>2229</v>
      </c>
      <c r="M309" s="574" t="s">
        <v>2230</v>
      </c>
      <c r="N309" s="574" t="s">
        <v>2231</v>
      </c>
      <c r="O309" s="574" t="s">
        <v>2232</v>
      </c>
      <c r="P309" s="574" t="s">
        <v>2233</v>
      </c>
      <c r="Q309" s="574" t="s">
        <v>2234</v>
      </c>
      <c r="R309" s="574" t="s">
        <v>2225</v>
      </c>
      <c r="S309" s="574" t="s">
        <v>2737</v>
      </c>
      <c r="T309" s="574" t="s">
        <v>2738</v>
      </c>
      <c r="U309" s="574" t="s">
        <v>2801</v>
      </c>
      <c r="V309" s="574" t="s">
        <v>2238</v>
      </c>
      <c r="W309" s="574" t="s">
        <v>2239</v>
      </c>
      <c r="X309" s="574" t="s">
        <v>2480</v>
      </c>
      <c r="Y309" s="575" t="s">
        <v>2429</v>
      </c>
      <c r="Z309" s="575" t="s">
        <v>2429</v>
      </c>
      <c r="AA309" s="574" t="s">
        <v>1692</v>
      </c>
      <c r="AB309" s="574" t="s">
        <v>2307</v>
      </c>
      <c r="AC309" s="574" t="s">
        <v>2308</v>
      </c>
      <c r="AD309" s="574" t="s">
        <v>2309</v>
      </c>
      <c r="AE309" s="574" t="s">
        <v>1490</v>
      </c>
      <c r="AF309" s="574" t="s">
        <v>176</v>
      </c>
      <c r="AG309" s="576">
        <v>9900</v>
      </c>
      <c r="AH309" s="576">
        <v>0</v>
      </c>
    </row>
    <row r="310" spans="1:34" customFormat="1" x14ac:dyDescent="0.25">
      <c r="A310" s="574" t="s">
        <v>2219</v>
      </c>
      <c r="B310" s="574" t="s">
        <v>2220</v>
      </c>
      <c r="C310" s="574" t="s">
        <v>2221</v>
      </c>
      <c r="D310" s="574" t="s">
        <v>2220</v>
      </c>
      <c r="E310" s="574" t="s">
        <v>2222</v>
      </c>
      <c r="F310" s="574" t="s">
        <v>2223</v>
      </c>
      <c r="G310" s="574" t="s">
        <v>2224</v>
      </c>
      <c r="H310" s="574" t="s">
        <v>2225</v>
      </c>
      <c r="I310" s="574" t="s">
        <v>2226</v>
      </c>
      <c r="J310" s="574" t="s">
        <v>2227</v>
      </c>
      <c r="K310" s="574" t="s">
        <v>2228</v>
      </c>
      <c r="L310" s="574" t="s">
        <v>2229</v>
      </c>
      <c r="M310" s="574" t="s">
        <v>2230</v>
      </c>
      <c r="N310" s="574" t="s">
        <v>2231</v>
      </c>
      <c r="O310" s="574" t="s">
        <v>2232</v>
      </c>
      <c r="P310" s="574" t="s">
        <v>2233</v>
      </c>
      <c r="Q310" s="574" t="s">
        <v>2234</v>
      </c>
      <c r="R310" s="574" t="s">
        <v>2225</v>
      </c>
      <c r="S310" s="574" t="s">
        <v>2737</v>
      </c>
      <c r="T310" s="574" t="s">
        <v>2738</v>
      </c>
      <c r="U310" s="574" t="s">
        <v>2802</v>
      </c>
      <c r="V310" s="574" t="s">
        <v>2238</v>
      </c>
      <c r="W310" s="574" t="s">
        <v>2239</v>
      </c>
      <c r="X310" s="574" t="s">
        <v>2567</v>
      </c>
      <c r="Y310" s="575" t="s">
        <v>2669</v>
      </c>
      <c r="Z310" s="575" t="s">
        <v>2669</v>
      </c>
      <c r="AA310" s="574" t="s">
        <v>1693</v>
      </c>
      <c r="AB310" s="574" t="s">
        <v>2319</v>
      </c>
      <c r="AC310" s="574" t="s">
        <v>2320</v>
      </c>
      <c r="AD310" s="574" t="s">
        <v>2321</v>
      </c>
      <c r="AE310" s="574" t="s">
        <v>1446</v>
      </c>
      <c r="AF310" s="574" t="s">
        <v>2321</v>
      </c>
      <c r="AG310" s="576">
        <v>1267200</v>
      </c>
      <c r="AH310" s="576">
        <v>0</v>
      </c>
    </row>
    <row r="311" spans="1:34" customFormat="1" x14ac:dyDescent="0.25">
      <c r="A311" s="574" t="s">
        <v>2219</v>
      </c>
      <c r="B311" s="574" t="s">
        <v>2220</v>
      </c>
      <c r="C311" s="574" t="s">
        <v>2221</v>
      </c>
      <c r="D311" s="574" t="s">
        <v>2220</v>
      </c>
      <c r="E311" s="574" t="s">
        <v>2222</v>
      </c>
      <c r="F311" s="574" t="s">
        <v>2223</v>
      </c>
      <c r="G311" s="574" t="s">
        <v>2224</v>
      </c>
      <c r="H311" s="574" t="s">
        <v>2225</v>
      </c>
      <c r="I311" s="574" t="s">
        <v>2226</v>
      </c>
      <c r="J311" s="574" t="s">
        <v>2227</v>
      </c>
      <c r="K311" s="574" t="s">
        <v>2228</v>
      </c>
      <c r="L311" s="574" t="s">
        <v>2229</v>
      </c>
      <c r="M311" s="574" t="s">
        <v>2230</v>
      </c>
      <c r="N311" s="574" t="s">
        <v>2231</v>
      </c>
      <c r="O311" s="574" t="s">
        <v>2232</v>
      </c>
      <c r="P311" s="574" t="s">
        <v>2233</v>
      </c>
      <c r="Q311" s="574" t="s">
        <v>2234</v>
      </c>
      <c r="R311" s="574" t="s">
        <v>2225</v>
      </c>
      <c r="S311" s="574" t="s">
        <v>2737</v>
      </c>
      <c r="T311" s="574" t="s">
        <v>2738</v>
      </c>
      <c r="U311" s="574" t="s">
        <v>2803</v>
      </c>
      <c r="V311" s="574" t="s">
        <v>2238</v>
      </c>
      <c r="W311" s="574" t="s">
        <v>2239</v>
      </c>
      <c r="X311" s="574" t="s">
        <v>2488</v>
      </c>
      <c r="Y311" s="575" t="s">
        <v>2669</v>
      </c>
      <c r="Z311" s="575" t="s">
        <v>2669</v>
      </c>
      <c r="AA311" s="574" t="s">
        <v>1691</v>
      </c>
      <c r="AB311" s="574" t="s">
        <v>2297</v>
      </c>
      <c r="AC311" s="574" t="s">
        <v>2298</v>
      </c>
      <c r="AD311" s="574" t="s">
        <v>2299</v>
      </c>
      <c r="AE311" s="574" t="s">
        <v>1468</v>
      </c>
      <c r="AF311" s="574" t="s">
        <v>2299</v>
      </c>
      <c r="AG311" s="576">
        <v>148000</v>
      </c>
      <c r="AH311" s="576">
        <v>0</v>
      </c>
    </row>
    <row r="312" spans="1:34" customFormat="1" x14ac:dyDescent="0.25">
      <c r="A312" s="574" t="s">
        <v>2219</v>
      </c>
      <c r="B312" s="574" t="s">
        <v>2220</v>
      </c>
      <c r="C312" s="574" t="s">
        <v>2221</v>
      </c>
      <c r="D312" s="574" t="s">
        <v>2220</v>
      </c>
      <c r="E312" s="574" t="s">
        <v>2222</v>
      </c>
      <c r="F312" s="574" t="s">
        <v>2223</v>
      </c>
      <c r="G312" s="574" t="s">
        <v>2224</v>
      </c>
      <c r="H312" s="574" t="s">
        <v>2225</v>
      </c>
      <c r="I312" s="574" t="s">
        <v>2226</v>
      </c>
      <c r="J312" s="574" t="s">
        <v>2227</v>
      </c>
      <c r="K312" s="574" t="s">
        <v>2228</v>
      </c>
      <c r="L312" s="574" t="s">
        <v>2229</v>
      </c>
      <c r="M312" s="574" t="s">
        <v>2230</v>
      </c>
      <c r="N312" s="574" t="s">
        <v>2231</v>
      </c>
      <c r="O312" s="574" t="s">
        <v>2232</v>
      </c>
      <c r="P312" s="574" t="s">
        <v>2233</v>
      </c>
      <c r="Q312" s="574" t="s">
        <v>2234</v>
      </c>
      <c r="R312" s="574" t="s">
        <v>2225</v>
      </c>
      <c r="S312" s="574" t="s">
        <v>2737</v>
      </c>
      <c r="T312" s="574" t="s">
        <v>2738</v>
      </c>
      <c r="U312" s="574" t="s">
        <v>2804</v>
      </c>
      <c r="V312" s="574" t="s">
        <v>2238</v>
      </c>
      <c r="W312" s="574" t="s">
        <v>2239</v>
      </c>
      <c r="X312" s="574" t="s">
        <v>2486</v>
      </c>
      <c r="Y312" s="575" t="s">
        <v>2669</v>
      </c>
      <c r="Z312" s="575" t="s">
        <v>2669</v>
      </c>
      <c r="AA312" s="574" t="s">
        <v>1688</v>
      </c>
      <c r="AB312" s="574" t="s">
        <v>2430</v>
      </c>
      <c r="AC312" s="574" t="s">
        <v>2431</v>
      </c>
      <c r="AD312" s="574" t="s">
        <v>99</v>
      </c>
      <c r="AE312" s="574" t="s">
        <v>1531</v>
      </c>
      <c r="AF312" s="574" t="s">
        <v>99</v>
      </c>
      <c r="AG312" s="576">
        <v>851100</v>
      </c>
      <c r="AH312" s="576">
        <v>0</v>
      </c>
    </row>
    <row r="313" spans="1:34" customFormat="1" x14ac:dyDescent="0.25">
      <c r="A313" s="574" t="s">
        <v>2219</v>
      </c>
      <c r="B313" s="574" t="s">
        <v>2220</v>
      </c>
      <c r="C313" s="574" t="s">
        <v>2221</v>
      </c>
      <c r="D313" s="574" t="s">
        <v>2220</v>
      </c>
      <c r="E313" s="574" t="s">
        <v>2222</v>
      </c>
      <c r="F313" s="574" t="s">
        <v>2223</v>
      </c>
      <c r="G313" s="574" t="s">
        <v>2224</v>
      </c>
      <c r="H313" s="574" t="s">
        <v>2225</v>
      </c>
      <c r="I313" s="574" t="s">
        <v>2226</v>
      </c>
      <c r="J313" s="574" t="s">
        <v>2227</v>
      </c>
      <c r="K313" s="574" t="s">
        <v>2228</v>
      </c>
      <c r="L313" s="574" t="s">
        <v>2229</v>
      </c>
      <c r="M313" s="574" t="s">
        <v>2230</v>
      </c>
      <c r="N313" s="574" t="s">
        <v>2231</v>
      </c>
      <c r="O313" s="574" t="s">
        <v>2232</v>
      </c>
      <c r="P313" s="574" t="s">
        <v>2233</v>
      </c>
      <c r="Q313" s="574" t="s">
        <v>2234</v>
      </c>
      <c r="R313" s="574" t="s">
        <v>2225</v>
      </c>
      <c r="S313" s="574" t="s">
        <v>2737</v>
      </c>
      <c r="T313" s="574" t="s">
        <v>2738</v>
      </c>
      <c r="U313" s="574" t="s">
        <v>2805</v>
      </c>
      <c r="V313" s="574" t="s">
        <v>2238</v>
      </c>
      <c r="W313" s="574" t="s">
        <v>2239</v>
      </c>
      <c r="X313" s="574" t="s">
        <v>2519</v>
      </c>
      <c r="Y313" s="575" t="s">
        <v>2724</v>
      </c>
      <c r="Z313" s="575" t="s">
        <v>2724</v>
      </c>
      <c r="AA313" s="574" t="s">
        <v>1693</v>
      </c>
      <c r="AB313" s="574" t="s">
        <v>2319</v>
      </c>
      <c r="AC313" s="574" t="s">
        <v>2402</v>
      </c>
      <c r="AD313" s="574" t="s">
        <v>2403</v>
      </c>
      <c r="AE313" s="574" t="s">
        <v>1486</v>
      </c>
      <c r="AF313" s="574" t="s">
        <v>2403</v>
      </c>
      <c r="AG313" s="576">
        <v>1353342</v>
      </c>
      <c r="AH313" s="576">
        <v>0</v>
      </c>
    </row>
    <row r="314" spans="1:34" customFormat="1" x14ac:dyDescent="0.25">
      <c r="A314" s="574" t="s">
        <v>2219</v>
      </c>
      <c r="B314" s="574" t="s">
        <v>2220</v>
      </c>
      <c r="C314" s="574" t="s">
        <v>2221</v>
      </c>
      <c r="D314" s="574" t="s">
        <v>2220</v>
      </c>
      <c r="E314" s="574" t="s">
        <v>2222</v>
      </c>
      <c r="F314" s="574" t="s">
        <v>2223</v>
      </c>
      <c r="G314" s="574" t="s">
        <v>2224</v>
      </c>
      <c r="H314" s="574" t="s">
        <v>2225</v>
      </c>
      <c r="I314" s="574" t="s">
        <v>2226</v>
      </c>
      <c r="J314" s="574" t="s">
        <v>2227</v>
      </c>
      <c r="K314" s="574" t="s">
        <v>2228</v>
      </c>
      <c r="L314" s="574" t="s">
        <v>2229</v>
      </c>
      <c r="M314" s="574" t="s">
        <v>2230</v>
      </c>
      <c r="N314" s="574" t="s">
        <v>2231</v>
      </c>
      <c r="O314" s="574" t="s">
        <v>2232</v>
      </c>
      <c r="P314" s="574" t="s">
        <v>2233</v>
      </c>
      <c r="Q314" s="574" t="s">
        <v>2234</v>
      </c>
      <c r="R314" s="574" t="s">
        <v>2225</v>
      </c>
      <c r="S314" s="574" t="s">
        <v>2737</v>
      </c>
      <c r="T314" s="574" t="s">
        <v>2738</v>
      </c>
      <c r="U314" s="574" t="s">
        <v>2806</v>
      </c>
      <c r="V314" s="574" t="s">
        <v>2238</v>
      </c>
      <c r="W314" s="574" t="s">
        <v>2239</v>
      </c>
      <c r="X314" s="574" t="s">
        <v>2530</v>
      </c>
      <c r="Y314" s="575" t="s">
        <v>2724</v>
      </c>
      <c r="Z314" s="575" t="s">
        <v>2724</v>
      </c>
      <c r="AA314" s="574" t="s">
        <v>1690</v>
      </c>
      <c r="AB314" s="574" t="s">
        <v>2475</v>
      </c>
      <c r="AC314" s="574" t="s">
        <v>2524</v>
      </c>
      <c r="AD314" s="574" t="s">
        <v>2525</v>
      </c>
      <c r="AE314" s="574" t="s">
        <v>1457</v>
      </c>
      <c r="AF314" s="574" t="s">
        <v>2525</v>
      </c>
      <c r="AG314" s="576">
        <v>429225</v>
      </c>
      <c r="AH314" s="576">
        <v>0</v>
      </c>
    </row>
    <row r="315" spans="1:34" customFormat="1" x14ac:dyDescent="0.25">
      <c r="A315" s="574" t="s">
        <v>2219</v>
      </c>
      <c r="B315" s="574" t="s">
        <v>2220</v>
      </c>
      <c r="C315" s="574" t="s">
        <v>2221</v>
      </c>
      <c r="D315" s="574" t="s">
        <v>2220</v>
      </c>
      <c r="E315" s="574" t="s">
        <v>2222</v>
      </c>
      <c r="F315" s="574" t="s">
        <v>2223</v>
      </c>
      <c r="G315" s="574" t="s">
        <v>2224</v>
      </c>
      <c r="H315" s="574" t="s">
        <v>2225</v>
      </c>
      <c r="I315" s="574" t="s">
        <v>2226</v>
      </c>
      <c r="J315" s="574" t="s">
        <v>2227</v>
      </c>
      <c r="K315" s="574" t="s">
        <v>2228</v>
      </c>
      <c r="L315" s="574" t="s">
        <v>2229</v>
      </c>
      <c r="M315" s="574" t="s">
        <v>2230</v>
      </c>
      <c r="N315" s="574" t="s">
        <v>2231</v>
      </c>
      <c r="O315" s="574" t="s">
        <v>2232</v>
      </c>
      <c r="P315" s="574" t="s">
        <v>2233</v>
      </c>
      <c r="Q315" s="574" t="s">
        <v>2234</v>
      </c>
      <c r="R315" s="574" t="s">
        <v>2225</v>
      </c>
      <c r="S315" s="574" t="s">
        <v>2737</v>
      </c>
      <c r="T315" s="574" t="s">
        <v>2738</v>
      </c>
      <c r="U315" s="574" t="s">
        <v>2807</v>
      </c>
      <c r="V315" s="574" t="s">
        <v>2238</v>
      </c>
      <c r="W315" s="574" t="s">
        <v>2239</v>
      </c>
      <c r="X315" s="574" t="s">
        <v>2725</v>
      </c>
      <c r="Y315" s="575" t="s">
        <v>2726</v>
      </c>
      <c r="Z315" s="575" t="s">
        <v>2726</v>
      </c>
      <c r="AA315" s="574" t="s">
        <v>1690</v>
      </c>
      <c r="AB315" s="574" t="s">
        <v>2475</v>
      </c>
      <c r="AC315" s="574" t="s">
        <v>2534</v>
      </c>
      <c r="AD315" s="574" t="s">
        <v>2535</v>
      </c>
      <c r="AE315" s="574" t="s">
        <v>2536</v>
      </c>
      <c r="AF315" s="574" t="s">
        <v>2535</v>
      </c>
      <c r="AG315" s="576">
        <v>518019.87</v>
      </c>
      <c r="AH315" s="576">
        <v>0</v>
      </c>
    </row>
    <row r="316" spans="1:34" customFormat="1" x14ac:dyDescent="0.25">
      <c r="A316" s="574" t="s">
        <v>2219</v>
      </c>
      <c r="B316" s="574" t="s">
        <v>2220</v>
      </c>
      <c r="C316" s="574" t="s">
        <v>2221</v>
      </c>
      <c r="D316" s="574" t="s">
        <v>2220</v>
      </c>
      <c r="E316" s="574" t="s">
        <v>2222</v>
      </c>
      <c r="F316" s="574" t="s">
        <v>2223</v>
      </c>
      <c r="G316" s="574" t="s">
        <v>2224</v>
      </c>
      <c r="H316" s="574" t="s">
        <v>2225</v>
      </c>
      <c r="I316" s="574" t="s">
        <v>2226</v>
      </c>
      <c r="J316" s="574" t="s">
        <v>2227</v>
      </c>
      <c r="K316" s="574" t="s">
        <v>2228</v>
      </c>
      <c r="L316" s="574" t="s">
        <v>2229</v>
      </c>
      <c r="M316" s="574" t="s">
        <v>2230</v>
      </c>
      <c r="N316" s="574" t="s">
        <v>2231</v>
      </c>
      <c r="O316" s="574" t="s">
        <v>2232</v>
      </c>
      <c r="P316" s="574" t="s">
        <v>2233</v>
      </c>
      <c r="Q316" s="574" t="s">
        <v>2234</v>
      </c>
      <c r="R316" s="574" t="s">
        <v>2225</v>
      </c>
      <c r="S316" s="574" t="s">
        <v>2737</v>
      </c>
      <c r="T316" s="574" t="s">
        <v>2738</v>
      </c>
      <c r="U316" s="574" t="s">
        <v>2807</v>
      </c>
      <c r="V316" s="574" t="s">
        <v>2238</v>
      </c>
      <c r="W316" s="574" t="s">
        <v>2239</v>
      </c>
      <c r="X316" s="574" t="s">
        <v>2725</v>
      </c>
      <c r="Y316" s="575" t="s">
        <v>2726</v>
      </c>
      <c r="Z316" s="575" t="s">
        <v>2727</v>
      </c>
      <c r="AA316" s="574" t="s">
        <v>1690</v>
      </c>
      <c r="AB316" s="574" t="s">
        <v>2475</v>
      </c>
      <c r="AC316" s="574" t="s">
        <v>2534</v>
      </c>
      <c r="AD316" s="574" t="s">
        <v>2535</v>
      </c>
      <c r="AE316" s="574" t="s">
        <v>2536</v>
      </c>
      <c r="AF316" s="574" t="s">
        <v>2535</v>
      </c>
      <c r="AG316" s="576">
        <v>-518019.87</v>
      </c>
      <c r="AH316" s="576">
        <v>0</v>
      </c>
    </row>
    <row r="317" spans="1:34" customFormat="1" x14ac:dyDescent="0.25">
      <c r="A317" s="574" t="s">
        <v>2219</v>
      </c>
      <c r="B317" s="574" t="s">
        <v>2220</v>
      </c>
      <c r="C317" s="574" t="s">
        <v>2221</v>
      </c>
      <c r="D317" s="574" t="s">
        <v>2220</v>
      </c>
      <c r="E317" s="574" t="s">
        <v>2222</v>
      </c>
      <c r="F317" s="574" t="s">
        <v>2223</v>
      </c>
      <c r="G317" s="574" t="s">
        <v>2224</v>
      </c>
      <c r="H317" s="574" t="s">
        <v>2225</v>
      </c>
      <c r="I317" s="574" t="s">
        <v>2226</v>
      </c>
      <c r="J317" s="574" t="s">
        <v>2227</v>
      </c>
      <c r="K317" s="574" t="s">
        <v>2228</v>
      </c>
      <c r="L317" s="574" t="s">
        <v>2229</v>
      </c>
      <c r="M317" s="574" t="s">
        <v>2230</v>
      </c>
      <c r="N317" s="574" t="s">
        <v>2231</v>
      </c>
      <c r="O317" s="574" t="s">
        <v>2232</v>
      </c>
      <c r="P317" s="574" t="s">
        <v>2233</v>
      </c>
      <c r="Q317" s="574" t="s">
        <v>2234</v>
      </c>
      <c r="R317" s="574" t="s">
        <v>2225</v>
      </c>
      <c r="S317" s="574" t="s">
        <v>2737</v>
      </c>
      <c r="T317" s="574" t="s">
        <v>2738</v>
      </c>
      <c r="U317" s="574" t="s">
        <v>2808</v>
      </c>
      <c r="V317" s="574" t="s">
        <v>2238</v>
      </c>
      <c r="W317" s="574" t="s">
        <v>2239</v>
      </c>
      <c r="X317" s="574" t="s">
        <v>2523</v>
      </c>
      <c r="Y317" s="575" t="s">
        <v>2726</v>
      </c>
      <c r="Z317" s="575" t="s">
        <v>2726</v>
      </c>
      <c r="AA317" s="574" t="s">
        <v>1690</v>
      </c>
      <c r="AB317" s="574" t="s">
        <v>2475</v>
      </c>
      <c r="AC317" s="574" t="s">
        <v>2524</v>
      </c>
      <c r="AD317" s="574" t="s">
        <v>2525</v>
      </c>
      <c r="AE317" s="574" t="s">
        <v>1457</v>
      </c>
      <c r="AF317" s="574" t="s">
        <v>2525</v>
      </c>
      <c r="AG317" s="576">
        <v>435632.4</v>
      </c>
      <c r="AH317" s="576">
        <v>0</v>
      </c>
    </row>
    <row r="318" spans="1:34" customFormat="1" x14ac:dyDescent="0.25">
      <c r="A318" s="574" t="s">
        <v>2219</v>
      </c>
      <c r="B318" s="574" t="s">
        <v>2220</v>
      </c>
      <c r="C318" s="574" t="s">
        <v>2221</v>
      </c>
      <c r="D318" s="574" t="s">
        <v>2220</v>
      </c>
      <c r="E318" s="574" t="s">
        <v>2222</v>
      </c>
      <c r="F318" s="574" t="s">
        <v>2223</v>
      </c>
      <c r="G318" s="574" t="s">
        <v>2224</v>
      </c>
      <c r="H318" s="574" t="s">
        <v>2225</v>
      </c>
      <c r="I318" s="574" t="s">
        <v>2226</v>
      </c>
      <c r="J318" s="574" t="s">
        <v>2227</v>
      </c>
      <c r="K318" s="574" t="s">
        <v>2228</v>
      </c>
      <c r="L318" s="574" t="s">
        <v>2229</v>
      </c>
      <c r="M318" s="574" t="s">
        <v>2230</v>
      </c>
      <c r="N318" s="574" t="s">
        <v>2231</v>
      </c>
      <c r="O318" s="574" t="s">
        <v>2232</v>
      </c>
      <c r="P318" s="574" t="s">
        <v>2233</v>
      </c>
      <c r="Q318" s="574" t="s">
        <v>2234</v>
      </c>
      <c r="R318" s="574" t="s">
        <v>2225</v>
      </c>
      <c r="S318" s="574" t="s">
        <v>2737</v>
      </c>
      <c r="T318" s="574" t="s">
        <v>2738</v>
      </c>
      <c r="U318" s="574" t="s">
        <v>2809</v>
      </c>
      <c r="V318" s="574" t="s">
        <v>2238</v>
      </c>
      <c r="W318" s="574" t="s">
        <v>2239</v>
      </c>
      <c r="X318" s="574" t="s">
        <v>2538</v>
      </c>
      <c r="Y318" s="575" t="s">
        <v>2672</v>
      </c>
      <c r="Z318" s="575" t="s">
        <v>2672</v>
      </c>
      <c r="AA318" s="574" t="s">
        <v>1693</v>
      </c>
      <c r="AB318" s="574" t="s">
        <v>2319</v>
      </c>
      <c r="AC318" s="574" t="s">
        <v>2402</v>
      </c>
      <c r="AD318" s="574" t="s">
        <v>2403</v>
      </c>
      <c r="AE318" s="574" t="s">
        <v>1486</v>
      </c>
      <c r="AF318" s="574" t="s">
        <v>2403</v>
      </c>
      <c r="AG318" s="576">
        <v>531590</v>
      </c>
      <c r="AH318" s="576">
        <v>0</v>
      </c>
    </row>
    <row r="319" spans="1:34" customFormat="1" x14ac:dyDescent="0.25">
      <c r="A319" s="574" t="s">
        <v>2219</v>
      </c>
      <c r="B319" s="574" t="s">
        <v>2220</v>
      </c>
      <c r="C319" s="574" t="s">
        <v>2221</v>
      </c>
      <c r="D319" s="574" t="s">
        <v>2220</v>
      </c>
      <c r="E319" s="574" t="s">
        <v>2222</v>
      </c>
      <c r="F319" s="574" t="s">
        <v>2223</v>
      </c>
      <c r="G319" s="574" t="s">
        <v>2224</v>
      </c>
      <c r="H319" s="574" t="s">
        <v>2225</v>
      </c>
      <c r="I319" s="574" t="s">
        <v>2226</v>
      </c>
      <c r="J319" s="574" t="s">
        <v>2227</v>
      </c>
      <c r="K319" s="574" t="s">
        <v>2228</v>
      </c>
      <c r="L319" s="574" t="s">
        <v>2229</v>
      </c>
      <c r="M319" s="574" t="s">
        <v>2230</v>
      </c>
      <c r="N319" s="574" t="s">
        <v>2231</v>
      </c>
      <c r="O319" s="574" t="s">
        <v>2232</v>
      </c>
      <c r="P319" s="574" t="s">
        <v>2233</v>
      </c>
      <c r="Q319" s="574" t="s">
        <v>2234</v>
      </c>
      <c r="R319" s="574" t="s">
        <v>2225</v>
      </c>
      <c r="S319" s="574" t="s">
        <v>2737</v>
      </c>
      <c r="T319" s="574" t="s">
        <v>2738</v>
      </c>
      <c r="U319" s="574" t="s">
        <v>2810</v>
      </c>
      <c r="V319" s="574" t="s">
        <v>2238</v>
      </c>
      <c r="W319" s="574" t="s">
        <v>2239</v>
      </c>
      <c r="X319" s="574" t="s">
        <v>2533</v>
      </c>
      <c r="Y319" s="575" t="s">
        <v>2507</v>
      </c>
      <c r="Z319" s="575" t="s">
        <v>2507</v>
      </c>
      <c r="AA319" s="574" t="s">
        <v>1690</v>
      </c>
      <c r="AB319" s="574" t="s">
        <v>2475</v>
      </c>
      <c r="AC319" s="574" t="s">
        <v>2534</v>
      </c>
      <c r="AD319" s="574" t="s">
        <v>2535</v>
      </c>
      <c r="AE319" s="574" t="s">
        <v>2536</v>
      </c>
      <c r="AF319" s="574" t="s">
        <v>2535</v>
      </c>
      <c r="AG319" s="576">
        <v>23364</v>
      </c>
      <c r="AH319" s="576">
        <v>0</v>
      </c>
    </row>
    <row r="320" spans="1:34" customFormat="1" x14ac:dyDescent="0.25">
      <c r="A320" s="574" t="s">
        <v>2219</v>
      </c>
      <c r="B320" s="574" t="s">
        <v>2220</v>
      </c>
      <c r="C320" s="574" t="s">
        <v>2221</v>
      </c>
      <c r="D320" s="574" t="s">
        <v>2220</v>
      </c>
      <c r="E320" s="574" t="s">
        <v>2222</v>
      </c>
      <c r="F320" s="574" t="s">
        <v>2223</v>
      </c>
      <c r="G320" s="574" t="s">
        <v>2224</v>
      </c>
      <c r="H320" s="574" t="s">
        <v>2225</v>
      </c>
      <c r="I320" s="574" t="s">
        <v>2226</v>
      </c>
      <c r="J320" s="574" t="s">
        <v>2227</v>
      </c>
      <c r="K320" s="574" t="s">
        <v>2228</v>
      </c>
      <c r="L320" s="574" t="s">
        <v>2229</v>
      </c>
      <c r="M320" s="574" t="s">
        <v>2230</v>
      </c>
      <c r="N320" s="574" t="s">
        <v>2231</v>
      </c>
      <c r="O320" s="574" t="s">
        <v>2232</v>
      </c>
      <c r="P320" s="574" t="s">
        <v>2233</v>
      </c>
      <c r="Q320" s="574" t="s">
        <v>2234</v>
      </c>
      <c r="R320" s="574" t="s">
        <v>2225</v>
      </c>
      <c r="S320" s="574" t="s">
        <v>2737</v>
      </c>
      <c r="T320" s="574" t="s">
        <v>2738</v>
      </c>
      <c r="U320" s="574" t="s">
        <v>2811</v>
      </c>
      <c r="V320" s="574" t="s">
        <v>2238</v>
      </c>
      <c r="W320" s="574" t="s">
        <v>2239</v>
      </c>
      <c r="X320" s="574" t="s">
        <v>2728</v>
      </c>
      <c r="Y320" s="575" t="s">
        <v>2673</v>
      </c>
      <c r="Z320" s="575" t="s">
        <v>2673</v>
      </c>
      <c r="AA320" s="574" t="s">
        <v>1690</v>
      </c>
      <c r="AB320" s="574" t="s">
        <v>2475</v>
      </c>
      <c r="AC320" s="574" t="s">
        <v>2476</v>
      </c>
      <c r="AD320" s="574" t="s">
        <v>104</v>
      </c>
      <c r="AE320" s="574" t="s">
        <v>1676</v>
      </c>
      <c r="AF320" s="574" t="s">
        <v>104</v>
      </c>
      <c r="AG320" s="576">
        <v>19470</v>
      </c>
      <c r="AH320" s="576">
        <v>0</v>
      </c>
    </row>
    <row r="321" spans="1:34" customFormat="1" x14ac:dyDescent="0.25">
      <c r="A321" s="574" t="s">
        <v>2219</v>
      </c>
      <c r="B321" s="574" t="s">
        <v>2220</v>
      </c>
      <c r="C321" s="574" t="s">
        <v>2221</v>
      </c>
      <c r="D321" s="574" t="s">
        <v>2220</v>
      </c>
      <c r="E321" s="574" t="s">
        <v>2222</v>
      </c>
      <c r="F321" s="574" t="s">
        <v>2223</v>
      </c>
      <c r="G321" s="574" t="s">
        <v>2224</v>
      </c>
      <c r="H321" s="574" t="s">
        <v>2225</v>
      </c>
      <c r="I321" s="574" t="s">
        <v>2226</v>
      </c>
      <c r="J321" s="574" t="s">
        <v>2227</v>
      </c>
      <c r="K321" s="574" t="s">
        <v>2228</v>
      </c>
      <c r="L321" s="574" t="s">
        <v>2229</v>
      </c>
      <c r="M321" s="574" t="s">
        <v>2230</v>
      </c>
      <c r="N321" s="574" t="s">
        <v>2231</v>
      </c>
      <c r="O321" s="574" t="s">
        <v>2232</v>
      </c>
      <c r="P321" s="574" t="s">
        <v>2233</v>
      </c>
      <c r="Q321" s="574" t="s">
        <v>2234</v>
      </c>
      <c r="R321" s="574" t="s">
        <v>2225</v>
      </c>
      <c r="S321" s="574" t="s">
        <v>2737</v>
      </c>
      <c r="T321" s="574" t="s">
        <v>2738</v>
      </c>
      <c r="U321" s="574" t="s">
        <v>2812</v>
      </c>
      <c r="V321" s="574" t="s">
        <v>2238</v>
      </c>
      <c r="W321" s="574" t="s">
        <v>2239</v>
      </c>
      <c r="X321" s="574" t="s">
        <v>2564</v>
      </c>
      <c r="Y321" s="575" t="s">
        <v>2673</v>
      </c>
      <c r="Z321" s="575" t="s">
        <v>2673</v>
      </c>
      <c r="AA321" s="574" t="s">
        <v>1688</v>
      </c>
      <c r="AB321" s="574" t="s">
        <v>2430</v>
      </c>
      <c r="AC321" s="574" t="s">
        <v>2431</v>
      </c>
      <c r="AD321" s="574" t="s">
        <v>99</v>
      </c>
      <c r="AE321" s="574" t="s">
        <v>1531</v>
      </c>
      <c r="AF321" s="574" t="s">
        <v>99</v>
      </c>
      <c r="AG321" s="576">
        <v>699300</v>
      </c>
      <c r="AH321" s="576">
        <v>0</v>
      </c>
    </row>
    <row r="322" spans="1:34" customFormat="1" x14ac:dyDescent="0.25">
      <c r="A322" s="574" t="s">
        <v>2219</v>
      </c>
      <c r="B322" s="574" t="s">
        <v>2220</v>
      </c>
      <c r="C322" s="574" t="s">
        <v>2221</v>
      </c>
      <c r="D322" s="574" t="s">
        <v>2220</v>
      </c>
      <c r="E322" s="574" t="s">
        <v>2222</v>
      </c>
      <c r="F322" s="574" t="s">
        <v>2223</v>
      </c>
      <c r="G322" s="574" t="s">
        <v>2224</v>
      </c>
      <c r="H322" s="574" t="s">
        <v>2225</v>
      </c>
      <c r="I322" s="574" t="s">
        <v>2226</v>
      </c>
      <c r="J322" s="574" t="s">
        <v>2227</v>
      </c>
      <c r="K322" s="574" t="s">
        <v>2228</v>
      </c>
      <c r="L322" s="574" t="s">
        <v>2229</v>
      </c>
      <c r="M322" s="574" t="s">
        <v>2230</v>
      </c>
      <c r="N322" s="574" t="s">
        <v>2231</v>
      </c>
      <c r="O322" s="574" t="s">
        <v>2232</v>
      </c>
      <c r="P322" s="574" t="s">
        <v>2233</v>
      </c>
      <c r="Q322" s="574" t="s">
        <v>2234</v>
      </c>
      <c r="R322" s="574" t="s">
        <v>2225</v>
      </c>
      <c r="S322" s="574" t="s">
        <v>2737</v>
      </c>
      <c r="T322" s="574" t="s">
        <v>2738</v>
      </c>
      <c r="U322" s="574" t="s">
        <v>2813</v>
      </c>
      <c r="V322" s="574" t="s">
        <v>2238</v>
      </c>
      <c r="W322" s="574" t="s">
        <v>2239</v>
      </c>
      <c r="X322" s="574" t="s">
        <v>2578</v>
      </c>
      <c r="Y322" s="575" t="s">
        <v>2674</v>
      </c>
      <c r="Z322" s="575" t="s">
        <v>2674</v>
      </c>
      <c r="AA322" s="574" t="s">
        <v>1690</v>
      </c>
      <c r="AB322" s="574" t="s">
        <v>2475</v>
      </c>
      <c r="AC322" s="574" t="s">
        <v>2534</v>
      </c>
      <c r="AD322" s="574" t="s">
        <v>2535</v>
      </c>
      <c r="AE322" s="574" t="s">
        <v>2536</v>
      </c>
      <c r="AF322" s="574" t="s">
        <v>2535</v>
      </c>
      <c r="AG322" s="576">
        <v>11552.2</v>
      </c>
      <c r="AH322" s="576">
        <v>0</v>
      </c>
    </row>
    <row r="323" spans="1:34" customFormat="1" x14ac:dyDescent="0.25">
      <c r="A323" s="574" t="s">
        <v>2219</v>
      </c>
      <c r="B323" s="574" t="s">
        <v>2220</v>
      </c>
      <c r="C323" s="574" t="s">
        <v>2221</v>
      </c>
      <c r="D323" s="574" t="s">
        <v>2220</v>
      </c>
      <c r="E323" s="574" t="s">
        <v>2222</v>
      </c>
      <c r="F323" s="574" t="s">
        <v>2223</v>
      </c>
      <c r="G323" s="574" t="s">
        <v>2224</v>
      </c>
      <c r="H323" s="574" t="s">
        <v>2225</v>
      </c>
      <c r="I323" s="574" t="s">
        <v>2226</v>
      </c>
      <c r="J323" s="574" t="s">
        <v>2227</v>
      </c>
      <c r="K323" s="574" t="s">
        <v>2228</v>
      </c>
      <c r="L323" s="574" t="s">
        <v>2229</v>
      </c>
      <c r="M323" s="574" t="s">
        <v>2230</v>
      </c>
      <c r="N323" s="574" t="s">
        <v>2231</v>
      </c>
      <c r="O323" s="574" t="s">
        <v>2232</v>
      </c>
      <c r="P323" s="574" t="s">
        <v>2233</v>
      </c>
      <c r="Q323" s="574" t="s">
        <v>2234</v>
      </c>
      <c r="R323" s="574" t="s">
        <v>2225</v>
      </c>
      <c r="S323" s="574" t="s">
        <v>2737</v>
      </c>
      <c r="T323" s="574" t="s">
        <v>2738</v>
      </c>
      <c r="U323" s="574" t="s">
        <v>2814</v>
      </c>
      <c r="V323" s="574" t="s">
        <v>2238</v>
      </c>
      <c r="W323" s="574" t="s">
        <v>2239</v>
      </c>
      <c r="X323" s="574" t="s">
        <v>2575</v>
      </c>
      <c r="Y323" s="575" t="s">
        <v>2674</v>
      </c>
      <c r="Z323" s="575" t="s">
        <v>2674</v>
      </c>
      <c r="AA323" s="574" t="s">
        <v>1695</v>
      </c>
      <c r="AB323" s="574" t="s">
        <v>2337</v>
      </c>
      <c r="AC323" s="574" t="s">
        <v>2338</v>
      </c>
      <c r="AD323" s="574" t="s">
        <v>2339</v>
      </c>
      <c r="AE323" s="574" t="s">
        <v>1436</v>
      </c>
      <c r="AF323" s="574" t="s">
        <v>2339</v>
      </c>
      <c r="AG323" s="576">
        <v>43891.28</v>
      </c>
      <c r="AH323" s="576">
        <v>0</v>
      </c>
    </row>
    <row r="324" spans="1:34" customFormat="1" x14ac:dyDescent="0.25">
      <c r="A324" s="574" t="s">
        <v>2219</v>
      </c>
      <c r="B324" s="574" t="s">
        <v>2220</v>
      </c>
      <c r="C324" s="574" t="s">
        <v>2221</v>
      </c>
      <c r="D324" s="574" t="s">
        <v>2220</v>
      </c>
      <c r="E324" s="574" t="s">
        <v>2222</v>
      </c>
      <c r="F324" s="574" t="s">
        <v>2223</v>
      </c>
      <c r="G324" s="574" t="s">
        <v>2224</v>
      </c>
      <c r="H324" s="574" t="s">
        <v>2225</v>
      </c>
      <c r="I324" s="574" t="s">
        <v>2226</v>
      </c>
      <c r="J324" s="574" t="s">
        <v>2227</v>
      </c>
      <c r="K324" s="574" t="s">
        <v>2228</v>
      </c>
      <c r="L324" s="574" t="s">
        <v>2229</v>
      </c>
      <c r="M324" s="574" t="s">
        <v>2230</v>
      </c>
      <c r="N324" s="574" t="s">
        <v>2231</v>
      </c>
      <c r="O324" s="574" t="s">
        <v>2232</v>
      </c>
      <c r="P324" s="574" t="s">
        <v>2233</v>
      </c>
      <c r="Q324" s="574" t="s">
        <v>2234</v>
      </c>
      <c r="R324" s="574" t="s">
        <v>2225</v>
      </c>
      <c r="S324" s="574" t="s">
        <v>2737</v>
      </c>
      <c r="T324" s="574" t="s">
        <v>2738</v>
      </c>
      <c r="U324" s="574" t="s">
        <v>2815</v>
      </c>
      <c r="V324" s="574" t="s">
        <v>2238</v>
      </c>
      <c r="W324" s="574" t="s">
        <v>2239</v>
      </c>
      <c r="X324" s="574" t="s">
        <v>2552</v>
      </c>
      <c r="Y324" s="575" t="s">
        <v>2512</v>
      </c>
      <c r="Z324" s="575" t="s">
        <v>2512</v>
      </c>
      <c r="AA324" s="574" t="s">
        <v>1691</v>
      </c>
      <c r="AB324" s="574" t="s">
        <v>2297</v>
      </c>
      <c r="AC324" s="574" t="s">
        <v>2298</v>
      </c>
      <c r="AD324" s="574" t="s">
        <v>2299</v>
      </c>
      <c r="AE324" s="574" t="s">
        <v>1468</v>
      </c>
      <c r="AF324" s="574" t="s">
        <v>2299</v>
      </c>
      <c r="AG324" s="576">
        <v>147800</v>
      </c>
      <c r="AH324" s="576">
        <v>0</v>
      </c>
    </row>
    <row r="325" spans="1:34" customFormat="1" x14ac:dyDescent="0.25">
      <c r="A325" s="574" t="s">
        <v>2219</v>
      </c>
      <c r="B325" s="574" t="s">
        <v>2220</v>
      </c>
      <c r="C325" s="574" t="s">
        <v>2221</v>
      </c>
      <c r="D325" s="574" t="s">
        <v>2220</v>
      </c>
      <c r="E325" s="574" t="s">
        <v>2222</v>
      </c>
      <c r="F325" s="574" t="s">
        <v>2223</v>
      </c>
      <c r="G325" s="574" t="s">
        <v>2224</v>
      </c>
      <c r="H325" s="574" t="s">
        <v>2225</v>
      </c>
      <c r="I325" s="574" t="s">
        <v>2226</v>
      </c>
      <c r="J325" s="574" t="s">
        <v>2227</v>
      </c>
      <c r="K325" s="574" t="s">
        <v>2228</v>
      </c>
      <c r="L325" s="574" t="s">
        <v>2229</v>
      </c>
      <c r="M325" s="574" t="s">
        <v>2230</v>
      </c>
      <c r="N325" s="574" t="s">
        <v>2231</v>
      </c>
      <c r="O325" s="574" t="s">
        <v>2232</v>
      </c>
      <c r="P325" s="574" t="s">
        <v>2233</v>
      </c>
      <c r="Q325" s="574" t="s">
        <v>2234</v>
      </c>
      <c r="R325" s="574" t="s">
        <v>2225</v>
      </c>
      <c r="S325" s="574" t="s">
        <v>2737</v>
      </c>
      <c r="T325" s="574" t="s">
        <v>2738</v>
      </c>
      <c r="U325" s="574" t="s">
        <v>2816</v>
      </c>
      <c r="V325" s="574" t="s">
        <v>2238</v>
      </c>
      <c r="W325" s="574" t="s">
        <v>2239</v>
      </c>
      <c r="X325" s="574" t="s">
        <v>2561</v>
      </c>
      <c r="Y325" s="575" t="s">
        <v>2512</v>
      </c>
      <c r="Z325" s="575" t="s">
        <v>2512</v>
      </c>
      <c r="AA325" s="574" t="s">
        <v>1692</v>
      </c>
      <c r="AB325" s="574" t="s">
        <v>2307</v>
      </c>
      <c r="AC325" s="574" t="s">
        <v>2308</v>
      </c>
      <c r="AD325" s="574" t="s">
        <v>2309</v>
      </c>
      <c r="AE325" s="574" t="s">
        <v>1490</v>
      </c>
      <c r="AF325" s="574" t="s">
        <v>176</v>
      </c>
      <c r="AG325" s="576">
        <v>147000</v>
      </c>
      <c r="AH325" s="576">
        <v>0</v>
      </c>
    </row>
    <row r="326" spans="1:34" customFormat="1" x14ac:dyDescent="0.25">
      <c r="A326" s="574" t="s">
        <v>2219</v>
      </c>
      <c r="B326" s="574" t="s">
        <v>2220</v>
      </c>
      <c r="C326" s="574" t="s">
        <v>2221</v>
      </c>
      <c r="D326" s="574" t="s">
        <v>2220</v>
      </c>
      <c r="E326" s="574" t="s">
        <v>2222</v>
      </c>
      <c r="F326" s="574" t="s">
        <v>2223</v>
      </c>
      <c r="G326" s="574" t="s">
        <v>2224</v>
      </c>
      <c r="H326" s="574" t="s">
        <v>2225</v>
      </c>
      <c r="I326" s="574" t="s">
        <v>2226</v>
      </c>
      <c r="J326" s="574" t="s">
        <v>2227</v>
      </c>
      <c r="K326" s="574" t="s">
        <v>2228</v>
      </c>
      <c r="L326" s="574" t="s">
        <v>2229</v>
      </c>
      <c r="M326" s="574" t="s">
        <v>2230</v>
      </c>
      <c r="N326" s="574" t="s">
        <v>2231</v>
      </c>
      <c r="O326" s="574" t="s">
        <v>2232</v>
      </c>
      <c r="P326" s="574" t="s">
        <v>2233</v>
      </c>
      <c r="Q326" s="574" t="s">
        <v>2234</v>
      </c>
      <c r="R326" s="574" t="s">
        <v>2225</v>
      </c>
      <c r="S326" s="574" t="s">
        <v>2737</v>
      </c>
      <c r="T326" s="574" t="s">
        <v>2738</v>
      </c>
      <c r="U326" s="574" t="s">
        <v>2817</v>
      </c>
      <c r="V326" s="574" t="s">
        <v>2238</v>
      </c>
      <c r="W326" s="574" t="s">
        <v>2239</v>
      </c>
      <c r="X326" s="574" t="s">
        <v>2559</v>
      </c>
      <c r="Y326" s="575" t="s">
        <v>2512</v>
      </c>
      <c r="Z326" s="575" t="s">
        <v>2512</v>
      </c>
      <c r="AA326" s="574" t="s">
        <v>1693</v>
      </c>
      <c r="AB326" s="574" t="s">
        <v>2319</v>
      </c>
      <c r="AC326" s="574" t="s">
        <v>2320</v>
      </c>
      <c r="AD326" s="574" t="s">
        <v>2321</v>
      </c>
      <c r="AE326" s="574" t="s">
        <v>1446</v>
      </c>
      <c r="AF326" s="574" t="s">
        <v>2321</v>
      </c>
      <c r="AG326" s="576">
        <v>13688</v>
      </c>
      <c r="AH326" s="576">
        <v>0</v>
      </c>
    </row>
    <row r="327" spans="1:34" customFormat="1" x14ac:dyDescent="0.25">
      <c r="A327" s="574" t="s">
        <v>2219</v>
      </c>
      <c r="B327" s="574" t="s">
        <v>2220</v>
      </c>
      <c r="C327" s="574" t="s">
        <v>2221</v>
      </c>
      <c r="D327" s="574" t="s">
        <v>2220</v>
      </c>
      <c r="E327" s="574" t="s">
        <v>2222</v>
      </c>
      <c r="F327" s="574" t="s">
        <v>2223</v>
      </c>
      <c r="G327" s="574" t="s">
        <v>2224</v>
      </c>
      <c r="H327" s="574" t="s">
        <v>2225</v>
      </c>
      <c r="I327" s="574" t="s">
        <v>2226</v>
      </c>
      <c r="J327" s="574" t="s">
        <v>2227</v>
      </c>
      <c r="K327" s="574" t="s">
        <v>2228</v>
      </c>
      <c r="L327" s="574" t="s">
        <v>2229</v>
      </c>
      <c r="M327" s="574" t="s">
        <v>2230</v>
      </c>
      <c r="N327" s="574" t="s">
        <v>2231</v>
      </c>
      <c r="O327" s="574" t="s">
        <v>2232</v>
      </c>
      <c r="P327" s="574" t="s">
        <v>2233</v>
      </c>
      <c r="Q327" s="574" t="s">
        <v>2234</v>
      </c>
      <c r="R327" s="574" t="s">
        <v>2225</v>
      </c>
      <c r="S327" s="574" t="s">
        <v>2737</v>
      </c>
      <c r="T327" s="574" t="s">
        <v>2738</v>
      </c>
      <c r="U327" s="574" t="s">
        <v>2818</v>
      </c>
      <c r="V327" s="574" t="s">
        <v>2238</v>
      </c>
      <c r="W327" s="574" t="s">
        <v>2239</v>
      </c>
      <c r="X327" s="574" t="s">
        <v>2583</v>
      </c>
      <c r="Y327" s="575" t="s">
        <v>2675</v>
      </c>
      <c r="Z327" s="575" t="s">
        <v>2675</v>
      </c>
      <c r="AA327" s="574" t="s">
        <v>1691</v>
      </c>
      <c r="AB327" s="574" t="s">
        <v>2297</v>
      </c>
      <c r="AC327" s="574" t="s">
        <v>2298</v>
      </c>
      <c r="AD327" s="574" t="s">
        <v>2299</v>
      </c>
      <c r="AE327" s="574" t="s">
        <v>1468</v>
      </c>
      <c r="AF327" s="574" t="s">
        <v>2299</v>
      </c>
      <c r="AG327" s="576">
        <v>188200</v>
      </c>
      <c r="AH327" s="576">
        <v>0</v>
      </c>
    </row>
    <row r="328" spans="1:34" customFormat="1" x14ac:dyDescent="0.25">
      <c r="A328" s="574" t="s">
        <v>2219</v>
      </c>
      <c r="B328" s="574" t="s">
        <v>2220</v>
      </c>
      <c r="C328" s="574" t="s">
        <v>2221</v>
      </c>
      <c r="D328" s="574" t="s">
        <v>2220</v>
      </c>
      <c r="E328" s="574" t="s">
        <v>2222</v>
      </c>
      <c r="F328" s="574" t="s">
        <v>2223</v>
      </c>
      <c r="G328" s="574" t="s">
        <v>2224</v>
      </c>
      <c r="H328" s="574" t="s">
        <v>2225</v>
      </c>
      <c r="I328" s="574" t="s">
        <v>2226</v>
      </c>
      <c r="J328" s="574" t="s">
        <v>2227</v>
      </c>
      <c r="K328" s="574" t="s">
        <v>2228</v>
      </c>
      <c r="L328" s="574" t="s">
        <v>2229</v>
      </c>
      <c r="M328" s="574" t="s">
        <v>2230</v>
      </c>
      <c r="N328" s="574" t="s">
        <v>2231</v>
      </c>
      <c r="O328" s="574" t="s">
        <v>2232</v>
      </c>
      <c r="P328" s="574" t="s">
        <v>2233</v>
      </c>
      <c r="Q328" s="574" t="s">
        <v>2234</v>
      </c>
      <c r="R328" s="574" t="s">
        <v>2225</v>
      </c>
      <c r="S328" s="574" t="s">
        <v>2737</v>
      </c>
      <c r="T328" s="574" t="s">
        <v>2738</v>
      </c>
      <c r="U328" s="574" t="s">
        <v>2819</v>
      </c>
      <c r="V328" s="574" t="s">
        <v>2238</v>
      </c>
      <c r="W328" s="574" t="s">
        <v>2239</v>
      </c>
      <c r="X328" s="574" t="s">
        <v>2585</v>
      </c>
      <c r="Y328" s="575" t="s">
        <v>2531</v>
      </c>
      <c r="Z328" s="575" t="s">
        <v>2531</v>
      </c>
      <c r="AA328" s="574" t="s">
        <v>1691</v>
      </c>
      <c r="AB328" s="574" t="s">
        <v>2297</v>
      </c>
      <c r="AC328" s="574" t="s">
        <v>2298</v>
      </c>
      <c r="AD328" s="574" t="s">
        <v>2299</v>
      </c>
      <c r="AE328" s="574" t="s">
        <v>1468</v>
      </c>
      <c r="AF328" s="574" t="s">
        <v>2299</v>
      </c>
      <c r="AG328" s="576">
        <v>43750</v>
      </c>
      <c r="AH328" s="576">
        <v>0</v>
      </c>
    </row>
    <row r="329" spans="1:34" customFormat="1" x14ac:dyDescent="0.25">
      <c r="A329" s="574" t="s">
        <v>2219</v>
      </c>
      <c r="B329" s="574" t="s">
        <v>2220</v>
      </c>
      <c r="C329" s="574" t="s">
        <v>2221</v>
      </c>
      <c r="D329" s="574" t="s">
        <v>2220</v>
      </c>
      <c r="E329" s="574" t="s">
        <v>2222</v>
      </c>
      <c r="F329" s="574" t="s">
        <v>2223</v>
      </c>
      <c r="G329" s="574" t="s">
        <v>2224</v>
      </c>
      <c r="H329" s="574" t="s">
        <v>2225</v>
      </c>
      <c r="I329" s="574" t="s">
        <v>2226</v>
      </c>
      <c r="J329" s="574" t="s">
        <v>2227</v>
      </c>
      <c r="K329" s="574" t="s">
        <v>2228</v>
      </c>
      <c r="L329" s="574" t="s">
        <v>2229</v>
      </c>
      <c r="M329" s="574" t="s">
        <v>2230</v>
      </c>
      <c r="N329" s="574" t="s">
        <v>2231</v>
      </c>
      <c r="O329" s="574" t="s">
        <v>2232</v>
      </c>
      <c r="P329" s="574" t="s">
        <v>2233</v>
      </c>
      <c r="Q329" s="574" t="s">
        <v>2234</v>
      </c>
      <c r="R329" s="574" t="s">
        <v>2225</v>
      </c>
      <c r="S329" s="574" t="s">
        <v>2737</v>
      </c>
      <c r="T329" s="574" t="s">
        <v>2738</v>
      </c>
      <c r="U329" s="574" t="s">
        <v>2820</v>
      </c>
      <c r="V329" s="574" t="s">
        <v>2238</v>
      </c>
      <c r="W329" s="574" t="s">
        <v>2239</v>
      </c>
      <c r="X329" s="574" t="s">
        <v>2640</v>
      </c>
      <c r="Y329" s="575" t="s">
        <v>2562</v>
      </c>
      <c r="Z329" s="575" t="s">
        <v>2562</v>
      </c>
      <c r="AA329" s="574" t="s">
        <v>1692</v>
      </c>
      <c r="AB329" s="574" t="s">
        <v>2307</v>
      </c>
      <c r="AC329" s="574" t="s">
        <v>2308</v>
      </c>
      <c r="AD329" s="574" t="s">
        <v>2309</v>
      </c>
      <c r="AE329" s="574" t="s">
        <v>1490</v>
      </c>
      <c r="AF329" s="574" t="s">
        <v>176</v>
      </c>
      <c r="AG329" s="576">
        <v>683019</v>
      </c>
      <c r="AH329" s="576">
        <v>0</v>
      </c>
    </row>
    <row r="330" spans="1:34" customFormat="1" x14ac:dyDescent="0.25">
      <c r="A330" s="574" t="s">
        <v>2219</v>
      </c>
      <c r="B330" s="574" t="s">
        <v>2220</v>
      </c>
      <c r="C330" s="574" t="s">
        <v>2221</v>
      </c>
      <c r="D330" s="574" t="s">
        <v>2220</v>
      </c>
      <c r="E330" s="574" t="s">
        <v>2222</v>
      </c>
      <c r="F330" s="574" t="s">
        <v>2223</v>
      </c>
      <c r="G330" s="574" t="s">
        <v>2224</v>
      </c>
      <c r="H330" s="574" t="s">
        <v>2225</v>
      </c>
      <c r="I330" s="574" t="s">
        <v>2226</v>
      </c>
      <c r="J330" s="574" t="s">
        <v>2227</v>
      </c>
      <c r="K330" s="574" t="s">
        <v>2228</v>
      </c>
      <c r="L330" s="574" t="s">
        <v>2229</v>
      </c>
      <c r="M330" s="574" t="s">
        <v>2230</v>
      </c>
      <c r="N330" s="574" t="s">
        <v>2231</v>
      </c>
      <c r="O330" s="574" t="s">
        <v>2232</v>
      </c>
      <c r="P330" s="574" t="s">
        <v>2233</v>
      </c>
      <c r="Q330" s="574" t="s">
        <v>2234</v>
      </c>
      <c r="R330" s="574" t="s">
        <v>2225</v>
      </c>
      <c r="S330" s="574" t="s">
        <v>2737</v>
      </c>
      <c r="T330" s="574" t="s">
        <v>2738</v>
      </c>
      <c r="U330" s="574" t="s">
        <v>2820</v>
      </c>
      <c r="V330" s="574" t="s">
        <v>2238</v>
      </c>
      <c r="W330" s="574" t="s">
        <v>2239</v>
      </c>
      <c r="X330" s="574" t="s">
        <v>2640</v>
      </c>
      <c r="Y330" s="575" t="s">
        <v>2562</v>
      </c>
      <c r="Z330" s="575" t="s">
        <v>2562</v>
      </c>
      <c r="AA330" s="574" t="s">
        <v>1693</v>
      </c>
      <c r="AB330" s="574" t="s">
        <v>2319</v>
      </c>
      <c r="AC330" s="574" t="s">
        <v>2402</v>
      </c>
      <c r="AD330" s="574" t="s">
        <v>2403</v>
      </c>
      <c r="AE330" s="574" t="s">
        <v>1486</v>
      </c>
      <c r="AF330" s="574" t="s">
        <v>2403</v>
      </c>
      <c r="AG330" s="576">
        <v>22694</v>
      </c>
      <c r="AH330" s="576">
        <v>0</v>
      </c>
    </row>
    <row r="331" spans="1:34" customFormat="1" x14ac:dyDescent="0.25">
      <c r="A331" s="574" t="s">
        <v>2219</v>
      </c>
      <c r="B331" s="574" t="s">
        <v>2220</v>
      </c>
      <c r="C331" s="574" t="s">
        <v>2221</v>
      </c>
      <c r="D331" s="574" t="s">
        <v>2220</v>
      </c>
      <c r="E331" s="574" t="s">
        <v>2222</v>
      </c>
      <c r="F331" s="574" t="s">
        <v>2223</v>
      </c>
      <c r="G331" s="574" t="s">
        <v>2224</v>
      </c>
      <c r="H331" s="574" t="s">
        <v>2225</v>
      </c>
      <c r="I331" s="574" t="s">
        <v>2226</v>
      </c>
      <c r="J331" s="574" t="s">
        <v>2227</v>
      </c>
      <c r="K331" s="574" t="s">
        <v>2228</v>
      </c>
      <c r="L331" s="574" t="s">
        <v>2229</v>
      </c>
      <c r="M331" s="574" t="s">
        <v>2230</v>
      </c>
      <c r="N331" s="574" t="s">
        <v>2231</v>
      </c>
      <c r="O331" s="574" t="s">
        <v>2232</v>
      </c>
      <c r="P331" s="574" t="s">
        <v>2233</v>
      </c>
      <c r="Q331" s="574" t="s">
        <v>2234</v>
      </c>
      <c r="R331" s="574" t="s">
        <v>2225</v>
      </c>
      <c r="S331" s="574" t="s">
        <v>2737</v>
      </c>
      <c r="T331" s="574" t="s">
        <v>2738</v>
      </c>
      <c r="U331" s="574" t="s">
        <v>2821</v>
      </c>
      <c r="V331" s="574" t="s">
        <v>2238</v>
      </c>
      <c r="W331" s="574" t="s">
        <v>2239</v>
      </c>
      <c r="X331" s="574" t="s">
        <v>2633</v>
      </c>
      <c r="Y331" s="575" t="s">
        <v>2677</v>
      </c>
      <c r="Z331" s="575" t="s">
        <v>2677</v>
      </c>
      <c r="AA331" s="574" t="s">
        <v>1692</v>
      </c>
      <c r="AB331" s="574" t="s">
        <v>2307</v>
      </c>
      <c r="AC331" s="574" t="s">
        <v>2308</v>
      </c>
      <c r="AD331" s="574" t="s">
        <v>2309</v>
      </c>
      <c r="AE331" s="574" t="s">
        <v>1490</v>
      </c>
      <c r="AF331" s="574" t="s">
        <v>176</v>
      </c>
      <c r="AG331" s="576">
        <v>304806.3</v>
      </c>
      <c r="AH331" s="576">
        <v>0</v>
      </c>
    </row>
    <row r="332" spans="1:34" customFormat="1" x14ac:dyDescent="0.25">
      <c r="A332" s="574" t="s">
        <v>2219</v>
      </c>
      <c r="B332" s="574" t="s">
        <v>2220</v>
      </c>
      <c r="C332" s="574" t="s">
        <v>2221</v>
      </c>
      <c r="D332" s="574" t="s">
        <v>2220</v>
      </c>
      <c r="E332" s="574" t="s">
        <v>2222</v>
      </c>
      <c r="F332" s="574" t="s">
        <v>2223</v>
      </c>
      <c r="G332" s="574" t="s">
        <v>2224</v>
      </c>
      <c r="H332" s="574" t="s">
        <v>2225</v>
      </c>
      <c r="I332" s="574" t="s">
        <v>2226</v>
      </c>
      <c r="J332" s="574" t="s">
        <v>2227</v>
      </c>
      <c r="K332" s="574" t="s">
        <v>2228</v>
      </c>
      <c r="L332" s="574" t="s">
        <v>2229</v>
      </c>
      <c r="M332" s="574" t="s">
        <v>2230</v>
      </c>
      <c r="N332" s="574" t="s">
        <v>2231</v>
      </c>
      <c r="O332" s="574" t="s">
        <v>2232</v>
      </c>
      <c r="P332" s="574" t="s">
        <v>2233</v>
      </c>
      <c r="Q332" s="574" t="s">
        <v>2234</v>
      </c>
      <c r="R332" s="574" t="s">
        <v>2225</v>
      </c>
      <c r="S332" s="574" t="s">
        <v>2737</v>
      </c>
      <c r="T332" s="574" t="s">
        <v>2738</v>
      </c>
      <c r="U332" s="574" t="s">
        <v>2822</v>
      </c>
      <c r="V332" s="574" t="s">
        <v>2238</v>
      </c>
      <c r="W332" s="574" t="s">
        <v>2239</v>
      </c>
      <c r="X332" s="574" t="s">
        <v>2598</v>
      </c>
      <c r="Y332" s="575" t="s">
        <v>2677</v>
      </c>
      <c r="Z332" s="575" t="s">
        <v>2677</v>
      </c>
      <c r="AA332" s="574" t="s">
        <v>1692</v>
      </c>
      <c r="AB332" s="574" t="s">
        <v>2307</v>
      </c>
      <c r="AC332" s="574" t="s">
        <v>2308</v>
      </c>
      <c r="AD332" s="574" t="s">
        <v>2309</v>
      </c>
      <c r="AE332" s="574" t="s">
        <v>1490</v>
      </c>
      <c r="AF332" s="574" t="s">
        <v>176</v>
      </c>
      <c r="AG332" s="576">
        <v>312011</v>
      </c>
      <c r="AH332" s="576">
        <v>0</v>
      </c>
    </row>
    <row r="333" spans="1:34" customFormat="1" x14ac:dyDescent="0.25">
      <c r="A333" s="574" t="s">
        <v>2219</v>
      </c>
      <c r="B333" s="574" t="s">
        <v>2220</v>
      </c>
      <c r="C333" s="574" t="s">
        <v>2221</v>
      </c>
      <c r="D333" s="574" t="s">
        <v>2220</v>
      </c>
      <c r="E333" s="574" t="s">
        <v>2222</v>
      </c>
      <c r="F333" s="574" t="s">
        <v>2223</v>
      </c>
      <c r="G333" s="574" t="s">
        <v>2224</v>
      </c>
      <c r="H333" s="574" t="s">
        <v>2225</v>
      </c>
      <c r="I333" s="574" t="s">
        <v>2226</v>
      </c>
      <c r="J333" s="574" t="s">
        <v>2227</v>
      </c>
      <c r="K333" s="574" t="s">
        <v>2228</v>
      </c>
      <c r="L333" s="574" t="s">
        <v>2229</v>
      </c>
      <c r="M333" s="574" t="s">
        <v>2230</v>
      </c>
      <c r="N333" s="574" t="s">
        <v>2231</v>
      </c>
      <c r="O333" s="574" t="s">
        <v>2232</v>
      </c>
      <c r="P333" s="574" t="s">
        <v>2233</v>
      </c>
      <c r="Q333" s="574" t="s">
        <v>2234</v>
      </c>
      <c r="R333" s="574" t="s">
        <v>2225</v>
      </c>
      <c r="S333" s="574" t="s">
        <v>2737</v>
      </c>
      <c r="T333" s="574" t="s">
        <v>2738</v>
      </c>
      <c r="U333" s="574" t="s">
        <v>2823</v>
      </c>
      <c r="V333" s="574" t="s">
        <v>2238</v>
      </c>
      <c r="W333" s="574" t="s">
        <v>2239</v>
      </c>
      <c r="X333" s="574" t="s">
        <v>2631</v>
      </c>
      <c r="Y333" s="575" t="s">
        <v>2677</v>
      </c>
      <c r="Z333" s="575" t="s">
        <v>2677</v>
      </c>
      <c r="AA333" s="574" t="s">
        <v>1692</v>
      </c>
      <c r="AB333" s="574" t="s">
        <v>2307</v>
      </c>
      <c r="AC333" s="574" t="s">
        <v>2308</v>
      </c>
      <c r="AD333" s="574" t="s">
        <v>2309</v>
      </c>
      <c r="AE333" s="574" t="s">
        <v>1490</v>
      </c>
      <c r="AF333" s="574" t="s">
        <v>176</v>
      </c>
      <c r="AG333" s="576">
        <v>249185.88</v>
      </c>
      <c r="AH333" s="576">
        <v>0</v>
      </c>
    </row>
    <row r="334" spans="1:34" customFormat="1" x14ac:dyDescent="0.25">
      <c r="A334" s="574" t="s">
        <v>2219</v>
      </c>
      <c r="B334" s="574" t="s">
        <v>2220</v>
      </c>
      <c r="C334" s="574" t="s">
        <v>2221</v>
      </c>
      <c r="D334" s="574" t="s">
        <v>2220</v>
      </c>
      <c r="E334" s="574" t="s">
        <v>2222</v>
      </c>
      <c r="F334" s="574" t="s">
        <v>2223</v>
      </c>
      <c r="G334" s="574" t="s">
        <v>2224</v>
      </c>
      <c r="H334" s="574" t="s">
        <v>2225</v>
      </c>
      <c r="I334" s="574" t="s">
        <v>2226</v>
      </c>
      <c r="J334" s="574" t="s">
        <v>2227</v>
      </c>
      <c r="K334" s="574" t="s">
        <v>2228</v>
      </c>
      <c r="L334" s="574" t="s">
        <v>2229</v>
      </c>
      <c r="M334" s="574" t="s">
        <v>2230</v>
      </c>
      <c r="N334" s="574" t="s">
        <v>2231</v>
      </c>
      <c r="O334" s="574" t="s">
        <v>2232</v>
      </c>
      <c r="P334" s="574" t="s">
        <v>2233</v>
      </c>
      <c r="Q334" s="574" t="s">
        <v>2234</v>
      </c>
      <c r="R334" s="574" t="s">
        <v>2225</v>
      </c>
      <c r="S334" s="574" t="s">
        <v>2737</v>
      </c>
      <c r="T334" s="574" t="s">
        <v>2738</v>
      </c>
      <c r="U334" s="574" t="s">
        <v>2824</v>
      </c>
      <c r="V334" s="574" t="s">
        <v>2238</v>
      </c>
      <c r="W334" s="574" t="s">
        <v>2239</v>
      </c>
      <c r="X334" s="574" t="s">
        <v>2592</v>
      </c>
      <c r="Y334" s="575" t="s">
        <v>2677</v>
      </c>
      <c r="Z334" s="575" t="s">
        <v>2677</v>
      </c>
      <c r="AA334" s="574" t="s">
        <v>1692</v>
      </c>
      <c r="AB334" s="574" t="s">
        <v>2307</v>
      </c>
      <c r="AC334" s="574" t="s">
        <v>2308</v>
      </c>
      <c r="AD334" s="574" t="s">
        <v>2309</v>
      </c>
      <c r="AE334" s="574" t="s">
        <v>1490</v>
      </c>
      <c r="AF334" s="574" t="s">
        <v>176</v>
      </c>
      <c r="AG334" s="576">
        <v>351123.22</v>
      </c>
      <c r="AH334" s="576">
        <v>0</v>
      </c>
    </row>
    <row r="335" spans="1:34" customFormat="1" x14ac:dyDescent="0.25">
      <c r="A335" s="574" t="s">
        <v>2219</v>
      </c>
      <c r="B335" s="574" t="s">
        <v>2220</v>
      </c>
      <c r="C335" s="574" t="s">
        <v>2221</v>
      </c>
      <c r="D335" s="574" t="s">
        <v>2220</v>
      </c>
      <c r="E335" s="574" t="s">
        <v>2222</v>
      </c>
      <c r="F335" s="574" t="s">
        <v>2223</v>
      </c>
      <c r="G335" s="574" t="s">
        <v>2224</v>
      </c>
      <c r="H335" s="574" t="s">
        <v>2225</v>
      </c>
      <c r="I335" s="574" t="s">
        <v>2226</v>
      </c>
      <c r="J335" s="574" t="s">
        <v>2227</v>
      </c>
      <c r="K335" s="574" t="s">
        <v>2228</v>
      </c>
      <c r="L335" s="574" t="s">
        <v>2229</v>
      </c>
      <c r="M335" s="574" t="s">
        <v>2230</v>
      </c>
      <c r="N335" s="574" t="s">
        <v>2231</v>
      </c>
      <c r="O335" s="574" t="s">
        <v>2232</v>
      </c>
      <c r="P335" s="574" t="s">
        <v>2233</v>
      </c>
      <c r="Q335" s="574" t="s">
        <v>2234</v>
      </c>
      <c r="R335" s="574" t="s">
        <v>2225</v>
      </c>
      <c r="S335" s="574" t="s">
        <v>2737</v>
      </c>
      <c r="T335" s="574" t="s">
        <v>2738</v>
      </c>
      <c r="U335" s="574" t="s">
        <v>2825</v>
      </c>
      <c r="V335" s="574" t="s">
        <v>2238</v>
      </c>
      <c r="W335" s="574" t="s">
        <v>2239</v>
      </c>
      <c r="X335" s="574" t="s">
        <v>2603</v>
      </c>
      <c r="Y335" s="575" t="s">
        <v>2565</v>
      </c>
      <c r="Z335" s="575" t="s">
        <v>2565</v>
      </c>
      <c r="AA335" s="574" t="s">
        <v>1692</v>
      </c>
      <c r="AB335" s="574" t="s">
        <v>2307</v>
      </c>
      <c r="AC335" s="574" t="s">
        <v>2308</v>
      </c>
      <c r="AD335" s="574" t="s">
        <v>2309</v>
      </c>
      <c r="AE335" s="574" t="s">
        <v>1490</v>
      </c>
      <c r="AF335" s="574" t="s">
        <v>176</v>
      </c>
      <c r="AG335" s="576">
        <v>95995</v>
      </c>
      <c r="AH335" s="576">
        <v>0</v>
      </c>
    </row>
    <row r="336" spans="1:34" customFormat="1" x14ac:dyDescent="0.25">
      <c r="A336" s="574" t="s">
        <v>2219</v>
      </c>
      <c r="B336" s="574" t="s">
        <v>2220</v>
      </c>
      <c r="C336" s="574" t="s">
        <v>2221</v>
      </c>
      <c r="D336" s="574" t="s">
        <v>2220</v>
      </c>
      <c r="E336" s="574" t="s">
        <v>2222</v>
      </c>
      <c r="F336" s="574" t="s">
        <v>2223</v>
      </c>
      <c r="G336" s="574" t="s">
        <v>2224</v>
      </c>
      <c r="H336" s="574" t="s">
        <v>2225</v>
      </c>
      <c r="I336" s="574" t="s">
        <v>2226</v>
      </c>
      <c r="J336" s="574" t="s">
        <v>2227</v>
      </c>
      <c r="K336" s="574" t="s">
        <v>2228</v>
      </c>
      <c r="L336" s="574" t="s">
        <v>2229</v>
      </c>
      <c r="M336" s="574" t="s">
        <v>2230</v>
      </c>
      <c r="N336" s="574" t="s">
        <v>2231</v>
      </c>
      <c r="O336" s="574" t="s">
        <v>2232</v>
      </c>
      <c r="P336" s="574" t="s">
        <v>2233</v>
      </c>
      <c r="Q336" s="574" t="s">
        <v>2234</v>
      </c>
      <c r="R336" s="574" t="s">
        <v>2225</v>
      </c>
      <c r="S336" s="574" t="s">
        <v>2737</v>
      </c>
      <c r="T336" s="574" t="s">
        <v>2738</v>
      </c>
      <c r="U336" s="574" t="s">
        <v>2826</v>
      </c>
      <c r="V336" s="574" t="s">
        <v>2238</v>
      </c>
      <c r="W336" s="574" t="s">
        <v>2239</v>
      </c>
      <c r="X336" s="574" t="s">
        <v>2638</v>
      </c>
      <c r="Y336" s="575" t="s">
        <v>2565</v>
      </c>
      <c r="Z336" s="575" t="s">
        <v>2565</v>
      </c>
      <c r="AA336" s="574" t="s">
        <v>1692</v>
      </c>
      <c r="AB336" s="574" t="s">
        <v>2307</v>
      </c>
      <c r="AC336" s="574" t="s">
        <v>2308</v>
      </c>
      <c r="AD336" s="574" t="s">
        <v>2309</v>
      </c>
      <c r="AE336" s="574" t="s">
        <v>1490</v>
      </c>
      <c r="AF336" s="574" t="s">
        <v>176</v>
      </c>
      <c r="AG336" s="576">
        <v>13409</v>
      </c>
      <c r="AH336" s="576">
        <v>0</v>
      </c>
    </row>
    <row r="337" spans="1:34" customFormat="1" x14ac:dyDescent="0.25">
      <c r="A337" s="574" t="s">
        <v>2219</v>
      </c>
      <c r="B337" s="574" t="s">
        <v>2220</v>
      </c>
      <c r="C337" s="574" t="s">
        <v>2221</v>
      </c>
      <c r="D337" s="574" t="s">
        <v>2220</v>
      </c>
      <c r="E337" s="574" t="s">
        <v>2222</v>
      </c>
      <c r="F337" s="574" t="s">
        <v>2223</v>
      </c>
      <c r="G337" s="574" t="s">
        <v>2224</v>
      </c>
      <c r="H337" s="574" t="s">
        <v>2225</v>
      </c>
      <c r="I337" s="574" t="s">
        <v>2226</v>
      </c>
      <c r="J337" s="574" t="s">
        <v>2227</v>
      </c>
      <c r="K337" s="574" t="s">
        <v>2228</v>
      </c>
      <c r="L337" s="574" t="s">
        <v>2229</v>
      </c>
      <c r="M337" s="574" t="s">
        <v>2230</v>
      </c>
      <c r="N337" s="574" t="s">
        <v>2231</v>
      </c>
      <c r="O337" s="574" t="s">
        <v>2232</v>
      </c>
      <c r="P337" s="574" t="s">
        <v>2233</v>
      </c>
      <c r="Q337" s="574" t="s">
        <v>2234</v>
      </c>
      <c r="R337" s="574" t="s">
        <v>2225</v>
      </c>
      <c r="S337" s="574" t="s">
        <v>2737</v>
      </c>
      <c r="T337" s="574" t="s">
        <v>2738</v>
      </c>
      <c r="U337" s="574" t="s">
        <v>2827</v>
      </c>
      <c r="V337" s="574" t="s">
        <v>2238</v>
      </c>
      <c r="W337" s="574" t="s">
        <v>2239</v>
      </c>
      <c r="X337" s="574" t="s">
        <v>2636</v>
      </c>
      <c r="Y337" s="575" t="s">
        <v>2565</v>
      </c>
      <c r="Z337" s="575" t="s">
        <v>2565</v>
      </c>
      <c r="AA337" s="574" t="s">
        <v>1692</v>
      </c>
      <c r="AB337" s="574" t="s">
        <v>2307</v>
      </c>
      <c r="AC337" s="574" t="s">
        <v>2308</v>
      </c>
      <c r="AD337" s="574" t="s">
        <v>2309</v>
      </c>
      <c r="AE337" s="574" t="s">
        <v>1490</v>
      </c>
      <c r="AF337" s="574" t="s">
        <v>176</v>
      </c>
      <c r="AG337" s="576">
        <v>40400</v>
      </c>
      <c r="AH337" s="576">
        <v>0</v>
      </c>
    </row>
    <row r="338" spans="1:34" customFormat="1" x14ac:dyDescent="0.25">
      <c r="A338" s="574" t="s">
        <v>2219</v>
      </c>
      <c r="B338" s="574" t="s">
        <v>2220</v>
      </c>
      <c r="C338" s="574" t="s">
        <v>2221</v>
      </c>
      <c r="D338" s="574" t="s">
        <v>2220</v>
      </c>
      <c r="E338" s="574" t="s">
        <v>2222</v>
      </c>
      <c r="F338" s="574" t="s">
        <v>2223</v>
      </c>
      <c r="G338" s="574" t="s">
        <v>2224</v>
      </c>
      <c r="H338" s="574" t="s">
        <v>2225</v>
      </c>
      <c r="I338" s="574" t="s">
        <v>2226</v>
      </c>
      <c r="J338" s="574" t="s">
        <v>2227</v>
      </c>
      <c r="K338" s="574" t="s">
        <v>2228</v>
      </c>
      <c r="L338" s="574" t="s">
        <v>2229</v>
      </c>
      <c r="M338" s="574" t="s">
        <v>2230</v>
      </c>
      <c r="N338" s="574" t="s">
        <v>2231</v>
      </c>
      <c r="O338" s="574" t="s">
        <v>2232</v>
      </c>
      <c r="P338" s="574" t="s">
        <v>2233</v>
      </c>
      <c r="Q338" s="574" t="s">
        <v>2234</v>
      </c>
      <c r="R338" s="574" t="s">
        <v>2225</v>
      </c>
      <c r="S338" s="574" t="s">
        <v>2737</v>
      </c>
      <c r="T338" s="574" t="s">
        <v>2738</v>
      </c>
      <c r="U338" s="574" t="s">
        <v>2828</v>
      </c>
      <c r="V338" s="574" t="s">
        <v>2238</v>
      </c>
      <c r="W338" s="574" t="s">
        <v>2239</v>
      </c>
      <c r="X338" s="574" t="s">
        <v>2605</v>
      </c>
      <c r="Y338" s="575" t="s">
        <v>2565</v>
      </c>
      <c r="Z338" s="575" t="s">
        <v>2565</v>
      </c>
      <c r="AA338" s="574" t="s">
        <v>1692</v>
      </c>
      <c r="AB338" s="574" t="s">
        <v>2307</v>
      </c>
      <c r="AC338" s="574" t="s">
        <v>2308</v>
      </c>
      <c r="AD338" s="574" t="s">
        <v>2309</v>
      </c>
      <c r="AE338" s="574" t="s">
        <v>1490</v>
      </c>
      <c r="AF338" s="574" t="s">
        <v>176</v>
      </c>
      <c r="AG338" s="576">
        <v>66805</v>
      </c>
      <c r="AH338" s="576">
        <v>0</v>
      </c>
    </row>
    <row r="339" spans="1:34" customFormat="1" x14ac:dyDescent="0.25">
      <c r="A339" s="574" t="s">
        <v>2219</v>
      </c>
      <c r="B339" s="574" t="s">
        <v>2220</v>
      </c>
      <c r="C339" s="574" t="s">
        <v>2221</v>
      </c>
      <c r="D339" s="574" t="s">
        <v>2220</v>
      </c>
      <c r="E339" s="574" t="s">
        <v>2222</v>
      </c>
      <c r="F339" s="574" t="s">
        <v>2223</v>
      </c>
      <c r="G339" s="574" t="s">
        <v>2224</v>
      </c>
      <c r="H339" s="574" t="s">
        <v>2225</v>
      </c>
      <c r="I339" s="574" t="s">
        <v>2226</v>
      </c>
      <c r="J339" s="574" t="s">
        <v>2227</v>
      </c>
      <c r="K339" s="574" t="s">
        <v>2228</v>
      </c>
      <c r="L339" s="574" t="s">
        <v>2229</v>
      </c>
      <c r="M339" s="574" t="s">
        <v>2230</v>
      </c>
      <c r="N339" s="574" t="s">
        <v>2231</v>
      </c>
      <c r="O339" s="574" t="s">
        <v>2232</v>
      </c>
      <c r="P339" s="574" t="s">
        <v>2233</v>
      </c>
      <c r="Q339" s="574" t="s">
        <v>2234</v>
      </c>
      <c r="R339" s="574" t="s">
        <v>2225</v>
      </c>
      <c r="S339" s="574" t="s">
        <v>2737</v>
      </c>
      <c r="T339" s="574" t="s">
        <v>2738</v>
      </c>
      <c r="U339" s="574" t="s">
        <v>2829</v>
      </c>
      <c r="V339" s="574" t="s">
        <v>2238</v>
      </c>
      <c r="W339" s="574" t="s">
        <v>2239</v>
      </c>
      <c r="X339" s="574" t="s">
        <v>2645</v>
      </c>
      <c r="Y339" s="575" t="s">
        <v>2565</v>
      </c>
      <c r="Z339" s="575" t="s">
        <v>2565</v>
      </c>
      <c r="AA339" s="574" t="s">
        <v>1692</v>
      </c>
      <c r="AB339" s="574" t="s">
        <v>2307</v>
      </c>
      <c r="AC339" s="574" t="s">
        <v>2308</v>
      </c>
      <c r="AD339" s="574" t="s">
        <v>2309</v>
      </c>
      <c r="AE339" s="574" t="s">
        <v>1490</v>
      </c>
      <c r="AF339" s="574" t="s">
        <v>176</v>
      </c>
      <c r="AG339" s="576">
        <v>787967</v>
      </c>
      <c r="AH339" s="576">
        <v>0</v>
      </c>
    </row>
    <row r="340" spans="1:34" customFormat="1" x14ac:dyDescent="0.25">
      <c r="A340" s="574" t="s">
        <v>2219</v>
      </c>
      <c r="B340" s="574" t="s">
        <v>2220</v>
      </c>
      <c r="C340" s="574" t="s">
        <v>2221</v>
      </c>
      <c r="D340" s="574" t="s">
        <v>2220</v>
      </c>
      <c r="E340" s="574" t="s">
        <v>2222</v>
      </c>
      <c r="F340" s="574" t="s">
        <v>2223</v>
      </c>
      <c r="G340" s="574" t="s">
        <v>2224</v>
      </c>
      <c r="H340" s="574" t="s">
        <v>2225</v>
      </c>
      <c r="I340" s="574" t="s">
        <v>2226</v>
      </c>
      <c r="J340" s="574" t="s">
        <v>2227</v>
      </c>
      <c r="K340" s="574" t="s">
        <v>2228</v>
      </c>
      <c r="L340" s="574" t="s">
        <v>2229</v>
      </c>
      <c r="M340" s="574" t="s">
        <v>2230</v>
      </c>
      <c r="N340" s="574" t="s">
        <v>2231</v>
      </c>
      <c r="O340" s="574" t="s">
        <v>2232</v>
      </c>
      <c r="P340" s="574" t="s">
        <v>2233</v>
      </c>
      <c r="Q340" s="574" t="s">
        <v>2234</v>
      </c>
      <c r="R340" s="574" t="s">
        <v>2225</v>
      </c>
      <c r="S340" s="574" t="s">
        <v>2737</v>
      </c>
      <c r="T340" s="574" t="s">
        <v>2738</v>
      </c>
      <c r="U340" s="574" t="s">
        <v>2830</v>
      </c>
      <c r="V340" s="574" t="s">
        <v>2238</v>
      </c>
      <c r="W340" s="574" t="s">
        <v>2239</v>
      </c>
      <c r="X340" s="574" t="s">
        <v>2607</v>
      </c>
      <c r="Y340" s="575" t="s">
        <v>2568</v>
      </c>
      <c r="Z340" s="575" t="s">
        <v>2568</v>
      </c>
      <c r="AA340" s="574" t="s">
        <v>1692</v>
      </c>
      <c r="AB340" s="574" t="s">
        <v>2307</v>
      </c>
      <c r="AC340" s="574" t="s">
        <v>2308</v>
      </c>
      <c r="AD340" s="574" t="s">
        <v>2309</v>
      </c>
      <c r="AE340" s="574" t="s">
        <v>1490</v>
      </c>
      <c r="AF340" s="574" t="s">
        <v>176</v>
      </c>
      <c r="AG340" s="576">
        <v>5568</v>
      </c>
      <c r="AH340" s="576">
        <v>0</v>
      </c>
    </row>
    <row r="341" spans="1:34" customFormat="1" x14ac:dyDescent="0.25">
      <c r="A341" s="574" t="s">
        <v>2219</v>
      </c>
      <c r="B341" s="574" t="s">
        <v>2220</v>
      </c>
      <c r="C341" s="574" t="s">
        <v>2221</v>
      </c>
      <c r="D341" s="574" t="s">
        <v>2220</v>
      </c>
      <c r="E341" s="574" t="s">
        <v>2222</v>
      </c>
      <c r="F341" s="574" t="s">
        <v>2223</v>
      </c>
      <c r="G341" s="574" t="s">
        <v>2224</v>
      </c>
      <c r="H341" s="574" t="s">
        <v>2225</v>
      </c>
      <c r="I341" s="574" t="s">
        <v>2226</v>
      </c>
      <c r="J341" s="574" t="s">
        <v>2227</v>
      </c>
      <c r="K341" s="574" t="s">
        <v>2228</v>
      </c>
      <c r="L341" s="574" t="s">
        <v>2229</v>
      </c>
      <c r="M341" s="574" t="s">
        <v>2230</v>
      </c>
      <c r="N341" s="574" t="s">
        <v>2231</v>
      </c>
      <c r="O341" s="574" t="s">
        <v>2232</v>
      </c>
      <c r="P341" s="574" t="s">
        <v>2233</v>
      </c>
      <c r="Q341" s="574" t="s">
        <v>2234</v>
      </c>
      <c r="R341" s="574" t="s">
        <v>2225</v>
      </c>
      <c r="S341" s="574" t="s">
        <v>2737</v>
      </c>
      <c r="T341" s="574" t="s">
        <v>2738</v>
      </c>
      <c r="U341" s="574" t="s">
        <v>2831</v>
      </c>
      <c r="V341" s="574" t="s">
        <v>2238</v>
      </c>
      <c r="W341" s="574" t="s">
        <v>2239</v>
      </c>
      <c r="X341" s="574" t="s">
        <v>2679</v>
      </c>
      <c r="Y341" s="575" t="s">
        <v>2568</v>
      </c>
      <c r="Z341" s="575" t="s">
        <v>2568</v>
      </c>
      <c r="AA341" s="574" t="s">
        <v>1691</v>
      </c>
      <c r="AB341" s="574" t="s">
        <v>2297</v>
      </c>
      <c r="AC341" s="574" t="s">
        <v>2298</v>
      </c>
      <c r="AD341" s="574" t="s">
        <v>2299</v>
      </c>
      <c r="AE341" s="574" t="s">
        <v>1468</v>
      </c>
      <c r="AF341" s="574" t="s">
        <v>2299</v>
      </c>
      <c r="AG341" s="576">
        <v>190000</v>
      </c>
      <c r="AH341" s="576">
        <v>0</v>
      </c>
    </row>
    <row r="342" spans="1:34" customFormat="1" x14ac:dyDescent="0.25">
      <c r="A342" s="574" t="s">
        <v>2219</v>
      </c>
      <c r="B342" s="574" t="s">
        <v>2220</v>
      </c>
      <c r="C342" s="574" t="s">
        <v>2221</v>
      </c>
      <c r="D342" s="574" t="s">
        <v>2220</v>
      </c>
      <c r="E342" s="574" t="s">
        <v>2222</v>
      </c>
      <c r="F342" s="574" t="s">
        <v>2223</v>
      </c>
      <c r="G342" s="574" t="s">
        <v>2224</v>
      </c>
      <c r="H342" s="574" t="s">
        <v>2225</v>
      </c>
      <c r="I342" s="574" t="s">
        <v>2226</v>
      </c>
      <c r="J342" s="574" t="s">
        <v>2227</v>
      </c>
      <c r="K342" s="574" t="s">
        <v>2228</v>
      </c>
      <c r="L342" s="574" t="s">
        <v>2229</v>
      </c>
      <c r="M342" s="574" t="s">
        <v>2230</v>
      </c>
      <c r="N342" s="574" t="s">
        <v>2231</v>
      </c>
      <c r="O342" s="574" t="s">
        <v>2232</v>
      </c>
      <c r="P342" s="574" t="s">
        <v>2233</v>
      </c>
      <c r="Q342" s="574" t="s">
        <v>2234</v>
      </c>
      <c r="R342" s="574" t="s">
        <v>2225</v>
      </c>
      <c r="S342" s="574" t="s">
        <v>2737</v>
      </c>
      <c r="T342" s="574" t="s">
        <v>2738</v>
      </c>
      <c r="U342" s="574" t="s">
        <v>2832</v>
      </c>
      <c r="V342" s="574" t="s">
        <v>2238</v>
      </c>
      <c r="W342" s="574" t="s">
        <v>2239</v>
      </c>
      <c r="X342" s="574" t="s">
        <v>2609</v>
      </c>
      <c r="Y342" s="575" t="s">
        <v>2568</v>
      </c>
      <c r="Z342" s="575" t="s">
        <v>2568</v>
      </c>
      <c r="AA342" s="574" t="s">
        <v>1691</v>
      </c>
      <c r="AB342" s="574" t="s">
        <v>2297</v>
      </c>
      <c r="AC342" s="574" t="s">
        <v>2298</v>
      </c>
      <c r="AD342" s="574" t="s">
        <v>2299</v>
      </c>
      <c r="AE342" s="574" t="s">
        <v>1468</v>
      </c>
      <c r="AF342" s="574" t="s">
        <v>2299</v>
      </c>
      <c r="AG342" s="576">
        <v>34000</v>
      </c>
      <c r="AH342" s="576">
        <v>0</v>
      </c>
    </row>
    <row r="343" spans="1:34" customFormat="1" x14ac:dyDescent="0.25">
      <c r="A343" s="574" t="s">
        <v>2219</v>
      </c>
      <c r="B343" s="574" t="s">
        <v>2220</v>
      </c>
      <c r="C343" s="574" t="s">
        <v>2221</v>
      </c>
      <c r="D343" s="574" t="s">
        <v>2220</v>
      </c>
      <c r="E343" s="574" t="s">
        <v>2222</v>
      </c>
      <c r="F343" s="574" t="s">
        <v>2223</v>
      </c>
      <c r="G343" s="574" t="s">
        <v>2224</v>
      </c>
      <c r="H343" s="574" t="s">
        <v>2225</v>
      </c>
      <c r="I343" s="574" t="s">
        <v>2226</v>
      </c>
      <c r="J343" s="574" t="s">
        <v>2227</v>
      </c>
      <c r="K343" s="574" t="s">
        <v>2228</v>
      </c>
      <c r="L343" s="574" t="s">
        <v>2229</v>
      </c>
      <c r="M343" s="574" t="s">
        <v>2230</v>
      </c>
      <c r="N343" s="574" t="s">
        <v>2231</v>
      </c>
      <c r="O343" s="574" t="s">
        <v>2232</v>
      </c>
      <c r="P343" s="574" t="s">
        <v>2233</v>
      </c>
      <c r="Q343" s="574" t="s">
        <v>2234</v>
      </c>
      <c r="R343" s="574" t="s">
        <v>2225</v>
      </c>
      <c r="S343" s="574" t="s">
        <v>2737</v>
      </c>
      <c r="T343" s="574" t="s">
        <v>2738</v>
      </c>
      <c r="U343" s="574" t="s">
        <v>2833</v>
      </c>
      <c r="V343" s="574" t="s">
        <v>2238</v>
      </c>
      <c r="W343" s="574" t="s">
        <v>2239</v>
      </c>
      <c r="X343" s="574" t="s">
        <v>2611</v>
      </c>
      <c r="Y343" s="575" t="s">
        <v>2568</v>
      </c>
      <c r="Z343" s="575" t="s">
        <v>2568</v>
      </c>
      <c r="AA343" s="574" t="s">
        <v>1690</v>
      </c>
      <c r="AB343" s="574" t="s">
        <v>2475</v>
      </c>
      <c r="AC343" s="574" t="s">
        <v>2524</v>
      </c>
      <c r="AD343" s="574" t="s">
        <v>2525</v>
      </c>
      <c r="AE343" s="574" t="s">
        <v>1457</v>
      </c>
      <c r="AF343" s="574" t="s">
        <v>2525</v>
      </c>
      <c r="AG343" s="576">
        <v>10620</v>
      </c>
      <c r="AH343" s="576">
        <v>0</v>
      </c>
    </row>
    <row r="344" spans="1:34" customFormat="1" x14ac:dyDescent="0.25">
      <c r="A344" s="574" t="s">
        <v>2219</v>
      </c>
      <c r="B344" s="574" t="s">
        <v>2220</v>
      </c>
      <c r="C344" s="574" t="s">
        <v>2221</v>
      </c>
      <c r="D344" s="574" t="s">
        <v>2220</v>
      </c>
      <c r="E344" s="574" t="s">
        <v>2222</v>
      </c>
      <c r="F344" s="574" t="s">
        <v>2223</v>
      </c>
      <c r="G344" s="574" t="s">
        <v>2224</v>
      </c>
      <c r="H344" s="574" t="s">
        <v>2225</v>
      </c>
      <c r="I344" s="574" t="s">
        <v>2226</v>
      </c>
      <c r="J344" s="574" t="s">
        <v>2227</v>
      </c>
      <c r="K344" s="574" t="s">
        <v>2228</v>
      </c>
      <c r="L344" s="574" t="s">
        <v>2229</v>
      </c>
      <c r="M344" s="574" t="s">
        <v>2230</v>
      </c>
      <c r="N344" s="574" t="s">
        <v>2231</v>
      </c>
      <c r="O344" s="574" t="s">
        <v>2232</v>
      </c>
      <c r="P344" s="574" t="s">
        <v>2233</v>
      </c>
      <c r="Q344" s="574" t="s">
        <v>2234</v>
      </c>
      <c r="R344" s="574" t="s">
        <v>2225</v>
      </c>
      <c r="S344" s="574" t="s">
        <v>2737</v>
      </c>
      <c r="T344" s="574" t="s">
        <v>2738</v>
      </c>
      <c r="U344" s="574" t="s">
        <v>2834</v>
      </c>
      <c r="V344" s="574" t="s">
        <v>2238</v>
      </c>
      <c r="W344" s="574" t="s">
        <v>2239</v>
      </c>
      <c r="X344" s="574" t="s">
        <v>2613</v>
      </c>
      <c r="Y344" s="575" t="s">
        <v>2568</v>
      </c>
      <c r="Z344" s="575" t="s">
        <v>2568</v>
      </c>
      <c r="AA344" s="574" t="s">
        <v>1692</v>
      </c>
      <c r="AB344" s="574" t="s">
        <v>2307</v>
      </c>
      <c r="AC344" s="574" t="s">
        <v>2308</v>
      </c>
      <c r="AD344" s="574" t="s">
        <v>2309</v>
      </c>
      <c r="AE344" s="574" t="s">
        <v>1490</v>
      </c>
      <c r="AF344" s="574" t="s">
        <v>176</v>
      </c>
      <c r="AG344" s="576">
        <v>167501</v>
      </c>
      <c r="AH344" s="576">
        <v>0</v>
      </c>
    </row>
    <row r="345" spans="1:34" customFormat="1" x14ac:dyDescent="0.25">
      <c r="A345" s="574" t="s">
        <v>2219</v>
      </c>
      <c r="B345" s="574" t="s">
        <v>2220</v>
      </c>
      <c r="C345" s="574" t="s">
        <v>2221</v>
      </c>
      <c r="D345" s="574" t="s">
        <v>2220</v>
      </c>
      <c r="E345" s="574" t="s">
        <v>2222</v>
      </c>
      <c r="F345" s="574" t="s">
        <v>2223</v>
      </c>
      <c r="G345" s="574" t="s">
        <v>2224</v>
      </c>
      <c r="H345" s="574" t="s">
        <v>2225</v>
      </c>
      <c r="I345" s="574" t="s">
        <v>2226</v>
      </c>
      <c r="J345" s="574" t="s">
        <v>2227</v>
      </c>
      <c r="K345" s="574" t="s">
        <v>2228</v>
      </c>
      <c r="L345" s="574" t="s">
        <v>2229</v>
      </c>
      <c r="M345" s="574" t="s">
        <v>2230</v>
      </c>
      <c r="N345" s="574" t="s">
        <v>2231</v>
      </c>
      <c r="O345" s="574" t="s">
        <v>2232</v>
      </c>
      <c r="P345" s="574" t="s">
        <v>2233</v>
      </c>
      <c r="Q345" s="574" t="s">
        <v>2234</v>
      </c>
      <c r="R345" s="574" t="s">
        <v>2225</v>
      </c>
      <c r="S345" s="574" t="s">
        <v>2737</v>
      </c>
      <c r="T345" s="574" t="s">
        <v>2738</v>
      </c>
      <c r="U345" s="574" t="s">
        <v>2835</v>
      </c>
      <c r="V345" s="574" t="s">
        <v>2238</v>
      </c>
      <c r="W345" s="574" t="s">
        <v>2239</v>
      </c>
      <c r="X345" s="574" t="s">
        <v>2615</v>
      </c>
      <c r="Y345" s="575" t="s">
        <v>2568</v>
      </c>
      <c r="Z345" s="575" t="s">
        <v>2568</v>
      </c>
      <c r="AA345" s="574" t="s">
        <v>1691</v>
      </c>
      <c r="AB345" s="574" t="s">
        <v>2297</v>
      </c>
      <c r="AC345" s="574" t="s">
        <v>2298</v>
      </c>
      <c r="AD345" s="574" t="s">
        <v>2299</v>
      </c>
      <c r="AE345" s="574" t="s">
        <v>1468</v>
      </c>
      <c r="AF345" s="574" t="s">
        <v>2299</v>
      </c>
      <c r="AG345" s="576">
        <v>880</v>
      </c>
      <c r="AH345" s="576">
        <v>0</v>
      </c>
    </row>
    <row r="346" spans="1:34" customFormat="1" x14ac:dyDescent="0.25">
      <c r="A346" s="574" t="s">
        <v>2219</v>
      </c>
      <c r="B346" s="574" t="s">
        <v>2220</v>
      </c>
      <c r="C346" s="574" t="s">
        <v>2221</v>
      </c>
      <c r="D346" s="574" t="s">
        <v>2220</v>
      </c>
      <c r="E346" s="574" t="s">
        <v>2222</v>
      </c>
      <c r="F346" s="574" t="s">
        <v>2223</v>
      </c>
      <c r="G346" s="574" t="s">
        <v>2224</v>
      </c>
      <c r="H346" s="574" t="s">
        <v>2225</v>
      </c>
      <c r="I346" s="574" t="s">
        <v>2226</v>
      </c>
      <c r="J346" s="574" t="s">
        <v>2227</v>
      </c>
      <c r="K346" s="574" t="s">
        <v>2228</v>
      </c>
      <c r="L346" s="574" t="s">
        <v>2229</v>
      </c>
      <c r="M346" s="574" t="s">
        <v>2230</v>
      </c>
      <c r="N346" s="574" t="s">
        <v>2231</v>
      </c>
      <c r="O346" s="574" t="s">
        <v>2232</v>
      </c>
      <c r="P346" s="574" t="s">
        <v>2233</v>
      </c>
      <c r="Q346" s="574" t="s">
        <v>2234</v>
      </c>
      <c r="R346" s="574" t="s">
        <v>2225</v>
      </c>
      <c r="S346" s="574" t="s">
        <v>2737</v>
      </c>
      <c r="T346" s="574" t="s">
        <v>2738</v>
      </c>
      <c r="U346" s="574" t="s">
        <v>2835</v>
      </c>
      <c r="V346" s="574" t="s">
        <v>2238</v>
      </c>
      <c r="W346" s="574" t="s">
        <v>2239</v>
      </c>
      <c r="X346" s="574" t="s">
        <v>2615</v>
      </c>
      <c r="Y346" s="575" t="s">
        <v>2568</v>
      </c>
      <c r="Z346" s="575" t="s">
        <v>2568</v>
      </c>
      <c r="AA346" s="574" t="s">
        <v>1692</v>
      </c>
      <c r="AB346" s="574" t="s">
        <v>2307</v>
      </c>
      <c r="AC346" s="574" t="s">
        <v>2308</v>
      </c>
      <c r="AD346" s="574" t="s">
        <v>2309</v>
      </c>
      <c r="AE346" s="574" t="s">
        <v>1490</v>
      </c>
      <c r="AF346" s="574" t="s">
        <v>176</v>
      </c>
      <c r="AG346" s="576">
        <v>72000</v>
      </c>
      <c r="AH346" s="576">
        <v>0</v>
      </c>
    </row>
    <row r="347" spans="1:34" customFormat="1" x14ac:dyDescent="0.25">
      <c r="A347" s="574" t="s">
        <v>2219</v>
      </c>
      <c r="B347" s="574" t="s">
        <v>2220</v>
      </c>
      <c r="C347" s="574" t="s">
        <v>2221</v>
      </c>
      <c r="D347" s="574" t="s">
        <v>2220</v>
      </c>
      <c r="E347" s="574" t="s">
        <v>2222</v>
      </c>
      <c r="F347" s="574" t="s">
        <v>2223</v>
      </c>
      <c r="G347" s="574" t="s">
        <v>2224</v>
      </c>
      <c r="H347" s="574" t="s">
        <v>2225</v>
      </c>
      <c r="I347" s="574" t="s">
        <v>2226</v>
      </c>
      <c r="J347" s="574" t="s">
        <v>2227</v>
      </c>
      <c r="K347" s="574" t="s">
        <v>2228</v>
      </c>
      <c r="L347" s="574" t="s">
        <v>2229</v>
      </c>
      <c r="M347" s="574" t="s">
        <v>2230</v>
      </c>
      <c r="N347" s="574" t="s">
        <v>2231</v>
      </c>
      <c r="O347" s="574" t="s">
        <v>2232</v>
      </c>
      <c r="P347" s="574" t="s">
        <v>2233</v>
      </c>
      <c r="Q347" s="574" t="s">
        <v>2234</v>
      </c>
      <c r="R347" s="574" t="s">
        <v>2225</v>
      </c>
      <c r="S347" s="574" t="s">
        <v>2737</v>
      </c>
      <c r="T347" s="574" t="s">
        <v>2738</v>
      </c>
      <c r="U347" s="574" t="s">
        <v>2835</v>
      </c>
      <c r="V347" s="574" t="s">
        <v>2238</v>
      </c>
      <c r="W347" s="574" t="s">
        <v>2239</v>
      </c>
      <c r="X347" s="574" t="s">
        <v>2615</v>
      </c>
      <c r="Y347" s="575" t="s">
        <v>2568</v>
      </c>
      <c r="Z347" s="575" t="s">
        <v>2568</v>
      </c>
      <c r="AA347" s="574" t="s">
        <v>1693</v>
      </c>
      <c r="AB347" s="574" t="s">
        <v>2319</v>
      </c>
      <c r="AC347" s="574" t="s">
        <v>2320</v>
      </c>
      <c r="AD347" s="574" t="s">
        <v>2321</v>
      </c>
      <c r="AE347" s="574" t="s">
        <v>1446</v>
      </c>
      <c r="AF347" s="574" t="s">
        <v>2321</v>
      </c>
      <c r="AG347" s="576">
        <v>57820</v>
      </c>
      <c r="AH347" s="576">
        <v>0</v>
      </c>
    </row>
    <row r="348" spans="1:34" customFormat="1" x14ac:dyDescent="0.25">
      <c r="A348" s="574" t="s">
        <v>2219</v>
      </c>
      <c r="B348" s="574" t="s">
        <v>2220</v>
      </c>
      <c r="C348" s="574" t="s">
        <v>2221</v>
      </c>
      <c r="D348" s="574" t="s">
        <v>2220</v>
      </c>
      <c r="E348" s="574" t="s">
        <v>2222</v>
      </c>
      <c r="F348" s="574" t="s">
        <v>2223</v>
      </c>
      <c r="G348" s="574" t="s">
        <v>2224</v>
      </c>
      <c r="H348" s="574" t="s">
        <v>2225</v>
      </c>
      <c r="I348" s="574" t="s">
        <v>2226</v>
      </c>
      <c r="J348" s="574" t="s">
        <v>2227</v>
      </c>
      <c r="K348" s="574" t="s">
        <v>2228</v>
      </c>
      <c r="L348" s="574" t="s">
        <v>2229</v>
      </c>
      <c r="M348" s="574" t="s">
        <v>2230</v>
      </c>
      <c r="N348" s="574" t="s">
        <v>2231</v>
      </c>
      <c r="O348" s="574" t="s">
        <v>2232</v>
      </c>
      <c r="P348" s="574" t="s">
        <v>2233</v>
      </c>
      <c r="Q348" s="574" t="s">
        <v>2234</v>
      </c>
      <c r="R348" s="574" t="s">
        <v>2225</v>
      </c>
      <c r="S348" s="574" t="s">
        <v>2737</v>
      </c>
      <c r="T348" s="574" t="s">
        <v>2738</v>
      </c>
      <c r="U348" s="574" t="s">
        <v>2836</v>
      </c>
      <c r="V348" s="574" t="s">
        <v>2238</v>
      </c>
      <c r="W348" s="574" t="s">
        <v>2239</v>
      </c>
      <c r="X348" s="574" t="s">
        <v>2617</v>
      </c>
      <c r="Y348" s="575" t="s">
        <v>2568</v>
      </c>
      <c r="Z348" s="575" t="s">
        <v>2568</v>
      </c>
      <c r="AA348" s="574" t="s">
        <v>1693</v>
      </c>
      <c r="AB348" s="574" t="s">
        <v>2319</v>
      </c>
      <c r="AC348" s="574" t="s">
        <v>2320</v>
      </c>
      <c r="AD348" s="574" t="s">
        <v>2321</v>
      </c>
      <c r="AE348" s="574" t="s">
        <v>1446</v>
      </c>
      <c r="AF348" s="574" t="s">
        <v>2321</v>
      </c>
      <c r="AG348" s="576">
        <v>28320</v>
      </c>
      <c r="AH348" s="576">
        <v>0</v>
      </c>
    </row>
    <row r="349" spans="1:34" customFormat="1" x14ac:dyDescent="0.25">
      <c r="A349" s="574" t="s">
        <v>2219</v>
      </c>
      <c r="B349" s="574" t="s">
        <v>2220</v>
      </c>
      <c r="C349" s="574" t="s">
        <v>2221</v>
      </c>
      <c r="D349" s="574" t="s">
        <v>2220</v>
      </c>
      <c r="E349" s="574" t="s">
        <v>2222</v>
      </c>
      <c r="F349" s="574" t="s">
        <v>2223</v>
      </c>
      <c r="G349" s="574" t="s">
        <v>2224</v>
      </c>
      <c r="H349" s="574" t="s">
        <v>2225</v>
      </c>
      <c r="I349" s="574" t="s">
        <v>2226</v>
      </c>
      <c r="J349" s="574" t="s">
        <v>2227</v>
      </c>
      <c r="K349" s="574" t="s">
        <v>2228</v>
      </c>
      <c r="L349" s="574" t="s">
        <v>2229</v>
      </c>
      <c r="M349" s="574" t="s">
        <v>2230</v>
      </c>
      <c r="N349" s="574" t="s">
        <v>2231</v>
      </c>
      <c r="O349" s="574" t="s">
        <v>2232</v>
      </c>
      <c r="P349" s="574" t="s">
        <v>2233</v>
      </c>
      <c r="Q349" s="574" t="s">
        <v>2234</v>
      </c>
      <c r="R349" s="574" t="s">
        <v>2225</v>
      </c>
      <c r="S349" s="574" t="s">
        <v>2737</v>
      </c>
      <c r="T349" s="574" t="s">
        <v>2738</v>
      </c>
      <c r="U349" s="574" t="s">
        <v>2837</v>
      </c>
      <c r="V349" s="574" t="s">
        <v>2238</v>
      </c>
      <c r="W349" s="574" t="s">
        <v>2239</v>
      </c>
      <c r="X349" s="574" t="s">
        <v>2619</v>
      </c>
      <c r="Y349" s="575" t="s">
        <v>2568</v>
      </c>
      <c r="Z349" s="575" t="s">
        <v>2568</v>
      </c>
      <c r="AA349" s="574" t="s">
        <v>1692</v>
      </c>
      <c r="AB349" s="574" t="s">
        <v>2307</v>
      </c>
      <c r="AC349" s="574" t="s">
        <v>2308</v>
      </c>
      <c r="AD349" s="574" t="s">
        <v>2309</v>
      </c>
      <c r="AE349" s="574" t="s">
        <v>1490</v>
      </c>
      <c r="AF349" s="574" t="s">
        <v>176</v>
      </c>
      <c r="AG349" s="576">
        <v>13117</v>
      </c>
      <c r="AH349" s="576">
        <v>0</v>
      </c>
    </row>
    <row r="350" spans="1:34" customFormat="1" x14ac:dyDescent="0.25">
      <c r="A350" s="574" t="s">
        <v>2219</v>
      </c>
      <c r="B350" s="574" t="s">
        <v>2220</v>
      </c>
      <c r="C350" s="574" t="s">
        <v>2221</v>
      </c>
      <c r="D350" s="574" t="s">
        <v>2220</v>
      </c>
      <c r="E350" s="574" t="s">
        <v>2222</v>
      </c>
      <c r="F350" s="574" t="s">
        <v>2223</v>
      </c>
      <c r="G350" s="574" t="s">
        <v>2224</v>
      </c>
      <c r="H350" s="574" t="s">
        <v>2225</v>
      </c>
      <c r="I350" s="574" t="s">
        <v>2226</v>
      </c>
      <c r="J350" s="574" t="s">
        <v>2227</v>
      </c>
      <c r="K350" s="574" t="s">
        <v>2228</v>
      </c>
      <c r="L350" s="574" t="s">
        <v>2229</v>
      </c>
      <c r="M350" s="574" t="s">
        <v>2230</v>
      </c>
      <c r="N350" s="574" t="s">
        <v>2231</v>
      </c>
      <c r="O350" s="574" t="s">
        <v>2232</v>
      </c>
      <c r="P350" s="574" t="s">
        <v>2233</v>
      </c>
      <c r="Q350" s="574" t="s">
        <v>2234</v>
      </c>
      <c r="R350" s="574" t="s">
        <v>2225</v>
      </c>
      <c r="S350" s="574" t="s">
        <v>2737</v>
      </c>
      <c r="T350" s="574" t="s">
        <v>2738</v>
      </c>
      <c r="U350" s="574" t="s">
        <v>2838</v>
      </c>
      <c r="V350" s="574" t="s">
        <v>2238</v>
      </c>
      <c r="W350" s="574" t="s">
        <v>2239</v>
      </c>
      <c r="X350" s="574" t="s">
        <v>2621</v>
      </c>
      <c r="Y350" s="575" t="s">
        <v>2568</v>
      </c>
      <c r="Z350" s="575" t="s">
        <v>2568</v>
      </c>
      <c r="AA350" s="574" t="s">
        <v>1695</v>
      </c>
      <c r="AB350" s="574" t="s">
        <v>2337</v>
      </c>
      <c r="AC350" s="574" t="s">
        <v>2338</v>
      </c>
      <c r="AD350" s="574" t="s">
        <v>2339</v>
      </c>
      <c r="AE350" s="574" t="s">
        <v>1436</v>
      </c>
      <c r="AF350" s="574" t="s">
        <v>2339</v>
      </c>
      <c r="AG350" s="576">
        <v>306337.44</v>
      </c>
      <c r="AH350" s="576">
        <v>0</v>
      </c>
    </row>
    <row r="351" spans="1:34" customFormat="1" x14ac:dyDescent="0.25">
      <c r="A351" s="574" t="s">
        <v>2219</v>
      </c>
      <c r="B351" s="574" t="s">
        <v>2220</v>
      </c>
      <c r="C351" s="574" t="s">
        <v>2221</v>
      </c>
      <c r="D351" s="574" t="s">
        <v>2220</v>
      </c>
      <c r="E351" s="574" t="s">
        <v>2222</v>
      </c>
      <c r="F351" s="574" t="s">
        <v>2223</v>
      </c>
      <c r="G351" s="574" t="s">
        <v>2224</v>
      </c>
      <c r="H351" s="574" t="s">
        <v>2225</v>
      </c>
      <c r="I351" s="574" t="s">
        <v>2226</v>
      </c>
      <c r="J351" s="574" t="s">
        <v>2227</v>
      </c>
      <c r="K351" s="574" t="s">
        <v>2228</v>
      </c>
      <c r="L351" s="574" t="s">
        <v>2229</v>
      </c>
      <c r="M351" s="574" t="s">
        <v>2230</v>
      </c>
      <c r="N351" s="574" t="s">
        <v>2231</v>
      </c>
      <c r="O351" s="574" t="s">
        <v>2232</v>
      </c>
      <c r="P351" s="574" t="s">
        <v>2233</v>
      </c>
      <c r="Q351" s="574" t="s">
        <v>2234</v>
      </c>
      <c r="R351" s="574" t="s">
        <v>2225</v>
      </c>
      <c r="S351" s="574" t="s">
        <v>2737</v>
      </c>
      <c r="T351" s="574" t="s">
        <v>2738</v>
      </c>
      <c r="U351" s="574" t="s">
        <v>2839</v>
      </c>
      <c r="V351" s="574" t="s">
        <v>2238</v>
      </c>
      <c r="W351" s="574" t="s">
        <v>2239</v>
      </c>
      <c r="X351" s="574" t="s">
        <v>2625</v>
      </c>
      <c r="Y351" s="575" t="s">
        <v>2571</v>
      </c>
      <c r="Z351" s="575" t="s">
        <v>2571</v>
      </c>
      <c r="AA351" s="574" t="s">
        <v>1693</v>
      </c>
      <c r="AB351" s="574" t="s">
        <v>2319</v>
      </c>
      <c r="AC351" s="574" t="s">
        <v>2320</v>
      </c>
      <c r="AD351" s="574" t="s">
        <v>2321</v>
      </c>
      <c r="AE351" s="574" t="s">
        <v>1446</v>
      </c>
      <c r="AF351" s="574" t="s">
        <v>2321</v>
      </c>
      <c r="AG351" s="576">
        <v>49200.480000000003</v>
      </c>
      <c r="AH351" s="576">
        <v>0</v>
      </c>
    </row>
    <row r="352" spans="1:34" customFormat="1" x14ac:dyDescent="0.25">
      <c r="A352" s="574" t="s">
        <v>2219</v>
      </c>
      <c r="B352" s="574" t="s">
        <v>2220</v>
      </c>
      <c r="C352" s="574" t="s">
        <v>2221</v>
      </c>
      <c r="D352" s="574" t="s">
        <v>2220</v>
      </c>
      <c r="E352" s="574" t="s">
        <v>2222</v>
      </c>
      <c r="F352" s="574" t="s">
        <v>2223</v>
      </c>
      <c r="G352" s="574" t="s">
        <v>2224</v>
      </c>
      <c r="H352" s="574" t="s">
        <v>2225</v>
      </c>
      <c r="I352" s="574" t="s">
        <v>2226</v>
      </c>
      <c r="J352" s="574" t="s">
        <v>2227</v>
      </c>
      <c r="K352" s="574" t="s">
        <v>2228</v>
      </c>
      <c r="L352" s="574" t="s">
        <v>2229</v>
      </c>
      <c r="M352" s="574" t="s">
        <v>2230</v>
      </c>
      <c r="N352" s="574" t="s">
        <v>2231</v>
      </c>
      <c r="O352" s="574" t="s">
        <v>2232</v>
      </c>
      <c r="P352" s="574" t="s">
        <v>2233</v>
      </c>
      <c r="Q352" s="574" t="s">
        <v>2234</v>
      </c>
      <c r="R352" s="574" t="s">
        <v>2225</v>
      </c>
      <c r="S352" s="574" t="s">
        <v>2737</v>
      </c>
      <c r="T352" s="574" t="s">
        <v>2738</v>
      </c>
      <c r="U352" s="574" t="s">
        <v>2840</v>
      </c>
      <c r="V352" s="574" t="s">
        <v>2238</v>
      </c>
      <c r="W352" s="574" t="s">
        <v>2239</v>
      </c>
      <c r="X352" s="574" t="s">
        <v>2627</v>
      </c>
      <c r="Y352" s="575" t="s">
        <v>2571</v>
      </c>
      <c r="Z352" s="575" t="s">
        <v>2571</v>
      </c>
      <c r="AA352" s="574" t="s">
        <v>1693</v>
      </c>
      <c r="AB352" s="574" t="s">
        <v>2319</v>
      </c>
      <c r="AC352" s="574" t="s">
        <v>2320</v>
      </c>
      <c r="AD352" s="574" t="s">
        <v>2321</v>
      </c>
      <c r="AE352" s="574" t="s">
        <v>1446</v>
      </c>
      <c r="AF352" s="574" t="s">
        <v>2321</v>
      </c>
      <c r="AG352" s="576">
        <v>25724</v>
      </c>
      <c r="AH352" s="576">
        <v>0</v>
      </c>
    </row>
    <row r="353" spans="1:35" x14ac:dyDescent="0.25">
      <c r="A353" s="574" t="s">
        <v>2219</v>
      </c>
      <c r="B353" s="574" t="s">
        <v>2220</v>
      </c>
      <c r="C353" s="574" t="s">
        <v>2221</v>
      </c>
      <c r="D353" s="574" t="s">
        <v>2220</v>
      </c>
      <c r="E353" s="574" t="s">
        <v>2222</v>
      </c>
      <c r="F353" s="574" t="s">
        <v>2223</v>
      </c>
      <c r="G353" s="574" t="s">
        <v>2224</v>
      </c>
      <c r="H353" s="574" t="s">
        <v>2225</v>
      </c>
      <c r="I353" s="574" t="s">
        <v>2226</v>
      </c>
      <c r="J353" s="574" t="s">
        <v>2227</v>
      </c>
      <c r="K353" s="574" t="s">
        <v>2228</v>
      </c>
      <c r="L353" s="574" t="s">
        <v>2229</v>
      </c>
      <c r="M353" s="574" t="s">
        <v>2230</v>
      </c>
      <c r="N353" s="574" t="s">
        <v>2231</v>
      </c>
      <c r="O353" s="574" t="s">
        <v>2232</v>
      </c>
      <c r="P353" s="574" t="s">
        <v>2233</v>
      </c>
      <c r="Q353" s="574" t="s">
        <v>2234</v>
      </c>
      <c r="R353" s="574" t="s">
        <v>2225</v>
      </c>
      <c r="S353" s="574" t="s">
        <v>2737</v>
      </c>
      <c r="T353" s="574" t="s">
        <v>2738</v>
      </c>
      <c r="U353" s="574" t="s">
        <v>2841</v>
      </c>
      <c r="V353" s="574" t="s">
        <v>2238</v>
      </c>
      <c r="W353" s="574" t="s">
        <v>2239</v>
      </c>
      <c r="X353" s="574" t="s">
        <v>2705</v>
      </c>
      <c r="Y353" s="575" t="s">
        <v>2680</v>
      </c>
      <c r="Z353" s="575" t="s">
        <v>2680</v>
      </c>
      <c r="AA353" s="574" t="s">
        <v>1690</v>
      </c>
      <c r="AB353" s="574" t="s">
        <v>2475</v>
      </c>
      <c r="AC353" s="574" t="s">
        <v>2476</v>
      </c>
      <c r="AD353" s="574" t="s">
        <v>104</v>
      </c>
      <c r="AE353" s="574" t="s">
        <v>1676</v>
      </c>
      <c r="AF353" s="574" t="s">
        <v>104</v>
      </c>
      <c r="AG353" s="576">
        <v>584100</v>
      </c>
      <c r="AH353" s="576">
        <v>0</v>
      </c>
      <c r="AI353"/>
    </row>
    <row r="354" spans="1:35" x14ac:dyDescent="0.25">
      <c r="A354" s="574" t="s">
        <v>2219</v>
      </c>
      <c r="B354" s="574" t="s">
        <v>2220</v>
      </c>
      <c r="C354" s="574" t="s">
        <v>2221</v>
      </c>
      <c r="D354" s="574" t="s">
        <v>2220</v>
      </c>
      <c r="E354" s="574" t="s">
        <v>2222</v>
      </c>
      <c r="F354" s="574" t="s">
        <v>2223</v>
      </c>
      <c r="G354" s="574" t="s">
        <v>2224</v>
      </c>
      <c r="H354" s="574" t="s">
        <v>2225</v>
      </c>
      <c r="I354" s="574" t="s">
        <v>2226</v>
      </c>
      <c r="J354" s="574" t="s">
        <v>2227</v>
      </c>
      <c r="K354" s="574" t="s">
        <v>2228</v>
      </c>
      <c r="L354" s="574" t="s">
        <v>2229</v>
      </c>
      <c r="M354" s="574" t="s">
        <v>2230</v>
      </c>
      <c r="N354" s="574" t="s">
        <v>2231</v>
      </c>
      <c r="O354" s="574" t="s">
        <v>2232</v>
      </c>
      <c r="P354" s="574" t="s">
        <v>2233</v>
      </c>
      <c r="Q354" s="574" t="s">
        <v>2234</v>
      </c>
      <c r="R354" s="574" t="s">
        <v>2225</v>
      </c>
      <c r="S354" s="574" t="s">
        <v>2737</v>
      </c>
      <c r="T354" s="574" t="s">
        <v>2738</v>
      </c>
      <c r="U354" s="574" t="s">
        <v>2842</v>
      </c>
      <c r="V354" s="574" t="s">
        <v>2238</v>
      </c>
      <c r="W354" s="574" t="s">
        <v>2239</v>
      </c>
      <c r="X354" s="574" t="s">
        <v>2706</v>
      </c>
      <c r="Y354" s="575" t="s">
        <v>2596</v>
      </c>
      <c r="Z354" s="575" t="s">
        <v>2596</v>
      </c>
      <c r="AA354" s="574" t="s">
        <v>1694</v>
      </c>
      <c r="AB354" s="574" t="s">
        <v>2314</v>
      </c>
      <c r="AC354" s="574" t="s">
        <v>2418</v>
      </c>
      <c r="AD354" s="574" t="s">
        <v>2419</v>
      </c>
      <c r="AE354" s="574" t="s">
        <v>2420</v>
      </c>
      <c r="AF354" s="574" t="s">
        <v>2421</v>
      </c>
      <c r="AG354" s="576">
        <v>25905.67</v>
      </c>
      <c r="AH354" s="576">
        <v>0</v>
      </c>
      <c r="AI354"/>
    </row>
    <row r="355" spans="1:35" x14ac:dyDescent="0.25">
      <c r="A355" s="574" t="s">
        <v>2219</v>
      </c>
      <c r="B355" s="574" t="s">
        <v>2220</v>
      </c>
      <c r="C355" s="574" t="s">
        <v>2221</v>
      </c>
      <c r="D355" s="574" t="s">
        <v>2220</v>
      </c>
      <c r="E355" s="574" t="s">
        <v>2222</v>
      </c>
      <c r="F355" s="574" t="s">
        <v>2223</v>
      </c>
      <c r="G355" s="574" t="s">
        <v>2224</v>
      </c>
      <c r="H355" s="574" t="s">
        <v>2225</v>
      </c>
      <c r="I355" s="574" t="s">
        <v>2226</v>
      </c>
      <c r="J355" s="574" t="s">
        <v>2227</v>
      </c>
      <c r="K355" s="574" t="s">
        <v>2228</v>
      </c>
      <c r="L355" s="574" t="s">
        <v>2229</v>
      </c>
      <c r="M355" s="574" t="s">
        <v>2230</v>
      </c>
      <c r="N355" s="574" t="s">
        <v>2231</v>
      </c>
      <c r="O355" s="574" t="s">
        <v>2232</v>
      </c>
      <c r="P355" s="574" t="s">
        <v>2233</v>
      </c>
      <c r="Q355" s="574" t="s">
        <v>2234</v>
      </c>
      <c r="R355" s="574" t="s">
        <v>2225</v>
      </c>
      <c r="S355" s="574" t="s">
        <v>2737</v>
      </c>
      <c r="T355" s="574" t="s">
        <v>2738</v>
      </c>
      <c r="U355" s="574" t="s">
        <v>2843</v>
      </c>
      <c r="V355" s="574" t="s">
        <v>2238</v>
      </c>
      <c r="W355" s="574" t="s">
        <v>2239</v>
      </c>
      <c r="X355" s="574" t="s">
        <v>2729</v>
      </c>
      <c r="Y355" s="575" t="s">
        <v>2634</v>
      </c>
      <c r="Z355" s="575" t="s">
        <v>2634</v>
      </c>
      <c r="AA355" s="574" t="s">
        <v>1691</v>
      </c>
      <c r="AB355" s="574" t="s">
        <v>2297</v>
      </c>
      <c r="AC355" s="574" t="s">
        <v>2298</v>
      </c>
      <c r="AD355" s="574" t="s">
        <v>2299</v>
      </c>
      <c r="AE355" s="574" t="s">
        <v>1468</v>
      </c>
      <c r="AF355" s="574" t="s">
        <v>2299</v>
      </c>
      <c r="AG355" s="576">
        <v>254150</v>
      </c>
      <c r="AH355" s="576">
        <v>0</v>
      </c>
      <c r="AI355"/>
    </row>
    <row r="356" spans="1:35" x14ac:dyDescent="0.25">
      <c r="A356" s="574" t="s">
        <v>2219</v>
      </c>
      <c r="B356" s="574" t="s">
        <v>2220</v>
      </c>
      <c r="C356" s="574" t="s">
        <v>2221</v>
      </c>
      <c r="D356" s="574" t="s">
        <v>2220</v>
      </c>
      <c r="E356" s="574" t="s">
        <v>2222</v>
      </c>
      <c r="F356" s="574" t="s">
        <v>2223</v>
      </c>
      <c r="G356" s="574" t="s">
        <v>2224</v>
      </c>
      <c r="H356" s="574" t="s">
        <v>2225</v>
      </c>
      <c r="I356" s="574" t="s">
        <v>2226</v>
      </c>
      <c r="J356" s="574" t="s">
        <v>2227</v>
      </c>
      <c r="K356" s="574" t="s">
        <v>2228</v>
      </c>
      <c r="L356" s="574" t="s">
        <v>2229</v>
      </c>
      <c r="M356" s="574" t="s">
        <v>2230</v>
      </c>
      <c r="N356" s="574" t="s">
        <v>2231</v>
      </c>
      <c r="O356" s="574" t="s">
        <v>2232</v>
      </c>
      <c r="P356" s="574" t="s">
        <v>2233</v>
      </c>
      <c r="Q356" s="574" t="s">
        <v>2234</v>
      </c>
      <c r="R356" s="574" t="s">
        <v>2225</v>
      </c>
      <c r="S356" s="574" t="s">
        <v>2737</v>
      </c>
      <c r="T356" s="574" t="s">
        <v>2738</v>
      </c>
      <c r="U356" s="574" t="s">
        <v>2844</v>
      </c>
      <c r="V356" s="574" t="s">
        <v>2238</v>
      </c>
      <c r="W356" s="574" t="s">
        <v>2239</v>
      </c>
      <c r="X356" s="574" t="s">
        <v>2730</v>
      </c>
      <c r="Y356" s="575" t="s">
        <v>2634</v>
      </c>
      <c r="Z356" s="575" t="s">
        <v>2634</v>
      </c>
      <c r="AA356" s="574" t="s">
        <v>1691</v>
      </c>
      <c r="AB356" s="574" t="s">
        <v>2297</v>
      </c>
      <c r="AC356" s="574" t="s">
        <v>2298</v>
      </c>
      <c r="AD356" s="574" t="s">
        <v>2299</v>
      </c>
      <c r="AE356" s="574" t="s">
        <v>1468</v>
      </c>
      <c r="AF356" s="574" t="s">
        <v>2299</v>
      </c>
      <c r="AG356" s="576">
        <v>6145</v>
      </c>
      <c r="AH356" s="576">
        <v>0</v>
      </c>
      <c r="AI356"/>
    </row>
    <row r="357" spans="1:35" x14ac:dyDescent="0.25">
      <c r="A357" s="574" t="s">
        <v>2219</v>
      </c>
      <c r="B357" s="574" t="s">
        <v>2220</v>
      </c>
      <c r="C357" s="574" t="s">
        <v>2221</v>
      </c>
      <c r="D357" s="574" t="s">
        <v>2220</v>
      </c>
      <c r="E357" s="574" t="s">
        <v>2222</v>
      </c>
      <c r="F357" s="574" t="s">
        <v>2223</v>
      </c>
      <c r="G357" s="574" t="s">
        <v>2224</v>
      </c>
      <c r="H357" s="574" t="s">
        <v>2225</v>
      </c>
      <c r="I357" s="574" t="s">
        <v>2226</v>
      </c>
      <c r="J357" s="574" t="s">
        <v>2227</v>
      </c>
      <c r="K357" s="574" t="s">
        <v>2228</v>
      </c>
      <c r="L357" s="574" t="s">
        <v>2229</v>
      </c>
      <c r="M357" s="574" t="s">
        <v>2230</v>
      </c>
      <c r="N357" s="574" t="s">
        <v>2231</v>
      </c>
      <c r="O357" s="574" t="s">
        <v>2232</v>
      </c>
      <c r="P357" s="574" t="s">
        <v>2233</v>
      </c>
      <c r="Q357" s="574" t="s">
        <v>2234</v>
      </c>
      <c r="R357" s="574" t="s">
        <v>2225</v>
      </c>
      <c r="S357" s="574" t="s">
        <v>2737</v>
      </c>
      <c r="T357" s="574" t="s">
        <v>2738</v>
      </c>
      <c r="U357" s="574" t="s">
        <v>2845</v>
      </c>
      <c r="V357" s="574" t="s">
        <v>2238</v>
      </c>
      <c r="W357" s="574" t="s">
        <v>2239</v>
      </c>
      <c r="X357" s="574" t="s">
        <v>2713</v>
      </c>
      <c r="Y357" s="575" t="s">
        <v>2634</v>
      </c>
      <c r="Z357" s="575" t="s">
        <v>2634</v>
      </c>
      <c r="AA357" s="574" t="s">
        <v>1693</v>
      </c>
      <c r="AB357" s="574" t="s">
        <v>2319</v>
      </c>
      <c r="AC357" s="574" t="s">
        <v>2320</v>
      </c>
      <c r="AD357" s="574" t="s">
        <v>2321</v>
      </c>
      <c r="AE357" s="574" t="s">
        <v>1446</v>
      </c>
      <c r="AF357" s="574" t="s">
        <v>2321</v>
      </c>
      <c r="AG357" s="576">
        <v>53117</v>
      </c>
      <c r="AH357" s="576">
        <v>0</v>
      </c>
      <c r="AI357"/>
    </row>
    <row r="358" spans="1:35" x14ac:dyDescent="0.25">
      <c r="A358" s="574" t="s">
        <v>2219</v>
      </c>
      <c r="B358" s="574" t="s">
        <v>2220</v>
      </c>
      <c r="C358" s="574" t="s">
        <v>2221</v>
      </c>
      <c r="D358" s="574" t="s">
        <v>2220</v>
      </c>
      <c r="E358" s="574" t="s">
        <v>2222</v>
      </c>
      <c r="F358" s="574" t="s">
        <v>2223</v>
      </c>
      <c r="G358" s="574" t="s">
        <v>2224</v>
      </c>
      <c r="H358" s="574" t="s">
        <v>2225</v>
      </c>
      <c r="I358" s="574" t="s">
        <v>2226</v>
      </c>
      <c r="J358" s="574" t="s">
        <v>2227</v>
      </c>
      <c r="K358" s="574" t="s">
        <v>2228</v>
      </c>
      <c r="L358" s="574" t="s">
        <v>2229</v>
      </c>
      <c r="M358" s="574" t="s">
        <v>2230</v>
      </c>
      <c r="N358" s="574" t="s">
        <v>2231</v>
      </c>
      <c r="O358" s="574" t="s">
        <v>2232</v>
      </c>
      <c r="P358" s="574" t="s">
        <v>2233</v>
      </c>
      <c r="Q358" s="574" t="s">
        <v>2234</v>
      </c>
      <c r="R358" s="574" t="s">
        <v>2225</v>
      </c>
      <c r="S358" s="574" t="s">
        <v>2846</v>
      </c>
      <c r="T358" s="574" t="s">
        <v>2847</v>
      </c>
      <c r="U358" s="574" t="s">
        <v>528</v>
      </c>
      <c r="V358" s="574" t="s">
        <v>2238</v>
      </c>
      <c r="W358" s="574" t="s">
        <v>2239</v>
      </c>
      <c r="X358" s="574" t="s">
        <v>2270</v>
      </c>
      <c r="Y358" s="575" t="s">
        <v>2848</v>
      </c>
      <c r="Z358" s="575" t="s">
        <v>2848</v>
      </c>
      <c r="AA358" s="574" t="s">
        <v>2242</v>
      </c>
      <c r="AB358" s="574" t="s">
        <v>2243</v>
      </c>
      <c r="AC358" s="574" t="s">
        <v>2271</v>
      </c>
      <c r="AD358" s="574" t="s">
        <v>181</v>
      </c>
      <c r="AE358" s="574" t="s">
        <v>2272</v>
      </c>
      <c r="AF358" s="574" t="s">
        <v>2273</v>
      </c>
      <c r="AG358" s="576">
        <v>686003.26</v>
      </c>
      <c r="AH358" s="576">
        <v>0</v>
      </c>
    </row>
    <row r="359" spans="1:35" x14ac:dyDescent="0.25">
      <c r="A359" s="574" t="s">
        <v>2219</v>
      </c>
      <c r="B359" s="574" t="s">
        <v>2220</v>
      </c>
      <c r="C359" s="574" t="s">
        <v>2221</v>
      </c>
      <c r="D359" s="574" t="s">
        <v>2220</v>
      </c>
      <c r="E359" s="574" t="s">
        <v>2222</v>
      </c>
      <c r="F359" s="574" t="s">
        <v>2223</v>
      </c>
      <c r="G359" s="574" t="s">
        <v>2224</v>
      </c>
      <c r="H359" s="574" t="s">
        <v>2225</v>
      </c>
      <c r="I359" s="574" t="s">
        <v>2226</v>
      </c>
      <c r="J359" s="574" t="s">
        <v>2227</v>
      </c>
      <c r="K359" s="574" t="s">
        <v>2228</v>
      </c>
      <c r="L359" s="574" t="s">
        <v>2229</v>
      </c>
      <c r="M359" s="574" t="s">
        <v>2230</v>
      </c>
      <c r="N359" s="574" t="s">
        <v>2231</v>
      </c>
      <c r="O359" s="574" t="s">
        <v>2232</v>
      </c>
      <c r="P359" s="574" t="s">
        <v>2233</v>
      </c>
      <c r="Q359" s="574" t="s">
        <v>2234</v>
      </c>
      <c r="R359" s="574" t="s">
        <v>2225</v>
      </c>
      <c r="S359" s="574" t="s">
        <v>2846</v>
      </c>
      <c r="T359" s="574" t="s">
        <v>2847</v>
      </c>
      <c r="U359" s="574" t="s">
        <v>528</v>
      </c>
      <c r="V359" s="574" t="s">
        <v>2238</v>
      </c>
      <c r="W359" s="574" t="s">
        <v>2239</v>
      </c>
      <c r="X359" s="574" t="s">
        <v>2270</v>
      </c>
      <c r="Y359" s="575" t="s">
        <v>2848</v>
      </c>
      <c r="Z359" s="575" t="s">
        <v>2848</v>
      </c>
      <c r="AA359" s="574" t="s">
        <v>2261</v>
      </c>
      <c r="AB359" s="574" t="s">
        <v>2262</v>
      </c>
      <c r="AC359" s="574" t="s">
        <v>2263</v>
      </c>
      <c r="AD359" s="574" t="s">
        <v>95</v>
      </c>
      <c r="AE359" s="574" t="s">
        <v>2264</v>
      </c>
      <c r="AF359" s="574" t="s">
        <v>95</v>
      </c>
      <c r="AG359" s="576">
        <v>48637.63</v>
      </c>
      <c r="AH359" s="576">
        <v>0</v>
      </c>
    </row>
    <row r="360" spans="1:35" x14ac:dyDescent="0.25">
      <c r="A360" s="574" t="s">
        <v>2219</v>
      </c>
      <c r="B360" s="574" t="s">
        <v>2220</v>
      </c>
      <c r="C360" s="574" t="s">
        <v>2221</v>
      </c>
      <c r="D360" s="574" t="s">
        <v>2220</v>
      </c>
      <c r="E360" s="574" t="s">
        <v>2222</v>
      </c>
      <c r="F360" s="574" t="s">
        <v>2223</v>
      </c>
      <c r="G360" s="574" t="s">
        <v>2224</v>
      </c>
      <c r="H360" s="574" t="s">
        <v>2225</v>
      </c>
      <c r="I360" s="574" t="s">
        <v>2226</v>
      </c>
      <c r="J360" s="574" t="s">
        <v>2227</v>
      </c>
      <c r="K360" s="574" t="s">
        <v>2228</v>
      </c>
      <c r="L360" s="574" t="s">
        <v>2229</v>
      </c>
      <c r="M360" s="574" t="s">
        <v>2230</v>
      </c>
      <c r="N360" s="574" t="s">
        <v>2231</v>
      </c>
      <c r="O360" s="574" t="s">
        <v>2232</v>
      </c>
      <c r="P360" s="574" t="s">
        <v>2233</v>
      </c>
      <c r="Q360" s="574" t="s">
        <v>2234</v>
      </c>
      <c r="R360" s="574" t="s">
        <v>2225</v>
      </c>
      <c r="S360" s="574" t="s">
        <v>2846</v>
      </c>
      <c r="T360" s="574" t="s">
        <v>2847</v>
      </c>
      <c r="U360" s="574" t="s">
        <v>528</v>
      </c>
      <c r="V360" s="574" t="s">
        <v>2238</v>
      </c>
      <c r="W360" s="574" t="s">
        <v>2239</v>
      </c>
      <c r="X360" s="574" t="s">
        <v>2270</v>
      </c>
      <c r="Y360" s="575" t="s">
        <v>2848</v>
      </c>
      <c r="Z360" s="575" t="s">
        <v>2848</v>
      </c>
      <c r="AA360" s="574" t="s">
        <v>2261</v>
      </c>
      <c r="AB360" s="574" t="s">
        <v>2262</v>
      </c>
      <c r="AC360" s="574" t="s">
        <v>2265</v>
      </c>
      <c r="AD360" s="574" t="s">
        <v>96</v>
      </c>
      <c r="AE360" s="574" t="s">
        <v>2266</v>
      </c>
      <c r="AF360" s="574" t="s">
        <v>96</v>
      </c>
      <c r="AG360" s="576">
        <v>48706.23</v>
      </c>
      <c r="AH360" s="576">
        <v>0</v>
      </c>
    </row>
    <row r="361" spans="1:35" x14ac:dyDescent="0.25">
      <c r="A361" s="574" t="s">
        <v>2219</v>
      </c>
      <c r="B361" s="574" t="s">
        <v>2220</v>
      </c>
      <c r="C361" s="574" t="s">
        <v>2221</v>
      </c>
      <c r="D361" s="574" t="s">
        <v>2220</v>
      </c>
      <c r="E361" s="574" t="s">
        <v>2222</v>
      </c>
      <c r="F361" s="574" t="s">
        <v>2223</v>
      </c>
      <c r="G361" s="574" t="s">
        <v>2224</v>
      </c>
      <c r="H361" s="574" t="s">
        <v>2225</v>
      </c>
      <c r="I361" s="574" t="s">
        <v>2226</v>
      </c>
      <c r="J361" s="574" t="s">
        <v>2227</v>
      </c>
      <c r="K361" s="574" t="s">
        <v>2228</v>
      </c>
      <c r="L361" s="574" t="s">
        <v>2229</v>
      </c>
      <c r="M361" s="574" t="s">
        <v>2230</v>
      </c>
      <c r="N361" s="574" t="s">
        <v>2231</v>
      </c>
      <c r="O361" s="574" t="s">
        <v>2232</v>
      </c>
      <c r="P361" s="574" t="s">
        <v>2233</v>
      </c>
      <c r="Q361" s="574" t="s">
        <v>2234</v>
      </c>
      <c r="R361" s="574" t="s">
        <v>2225</v>
      </c>
      <c r="S361" s="574" t="s">
        <v>2846</v>
      </c>
      <c r="T361" s="574" t="s">
        <v>2847</v>
      </c>
      <c r="U361" s="574" t="s">
        <v>528</v>
      </c>
      <c r="V361" s="574" t="s">
        <v>2238</v>
      </c>
      <c r="W361" s="574" t="s">
        <v>2239</v>
      </c>
      <c r="X361" s="574" t="s">
        <v>2270</v>
      </c>
      <c r="Y361" s="575" t="s">
        <v>2848</v>
      </c>
      <c r="Z361" s="575" t="s">
        <v>2848</v>
      </c>
      <c r="AA361" s="574" t="s">
        <v>2261</v>
      </c>
      <c r="AB361" s="574" t="s">
        <v>2262</v>
      </c>
      <c r="AC361" s="574" t="s">
        <v>2267</v>
      </c>
      <c r="AD361" s="574" t="s">
        <v>97</v>
      </c>
      <c r="AE361" s="574" t="s">
        <v>2268</v>
      </c>
      <c r="AF361" s="574" t="s">
        <v>97</v>
      </c>
      <c r="AG361" s="576">
        <v>8109.74</v>
      </c>
      <c r="AH361" s="576">
        <v>0</v>
      </c>
    </row>
    <row r="362" spans="1:35" x14ac:dyDescent="0.25">
      <c r="A362" s="574" t="s">
        <v>2219</v>
      </c>
      <c r="B362" s="574" t="s">
        <v>2220</v>
      </c>
      <c r="C362" s="574" t="s">
        <v>2221</v>
      </c>
      <c r="D362" s="574" t="s">
        <v>2220</v>
      </c>
      <c r="E362" s="574" t="s">
        <v>2222</v>
      </c>
      <c r="F362" s="574" t="s">
        <v>2223</v>
      </c>
      <c r="G362" s="574" t="s">
        <v>2224</v>
      </c>
      <c r="H362" s="574" t="s">
        <v>2225</v>
      </c>
      <c r="I362" s="574" t="s">
        <v>2226</v>
      </c>
      <c r="J362" s="574" t="s">
        <v>2227</v>
      </c>
      <c r="K362" s="574" t="s">
        <v>2228</v>
      </c>
      <c r="L362" s="574" t="s">
        <v>2229</v>
      </c>
      <c r="M362" s="574" t="s">
        <v>2230</v>
      </c>
      <c r="N362" s="574" t="s">
        <v>2231</v>
      </c>
      <c r="O362" s="574" t="s">
        <v>2232</v>
      </c>
      <c r="P362" s="574" t="s">
        <v>2233</v>
      </c>
      <c r="Q362" s="574" t="s">
        <v>2234</v>
      </c>
      <c r="R362" s="574" t="s">
        <v>2225</v>
      </c>
      <c r="S362" s="574" t="s">
        <v>2846</v>
      </c>
      <c r="T362" s="574" t="s">
        <v>2847</v>
      </c>
      <c r="U362" s="574" t="s">
        <v>2849</v>
      </c>
      <c r="V362" s="574" t="s">
        <v>2238</v>
      </c>
      <c r="W362" s="574" t="s">
        <v>2239</v>
      </c>
      <c r="X362" s="574" t="s">
        <v>2240</v>
      </c>
      <c r="Y362" s="575" t="s">
        <v>2850</v>
      </c>
      <c r="Z362" s="575" t="s">
        <v>2850</v>
      </c>
      <c r="AA362" s="574" t="s">
        <v>2242</v>
      </c>
      <c r="AB362" s="574" t="s">
        <v>2243</v>
      </c>
      <c r="AC362" s="574" t="s">
        <v>2244</v>
      </c>
      <c r="AD362" s="574" t="s">
        <v>2245</v>
      </c>
      <c r="AE362" s="574" t="s">
        <v>2246</v>
      </c>
      <c r="AF362" s="574" t="s">
        <v>2247</v>
      </c>
      <c r="AG362" s="576">
        <v>47719055.439999998</v>
      </c>
      <c r="AH362" s="576">
        <v>0</v>
      </c>
    </row>
    <row r="363" spans="1:35" x14ac:dyDescent="0.25">
      <c r="A363" s="574" t="s">
        <v>2219</v>
      </c>
      <c r="B363" s="574" t="s">
        <v>2220</v>
      </c>
      <c r="C363" s="574" t="s">
        <v>2221</v>
      </c>
      <c r="D363" s="574" t="s">
        <v>2220</v>
      </c>
      <c r="E363" s="574" t="s">
        <v>2222</v>
      </c>
      <c r="F363" s="574" t="s">
        <v>2223</v>
      </c>
      <c r="G363" s="574" t="s">
        <v>2224</v>
      </c>
      <c r="H363" s="574" t="s">
        <v>2225</v>
      </c>
      <c r="I363" s="574" t="s">
        <v>2226</v>
      </c>
      <c r="J363" s="574" t="s">
        <v>2227</v>
      </c>
      <c r="K363" s="574" t="s">
        <v>2228</v>
      </c>
      <c r="L363" s="574" t="s">
        <v>2229</v>
      </c>
      <c r="M363" s="574" t="s">
        <v>2230</v>
      </c>
      <c r="N363" s="574" t="s">
        <v>2231</v>
      </c>
      <c r="O363" s="574" t="s">
        <v>2232</v>
      </c>
      <c r="P363" s="574" t="s">
        <v>2233</v>
      </c>
      <c r="Q363" s="574" t="s">
        <v>2234</v>
      </c>
      <c r="R363" s="574" t="s">
        <v>2225</v>
      </c>
      <c r="S363" s="574" t="s">
        <v>2846</v>
      </c>
      <c r="T363" s="574" t="s">
        <v>2847</v>
      </c>
      <c r="U363" s="574" t="s">
        <v>2849</v>
      </c>
      <c r="V363" s="574" t="s">
        <v>2238</v>
      </c>
      <c r="W363" s="574" t="s">
        <v>2239</v>
      </c>
      <c r="X363" s="574" t="s">
        <v>2240</v>
      </c>
      <c r="Y363" s="575" t="s">
        <v>2850</v>
      </c>
      <c r="Z363" s="575" t="s">
        <v>2850</v>
      </c>
      <c r="AA363" s="574" t="s">
        <v>2248</v>
      </c>
      <c r="AB363" s="574" t="s">
        <v>2249</v>
      </c>
      <c r="AC363" s="574" t="s">
        <v>2250</v>
      </c>
      <c r="AD363" s="574" t="s">
        <v>2251</v>
      </c>
      <c r="AE363" s="574" t="s">
        <v>2252</v>
      </c>
      <c r="AF363" s="574" t="s">
        <v>2251</v>
      </c>
      <c r="AG363" s="576">
        <v>2561925.41</v>
      </c>
      <c r="AH363" s="576">
        <v>0</v>
      </c>
    </row>
    <row r="364" spans="1:35" x14ac:dyDescent="0.25">
      <c r="A364" s="574" t="s">
        <v>2219</v>
      </c>
      <c r="B364" s="574" t="s">
        <v>2220</v>
      </c>
      <c r="C364" s="574" t="s">
        <v>2221</v>
      </c>
      <c r="D364" s="574" t="s">
        <v>2220</v>
      </c>
      <c r="E364" s="574" t="s">
        <v>2222</v>
      </c>
      <c r="F364" s="574" t="s">
        <v>2223</v>
      </c>
      <c r="G364" s="574" t="s">
        <v>2224</v>
      </c>
      <c r="H364" s="574" t="s">
        <v>2225</v>
      </c>
      <c r="I364" s="574" t="s">
        <v>2226</v>
      </c>
      <c r="J364" s="574" t="s">
        <v>2227</v>
      </c>
      <c r="K364" s="574" t="s">
        <v>2228</v>
      </c>
      <c r="L364" s="574" t="s">
        <v>2229</v>
      </c>
      <c r="M364" s="574" t="s">
        <v>2230</v>
      </c>
      <c r="N364" s="574" t="s">
        <v>2231</v>
      </c>
      <c r="O364" s="574" t="s">
        <v>2232</v>
      </c>
      <c r="P364" s="574" t="s">
        <v>2233</v>
      </c>
      <c r="Q364" s="574" t="s">
        <v>2234</v>
      </c>
      <c r="R364" s="574" t="s">
        <v>2225</v>
      </c>
      <c r="S364" s="574" t="s">
        <v>2846</v>
      </c>
      <c r="T364" s="574" t="s">
        <v>2847</v>
      </c>
      <c r="U364" s="574" t="s">
        <v>2849</v>
      </c>
      <c r="V364" s="574" t="s">
        <v>2238</v>
      </c>
      <c r="W364" s="574" t="s">
        <v>2239</v>
      </c>
      <c r="X364" s="574" t="s">
        <v>2240</v>
      </c>
      <c r="Y364" s="575" t="s">
        <v>2850</v>
      </c>
      <c r="Z364" s="575" t="s">
        <v>2850</v>
      </c>
      <c r="AA364" s="574" t="s">
        <v>2248</v>
      </c>
      <c r="AB364" s="574" t="s">
        <v>2249</v>
      </c>
      <c r="AC364" s="574" t="s">
        <v>2253</v>
      </c>
      <c r="AD364" s="574" t="s">
        <v>2254</v>
      </c>
      <c r="AE364" s="574" t="s">
        <v>2255</v>
      </c>
      <c r="AF364" s="574" t="s">
        <v>2256</v>
      </c>
      <c r="AG364" s="576">
        <v>396000</v>
      </c>
      <c r="AH364" s="576">
        <v>0</v>
      </c>
    </row>
    <row r="365" spans="1:35" x14ac:dyDescent="0.25">
      <c r="A365" s="574" t="s">
        <v>2219</v>
      </c>
      <c r="B365" s="574" t="s">
        <v>2220</v>
      </c>
      <c r="C365" s="574" t="s">
        <v>2221</v>
      </c>
      <c r="D365" s="574" t="s">
        <v>2220</v>
      </c>
      <c r="E365" s="574" t="s">
        <v>2222</v>
      </c>
      <c r="F365" s="574" t="s">
        <v>2223</v>
      </c>
      <c r="G365" s="574" t="s">
        <v>2224</v>
      </c>
      <c r="H365" s="574" t="s">
        <v>2225</v>
      </c>
      <c r="I365" s="574" t="s">
        <v>2226</v>
      </c>
      <c r="J365" s="574" t="s">
        <v>2227</v>
      </c>
      <c r="K365" s="574" t="s">
        <v>2228</v>
      </c>
      <c r="L365" s="574" t="s">
        <v>2229</v>
      </c>
      <c r="M365" s="574" t="s">
        <v>2230</v>
      </c>
      <c r="N365" s="574" t="s">
        <v>2231</v>
      </c>
      <c r="O365" s="574" t="s">
        <v>2232</v>
      </c>
      <c r="P365" s="574" t="s">
        <v>2233</v>
      </c>
      <c r="Q365" s="574" t="s">
        <v>2234</v>
      </c>
      <c r="R365" s="574" t="s">
        <v>2225</v>
      </c>
      <c r="S365" s="574" t="s">
        <v>2846</v>
      </c>
      <c r="T365" s="574" t="s">
        <v>2847</v>
      </c>
      <c r="U365" s="574" t="s">
        <v>2849</v>
      </c>
      <c r="V365" s="574" t="s">
        <v>2238</v>
      </c>
      <c r="W365" s="574" t="s">
        <v>2239</v>
      </c>
      <c r="X365" s="574" t="s">
        <v>2240</v>
      </c>
      <c r="Y365" s="575" t="s">
        <v>2850</v>
      </c>
      <c r="Z365" s="575" t="s">
        <v>2850</v>
      </c>
      <c r="AA365" s="574" t="s">
        <v>2248</v>
      </c>
      <c r="AB365" s="574" t="s">
        <v>2249</v>
      </c>
      <c r="AC365" s="574" t="s">
        <v>2253</v>
      </c>
      <c r="AD365" s="574" t="s">
        <v>2254</v>
      </c>
      <c r="AE365" s="574" t="s">
        <v>2257</v>
      </c>
      <c r="AF365" s="574" t="s">
        <v>2258</v>
      </c>
      <c r="AG365" s="576">
        <v>10717.4</v>
      </c>
      <c r="AH365" s="576">
        <v>0</v>
      </c>
    </row>
    <row r="366" spans="1:35" x14ac:dyDescent="0.25">
      <c r="A366" s="574" t="s">
        <v>2219</v>
      </c>
      <c r="B366" s="574" t="s">
        <v>2220</v>
      </c>
      <c r="C366" s="574" t="s">
        <v>2221</v>
      </c>
      <c r="D366" s="574" t="s">
        <v>2220</v>
      </c>
      <c r="E366" s="574" t="s">
        <v>2222</v>
      </c>
      <c r="F366" s="574" t="s">
        <v>2223</v>
      </c>
      <c r="G366" s="574" t="s">
        <v>2224</v>
      </c>
      <c r="H366" s="574" t="s">
        <v>2225</v>
      </c>
      <c r="I366" s="574" t="s">
        <v>2226</v>
      </c>
      <c r="J366" s="574" t="s">
        <v>2227</v>
      </c>
      <c r="K366" s="574" t="s">
        <v>2228</v>
      </c>
      <c r="L366" s="574" t="s">
        <v>2229</v>
      </c>
      <c r="M366" s="574" t="s">
        <v>2230</v>
      </c>
      <c r="N366" s="574" t="s">
        <v>2231</v>
      </c>
      <c r="O366" s="574" t="s">
        <v>2232</v>
      </c>
      <c r="P366" s="574" t="s">
        <v>2233</v>
      </c>
      <c r="Q366" s="574" t="s">
        <v>2234</v>
      </c>
      <c r="R366" s="574" t="s">
        <v>2225</v>
      </c>
      <c r="S366" s="574" t="s">
        <v>2846</v>
      </c>
      <c r="T366" s="574" t="s">
        <v>2847</v>
      </c>
      <c r="U366" s="574" t="s">
        <v>2849</v>
      </c>
      <c r="V366" s="574" t="s">
        <v>2238</v>
      </c>
      <c r="W366" s="574" t="s">
        <v>2239</v>
      </c>
      <c r="X366" s="574" t="s">
        <v>2240</v>
      </c>
      <c r="Y366" s="575" t="s">
        <v>2850</v>
      </c>
      <c r="Z366" s="575" t="s">
        <v>2850</v>
      </c>
      <c r="AA366" s="574" t="s">
        <v>2248</v>
      </c>
      <c r="AB366" s="574" t="s">
        <v>2249</v>
      </c>
      <c r="AC366" s="574" t="s">
        <v>2253</v>
      </c>
      <c r="AD366" s="574" t="s">
        <v>2254</v>
      </c>
      <c r="AE366" s="574" t="s">
        <v>2259</v>
      </c>
      <c r="AF366" s="574" t="s">
        <v>2260</v>
      </c>
      <c r="AG366" s="576">
        <v>64304.4</v>
      </c>
      <c r="AH366" s="576">
        <v>0</v>
      </c>
    </row>
    <row r="367" spans="1:35" x14ac:dyDescent="0.25">
      <c r="A367" s="574" t="s">
        <v>2219</v>
      </c>
      <c r="B367" s="574" t="s">
        <v>2220</v>
      </c>
      <c r="C367" s="574" t="s">
        <v>2221</v>
      </c>
      <c r="D367" s="574" t="s">
        <v>2220</v>
      </c>
      <c r="E367" s="574" t="s">
        <v>2222</v>
      </c>
      <c r="F367" s="574" t="s">
        <v>2223</v>
      </c>
      <c r="G367" s="574" t="s">
        <v>2224</v>
      </c>
      <c r="H367" s="574" t="s">
        <v>2225</v>
      </c>
      <c r="I367" s="574" t="s">
        <v>2226</v>
      </c>
      <c r="J367" s="574" t="s">
        <v>2227</v>
      </c>
      <c r="K367" s="574" t="s">
        <v>2228</v>
      </c>
      <c r="L367" s="574" t="s">
        <v>2229</v>
      </c>
      <c r="M367" s="574" t="s">
        <v>2230</v>
      </c>
      <c r="N367" s="574" t="s">
        <v>2231</v>
      </c>
      <c r="O367" s="574" t="s">
        <v>2232</v>
      </c>
      <c r="P367" s="574" t="s">
        <v>2233</v>
      </c>
      <c r="Q367" s="574" t="s">
        <v>2234</v>
      </c>
      <c r="R367" s="574" t="s">
        <v>2225</v>
      </c>
      <c r="S367" s="574" t="s">
        <v>2846</v>
      </c>
      <c r="T367" s="574" t="s">
        <v>2847</v>
      </c>
      <c r="U367" s="574" t="s">
        <v>2849</v>
      </c>
      <c r="V367" s="574" t="s">
        <v>2238</v>
      </c>
      <c r="W367" s="574" t="s">
        <v>2239</v>
      </c>
      <c r="X367" s="574" t="s">
        <v>2240</v>
      </c>
      <c r="Y367" s="575" t="s">
        <v>2850</v>
      </c>
      <c r="Z367" s="575" t="s">
        <v>2850</v>
      </c>
      <c r="AA367" s="574" t="s">
        <v>2261</v>
      </c>
      <c r="AB367" s="574" t="s">
        <v>2262</v>
      </c>
      <c r="AC367" s="574" t="s">
        <v>2263</v>
      </c>
      <c r="AD367" s="574" t="s">
        <v>95</v>
      </c>
      <c r="AE367" s="574" t="s">
        <v>2264</v>
      </c>
      <c r="AF367" s="574" t="s">
        <v>95</v>
      </c>
      <c r="AG367" s="576">
        <v>3383280.05</v>
      </c>
      <c r="AH367" s="576">
        <v>0</v>
      </c>
    </row>
    <row r="368" spans="1:35" x14ac:dyDescent="0.25">
      <c r="A368" s="574" t="s">
        <v>2219</v>
      </c>
      <c r="B368" s="574" t="s">
        <v>2220</v>
      </c>
      <c r="C368" s="574" t="s">
        <v>2221</v>
      </c>
      <c r="D368" s="574" t="s">
        <v>2220</v>
      </c>
      <c r="E368" s="574" t="s">
        <v>2222</v>
      </c>
      <c r="F368" s="574" t="s">
        <v>2223</v>
      </c>
      <c r="G368" s="574" t="s">
        <v>2224</v>
      </c>
      <c r="H368" s="574" t="s">
        <v>2225</v>
      </c>
      <c r="I368" s="574" t="s">
        <v>2226</v>
      </c>
      <c r="J368" s="574" t="s">
        <v>2227</v>
      </c>
      <c r="K368" s="574" t="s">
        <v>2228</v>
      </c>
      <c r="L368" s="574" t="s">
        <v>2229</v>
      </c>
      <c r="M368" s="574" t="s">
        <v>2230</v>
      </c>
      <c r="N368" s="574" t="s">
        <v>2231</v>
      </c>
      <c r="O368" s="574" t="s">
        <v>2232</v>
      </c>
      <c r="P368" s="574" t="s">
        <v>2233</v>
      </c>
      <c r="Q368" s="574" t="s">
        <v>2234</v>
      </c>
      <c r="R368" s="574" t="s">
        <v>2225</v>
      </c>
      <c r="S368" s="574" t="s">
        <v>2846</v>
      </c>
      <c r="T368" s="574" t="s">
        <v>2847</v>
      </c>
      <c r="U368" s="574" t="s">
        <v>2849</v>
      </c>
      <c r="V368" s="574" t="s">
        <v>2238</v>
      </c>
      <c r="W368" s="574" t="s">
        <v>2239</v>
      </c>
      <c r="X368" s="574" t="s">
        <v>2240</v>
      </c>
      <c r="Y368" s="575" t="s">
        <v>2850</v>
      </c>
      <c r="Z368" s="575" t="s">
        <v>2850</v>
      </c>
      <c r="AA368" s="574" t="s">
        <v>2261</v>
      </c>
      <c r="AB368" s="574" t="s">
        <v>2262</v>
      </c>
      <c r="AC368" s="574" t="s">
        <v>2265</v>
      </c>
      <c r="AD368" s="574" t="s">
        <v>96</v>
      </c>
      <c r="AE368" s="574" t="s">
        <v>2266</v>
      </c>
      <c r="AF368" s="574" t="s">
        <v>96</v>
      </c>
      <c r="AG368" s="576">
        <v>3388052.38</v>
      </c>
      <c r="AH368" s="576">
        <v>0</v>
      </c>
    </row>
    <row r="369" spans="1:34" x14ac:dyDescent="0.25">
      <c r="A369" s="574" t="s">
        <v>2219</v>
      </c>
      <c r="B369" s="574" t="s">
        <v>2220</v>
      </c>
      <c r="C369" s="574" t="s">
        <v>2221</v>
      </c>
      <c r="D369" s="574" t="s">
        <v>2220</v>
      </c>
      <c r="E369" s="574" t="s">
        <v>2222</v>
      </c>
      <c r="F369" s="574" t="s">
        <v>2223</v>
      </c>
      <c r="G369" s="574" t="s">
        <v>2224</v>
      </c>
      <c r="H369" s="574" t="s">
        <v>2225</v>
      </c>
      <c r="I369" s="574" t="s">
        <v>2226</v>
      </c>
      <c r="J369" s="574" t="s">
        <v>2227</v>
      </c>
      <c r="K369" s="574" t="s">
        <v>2228</v>
      </c>
      <c r="L369" s="574" t="s">
        <v>2229</v>
      </c>
      <c r="M369" s="574" t="s">
        <v>2230</v>
      </c>
      <c r="N369" s="574" t="s">
        <v>2231</v>
      </c>
      <c r="O369" s="574" t="s">
        <v>2232</v>
      </c>
      <c r="P369" s="574" t="s">
        <v>2233</v>
      </c>
      <c r="Q369" s="574" t="s">
        <v>2234</v>
      </c>
      <c r="R369" s="574" t="s">
        <v>2225</v>
      </c>
      <c r="S369" s="574" t="s">
        <v>2846</v>
      </c>
      <c r="T369" s="574" t="s">
        <v>2847</v>
      </c>
      <c r="U369" s="574" t="s">
        <v>2849</v>
      </c>
      <c r="V369" s="574" t="s">
        <v>2238</v>
      </c>
      <c r="W369" s="574" t="s">
        <v>2239</v>
      </c>
      <c r="X369" s="574" t="s">
        <v>2240</v>
      </c>
      <c r="Y369" s="575" t="s">
        <v>2850</v>
      </c>
      <c r="Z369" s="575" t="s">
        <v>2850</v>
      </c>
      <c r="AA369" s="574" t="s">
        <v>2261</v>
      </c>
      <c r="AB369" s="574" t="s">
        <v>2262</v>
      </c>
      <c r="AC369" s="574" t="s">
        <v>2267</v>
      </c>
      <c r="AD369" s="574" t="s">
        <v>97</v>
      </c>
      <c r="AE369" s="574" t="s">
        <v>2268</v>
      </c>
      <c r="AF369" s="574" t="s">
        <v>97</v>
      </c>
      <c r="AG369" s="576">
        <v>571427.64</v>
      </c>
      <c r="AH369" s="576">
        <v>0</v>
      </c>
    </row>
    <row r="370" spans="1:34" x14ac:dyDescent="0.25">
      <c r="A370" s="574" t="s">
        <v>2219</v>
      </c>
      <c r="B370" s="574" t="s">
        <v>2220</v>
      </c>
      <c r="C370" s="574" t="s">
        <v>2221</v>
      </c>
      <c r="D370" s="574" t="s">
        <v>2220</v>
      </c>
      <c r="E370" s="574" t="s">
        <v>2222</v>
      </c>
      <c r="F370" s="574" t="s">
        <v>2223</v>
      </c>
      <c r="G370" s="574" t="s">
        <v>2224</v>
      </c>
      <c r="H370" s="574" t="s">
        <v>2225</v>
      </c>
      <c r="I370" s="574" t="s">
        <v>2226</v>
      </c>
      <c r="J370" s="574" t="s">
        <v>2227</v>
      </c>
      <c r="K370" s="574" t="s">
        <v>2228</v>
      </c>
      <c r="L370" s="574" t="s">
        <v>2229</v>
      </c>
      <c r="M370" s="574" t="s">
        <v>2230</v>
      </c>
      <c r="N370" s="574" t="s">
        <v>2231</v>
      </c>
      <c r="O370" s="574" t="s">
        <v>2232</v>
      </c>
      <c r="P370" s="574" t="s">
        <v>2233</v>
      </c>
      <c r="Q370" s="574" t="s">
        <v>2234</v>
      </c>
      <c r="R370" s="574" t="s">
        <v>2225</v>
      </c>
      <c r="S370" s="574" t="s">
        <v>2846</v>
      </c>
      <c r="T370" s="574" t="s">
        <v>2847</v>
      </c>
      <c r="U370" s="574" t="s">
        <v>2851</v>
      </c>
      <c r="V370" s="574" t="s">
        <v>2238</v>
      </c>
      <c r="W370" s="574" t="s">
        <v>2239</v>
      </c>
      <c r="X370" s="574" t="s">
        <v>2278</v>
      </c>
      <c r="Y370" s="575" t="s">
        <v>2852</v>
      </c>
      <c r="Z370" s="575" t="s">
        <v>2852</v>
      </c>
      <c r="AA370" s="574" t="s">
        <v>2242</v>
      </c>
      <c r="AB370" s="574" t="s">
        <v>2243</v>
      </c>
      <c r="AC370" s="574" t="s">
        <v>2244</v>
      </c>
      <c r="AD370" s="574" t="s">
        <v>2245</v>
      </c>
      <c r="AE370" s="574" t="s">
        <v>2246</v>
      </c>
      <c r="AF370" s="574" t="s">
        <v>2247</v>
      </c>
      <c r="AG370" s="576">
        <v>47302103.740000002</v>
      </c>
      <c r="AH370" s="576">
        <v>0</v>
      </c>
    </row>
    <row r="371" spans="1:34" x14ac:dyDescent="0.25">
      <c r="A371" s="574" t="s">
        <v>2219</v>
      </c>
      <c r="B371" s="574" t="s">
        <v>2220</v>
      </c>
      <c r="C371" s="574" t="s">
        <v>2221</v>
      </c>
      <c r="D371" s="574" t="s">
        <v>2220</v>
      </c>
      <c r="E371" s="574" t="s">
        <v>2222</v>
      </c>
      <c r="F371" s="574" t="s">
        <v>2223</v>
      </c>
      <c r="G371" s="574" t="s">
        <v>2224</v>
      </c>
      <c r="H371" s="574" t="s">
        <v>2225</v>
      </c>
      <c r="I371" s="574" t="s">
        <v>2226</v>
      </c>
      <c r="J371" s="574" t="s">
        <v>2227</v>
      </c>
      <c r="K371" s="574" t="s">
        <v>2228</v>
      </c>
      <c r="L371" s="574" t="s">
        <v>2229</v>
      </c>
      <c r="M371" s="574" t="s">
        <v>2230</v>
      </c>
      <c r="N371" s="574" t="s">
        <v>2231</v>
      </c>
      <c r="O371" s="574" t="s">
        <v>2232</v>
      </c>
      <c r="P371" s="574" t="s">
        <v>2233</v>
      </c>
      <c r="Q371" s="574" t="s">
        <v>2234</v>
      </c>
      <c r="R371" s="574" t="s">
        <v>2225</v>
      </c>
      <c r="S371" s="574" t="s">
        <v>2846</v>
      </c>
      <c r="T371" s="574" t="s">
        <v>2847</v>
      </c>
      <c r="U371" s="574" t="s">
        <v>2851</v>
      </c>
      <c r="V371" s="574" t="s">
        <v>2238</v>
      </c>
      <c r="W371" s="574" t="s">
        <v>2239</v>
      </c>
      <c r="X371" s="574" t="s">
        <v>2278</v>
      </c>
      <c r="Y371" s="575" t="s">
        <v>2852</v>
      </c>
      <c r="Z371" s="575" t="s">
        <v>2852</v>
      </c>
      <c r="AA371" s="574" t="s">
        <v>2248</v>
      </c>
      <c r="AB371" s="574" t="s">
        <v>2249</v>
      </c>
      <c r="AC371" s="574" t="s">
        <v>2250</v>
      </c>
      <c r="AD371" s="574" t="s">
        <v>2251</v>
      </c>
      <c r="AE371" s="574" t="s">
        <v>2252</v>
      </c>
      <c r="AF371" s="574" t="s">
        <v>2251</v>
      </c>
      <c r="AG371" s="576">
        <v>2451566.66</v>
      </c>
      <c r="AH371" s="576">
        <v>0</v>
      </c>
    </row>
    <row r="372" spans="1:34" x14ac:dyDescent="0.25">
      <c r="A372" s="574" t="s">
        <v>2219</v>
      </c>
      <c r="B372" s="574" t="s">
        <v>2220</v>
      </c>
      <c r="C372" s="574" t="s">
        <v>2221</v>
      </c>
      <c r="D372" s="574" t="s">
        <v>2220</v>
      </c>
      <c r="E372" s="574" t="s">
        <v>2222</v>
      </c>
      <c r="F372" s="574" t="s">
        <v>2223</v>
      </c>
      <c r="G372" s="574" t="s">
        <v>2224</v>
      </c>
      <c r="H372" s="574" t="s">
        <v>2225</v>
      </c>
      <c r="I372" s="574" t="s">
        <v>2226</v>
      </c>
      <c r="J372" s="574" t="s">
        <v>2227</v>
      </c>
      <c r="K372" s="574" t="s">
        <v>2228</v>
      </c>
      <c r="L372" s="574" t="s">
        <v>2229</v>
      </c>
      <c r="M372" s="574" t="s">
        <v>2230</v>
      </c>
      <c r="N372" s="574" t="s">
        <v>2231</v>
      </c>
      <c r="O372" s="574" t="s">
        <v>2232</v>
      </c>
      <c r="P372" s="574" t="s">
        <v>2233</v>
      </c>
      <c r="Q372" s="574" t="s">
        <v>2234</v>
      </c>
      <c r="R372" s="574" t="s">
        <v>2225</v>
      </c>
      <c r="S372" s="574" t="s">
        <v>2846</v>
      </c>
      <c r="T372" s="574" t="s">
        <v>2847</v>
      </c>
      <c r="U372" s="574" t="s">
        <v>2851</v>
      </c>
      <c r="V372" s="574" t="s">
        <v>2238</v>
      </c>
      <c r="W372" s="574" t="s">
        <v>2239</v>
      </c>
      <c r="X372" s="574" t="s">
        <v>2278</v>
      </c>
      <c r="Y372" s="575" t="s">
        <v>2852</v>
      </c>
      <c r="Z372" s="575" t="s">
        <v>2852</v>
      </c>
      <c r="AA372" s="574" t="s">
        <v>2248</v>
      </c>
      <c r="AB372" s="574" t="s">
        <v>2249</v>
      </c>
      <c r="AC372" s="574" t="s">
        <v>2253</v>
      </c>
      <c r="AD372" s="574" t="s">
        <v>2254</v>
      </c>
      <c r="AE372" s="574" t="s">
        <v>2255</v>
      </c>
      <c r="AF372" s="574" t="s">
        <v>2256</v>
      </c>
      <c r="AG372" s="576">
        <v>288600</v>
      </c>
      <c r="AH372" s="576">
        <v>0</v>
      </c>
    </row>
    <row r="373" spans="1:34" x14ac:dyDescent="0.25">
      <c r="A373" s="574" t="s">
        <v>2219</v>
      </c>
      <c r="B373" s="574" t="s">
        <v>2220</v>
      </c>
      <c r="C373" s="574" t="s">
        <v>2221</v>
      </c>
      <c r="D373" s="574" t="s">
        <v>2220</v>
      </c>
      <c r="E373" s="574" t="s">
        <v>2222</v>
      </c>
      <c r="F373" s="574" t="s">
        <v>2223</v>
      </c>
      <c r="G373" s="574" t="s">
        <v>2224</v>
      </c>
      <c r="H373" s="574" t="s">
        <v>2225</v>
      </c>
      <c r="I373" s="574" t="s">
        <v>2226</v>
      </c>
      <c r="J373" s="574" t="s">
        <v>2227</v>
      </c>
      <c r="K373" s="574" t="s">
        <v>2228</v>
      </c>
      <c r="L373" s="574" t="s">
        <v>2229</v>
      </c>
      <c r="M373" s="574" t="s">
        <v>2230</v>
      </c>
      <c r="N373" s="574" t="s">
        <v>2231</v>
      </c>
      <c r="O373" s="574" t="s">
        <v>2232</v>
      </c>
      <c r="P373" s="574" t="s">
        <v>2233</v>
      </c>
      <c r="Q373" s="574" t="s">
        <v>2234</v>
      </c>
      <c r="R373" s="574" t="s">
        <v>2225</v>
      </c>
      <c r="S373" s="574" t="s">
        <v>2846</v>
      </c>
      <c r="T373" s="574" t="s">
        <v>2847</v>
      </c>
      <c r="U373" s="574" t="s">
        <v>2851</v>
      </c>
      <c r="V373" s="574" t="s">
        <v>2238</v>
      </c>
      <c r="W373" s="574" t="s">
        <v>2239</v>
      </c>
      <c r="X373" s="574" t="s">
        <v>2278</v>
      </c>
      <c r="Y373" s="575" t="s">
        <v>2852</v>
      </c>
      <c r="Z373" s="575" t="s">
        <v>2852</v>
      </c>
      <c r="AA373" s="574" t="s">
        <v>2248</v>
      </c>
      <c r="AB373" s="574" t="s">
        <v>2249</v>
      </c>
      <c r="AC373" s="574" t="s">
        <v>2253</v>
      </c>
      <c r="AD373" s="574" t="s">
        <v>2254</v>
      </c>
      <c r="AE373" s="574" t="s">
        <v>2257</v>
      </c>
      <c r="AF373" s="574" t="s">
        <v>2258</v>
      </c>
      <c r="AG373" s="576">
        <v>10717.4</v>
      </c>
      <c r="AH373" s="576">
        <v>0</v>
      </c>
    </row>
    <row r="374" spans="1:34" x14ac:dyDescent="0.25">
      <c r="A374" s="574" t="s">
        <v>2219</v>
      </c>
      <c r="B374" s="574" t="s">
        <v>2220</v>
      </c>
      <c r="C374" s="574" t="s">
        <v>2221</v>
      </c>
      <c r="D374" s="574" t="s">
        <v>2220</v>
      </c>
      <c r="E374" s="574" t="s">
        <v>2222</v>
      </c>
      <c r="F374" s="574" t="s">
        <v>2223</v>
      </c>
      <c r="G374" s="574" t="s">
        <v>2224</v>
      </c>
      <c r="H374" s="574" t="s">
        <v>2225</v>
      </c>
      <c r="I374" s="574" t="s">
        <v>2226</v>
      </c>
      <c r="J374" s="574" t="s">
        <v>2227</v>
      </c>
      <c r="K374" s="574" t="s">
        <v>2228</v>
      </c>
      <c r="L374" s="574" t="s">
        <v>2229</v>
      </c>
      <c r="M374" s="574" t="s">
        <v>2230</v>
      </c>
      <c r="N374" s="574" t="s">
        <v>2231</v>
      </c>
      <c r="O374" s="574" t="s">
        <v>2232</v>
      </c>
      <c r="P374" s="574" t="s">
        <v>2233</v>
      </c>
      <c r="Q374" s="574" t="s">
        <v>2234</v>
      </c>
      <c r="R374" s="574" t="s">
        <v>2225</v>
      </c>
      <c r="S374" s="574" t="s">
        <v>2846</v>
      </c>
      <c r="T374" s="574" t="s">
        <v>2847</v>
      </c>
      <c r="U374" s="574" t="s">
        <v>2851</v>
      </c>
      <c r="V374" s="574" t="s">
        <v>2238</v>
      </c>
      <c r="W374" s="574" t="s">
        <v>2239</v>
      </c>
      <c r="X374" s="574" t="s">
        <v>2278</v>
      </c>
      <c r="Y374" s="575" t="s">
        <v>2852</v>
      </c>
      <c r="Z374" s="575" t="s">
        <v>2852</v>
      </c>
      <c r="AA374" s="574" t="s">
        <v>2248</v>
      </c>
      <c r="AB374" s="574" t="s">
        <v>2249</v>
      </c>
      <c r="AC374" s="574" t="s">
        <v>2253</v>
      </c>
      <c r="AD374" s="574" t="s">
        <v>2254</v>
      </c>
      <c r="AE374" s="574" t="s">
        <v>2259</v>
      </c>
      <c r="AF374" s="574" t="s">
        <v>2260</v>
      </c>
      <c r="AG374" s="576">
        <v>64304.4</v>
      </c>
      <c r="AH374" s="576">
        <v>0</v>
      </c>
    </row>
    <row r="375" spans="1:34" x14ac:dyDescent="0.25">
      <c r="A375" s="574" t="s">
        <v>2219</v>
      </c>
      <c r="B375" s="574" t="s">
        <v>2220</v>
      </c>
      <c r="C375" s="574" t="s">
        <v>2221</v>
      </c>
      <c r="D375" s="574" t="s">
        <v>2220</v>
      </c>
      <c r="E375" s="574" t="s">
        <v>2222</v>
      </c>
      <c r="F375" s="574" t="s">
        <v>2223</v>
      </c>
      <c r="G375" s="574" t="s">
        <v>2224</v>
      </c>
      <c r="H375" s="574" t="s">
        <v>2225</v>
      </c>
      <c r="I375" s="574" t="s">
        <v>2226</v>
      </c>
      <c r="J375" s="574" t="s">
        <v>2227</v>
      </c>
      <c r="K375" s="574" t="s">
        <v>2228</v>
      </c>
      <c r="L375" s="574" t="s">
        <v>2229</v>
      </c>
      <c r="M375" s="574" t="s">
        <v>2230</v>
      </c>
      <c r="N375" s="574" t="s">
        <v>2231</v>
      </c>
      <c r="O375" s="574" t="s">
        <v>2232</v>
      </c>
      <c r="P375" s="574" t="s">
        <v>2233</v>
      </c>
      <c r="Q375" s="574" t="s">
        <v>2234</v>
      </c>
      <c r="R375" s="574" t="s">
        <v>2225</v>
      </c>
      <c r="S375" s="574" t="s">
        <v>2846</v>
      </c>
      <c r="T375" s="574" t="s">
        <v>2847</v>
      </c>
      <c r="U375" s="574" t="s">
        <v>2851</v>
      </c>
      <c r="V375" s="574" t="s">
        <v>2238</v>
      </c>
      <c r="W375" s="574" t="s">
        <v>2239</v>
      </c>
      <c r="X375" s="574" t="s">
        <v>2278</v>
      </c>
      <c r="Y375" s="575" t="s">
        <v>2852</v>
      </c>
      <c r="Z375" s="575" t="s">
        <v>2852</v>
      </c>
      <c r="AA375" s="574" t="s">
        <v>2261</v>
      </c>
      <c r="AB375" s="574" t="s">
        <v>2262</v>
      </c>
      <c r="AC375" s="574" t="s">
        <v>2263</v>
      </c>
      <c r="AD375" s="574" t="s">
        <v>95</v>
      </c>
      <c r="AE375" s="574" t="s">
        <v>2264</v>
      </c>
      <c r="AF375" s="574" t="s">
        <v>95</v>
      </c>
      <c r="AG375" s="576">
        <v>3353718.17</v>
      </c>
      <c r="AH375" s="576">
        <v>0</v>
      </c>
    </row>
    <row r="376" spans="1:34" x14ac:dyDescent="0.25">
      <c r="A376" s="574" t="s">
        <v>2219</v>
      </c>
      <c r="B376" s="574" t="s">
        <v>2220</v>
      </c>
      <c r="C376" s="574" t="s">
        <v>2221</v>
      </c>
      <c r="D376" s="574" t="s">
        <v>2220</v>
      </c>
      <c r="E376" s="574" t="s">
        <v>2222</v>
      </c>
      <c r="F376" s="574" t="s">
        <v>2223</v>
      </c>
      <c r="G376" s="574" t="s">
        <v>2224</v>
      </c>
      <c r="H376" s="574" t="s">
        <v>2225</v>
      </c>
      <c r="I376" s="574" t="s">
        <v>2226</v>
      </c>
      <c r="J376" s="574" t="s">
        <v>2227</v>
      </c>
      <c r="K376" s="574" t="s">
        <v>2228</v>
      </c>
      <c r="L376" s="574" t="s">
        <v>2229</v>
      </c>
      <c r="M376" s="574" t="s">
        <v>2230</v>
      </c>
      <c r="N376" s="574" t="s">
        <v>2231</v>
      </c>
      <c r="O376" s="574" t="s">
        <v>2232</v>
      </c>
      <c r="P376" s="574" t="s">
        <v>2233</v>
      </c>
      <c r="Q376" s="574" t="s">
        <v>2234</v>
      </c>
      <c r="R376" s="574" t="s">
        <v>2225</v>
      </c>
      <c r="S376" s="574" t="s">
        <v>2846</v>
      </c>
      <c r="T376" s="574" t="s">
        <v>2847</v>
      </c>
      <c r="U376" s="574" t="s">
        <v>2851</v>
      </c>
      <c r="V376" s="574" t="s">
        <v>2238</v>
      </c>
      <c r="W376" s="574" t="s">
        <v>2239</v>
      </c>
      <c r="X376" s="574" t="s">
        <v>2278</v>
      </c>
      <c r="Y376" s="575" t="s">
        <v>2852</v>
      </c>
      <c r="Z376" s="575" t="s">
        <v>2852</v>
      </c>
      <c r="AA376" s="574" t="s">
        <v>2261</v>
      </c>
      <c r="AB376" s="574" t="s">
        <v>2262</v>
      </c>
      <c r="AC376" s="574" t="s">
        <v>2265</v>
      </c>
      <c r="AD376" s="574" t="s">
        <v>96</v>
      </c>
      <c r="AE376" s="574" t="s">
        <v>2266</v>
      </c>
      <c r="AF376" s="574" t="s">
        <v>96</v>
      </c>
      <c r="AG376" s="576">
        <v>3358448.81</v>
      </c>
      <c r="AH376" s="576">
        <v>0</v>
      </c>
    </row>
    <row r="377" spans="1:34" x14ac:dyDescent="0.25">
      <c r="A377" s="574" t="s">
        <v>2219</v>
      </c>
      <c r="B377" s="574" t="s">
        <v>2220</v>
      </c>
      <c r="C377" s="574" t="s">
        <v>2221</v>
      </c>
      <c r="D377" s="574" t="s">
        <v>2220</v>
      </c>
      <c r="E377" s="574" t="s">
        <v>2222</v>
      </c>
      <c r="F377" s="574" t="s">
        <v>2223</v>
      </c>
      <c r="G377" s="574" t="s">
        <v>2224</v>
      </c>
      <c r="H377" s="574" t="s">
        <v>2225</v>
      </c>
      <c r="I377" s="574" t="s">
        <v>2226</v>
      </c>
      <c r="J377" s="574" t="s">
        <v>2227</v>
      </c>
      <c r="K377" s="574" t="s">
        <v>2228</v>
      </c>
      <c r="L377" s="574" t="s">
        <v>2229</v>
      </c>
      <c r="M377" s="574" t="s">
        <v>2230</v>
      </c>
      <c r="N377" s="574" t="s">
        <v>2231</v>
      </c>
      <c r="O377" s="574" t="s">
        <v>2232</v>
      </c>
      <c r="P377" s="574" t="s">
        <v>2233</v>
      </c>
      <c r="Q377" s="574" t="s">
        <v>2234</v>
      </c>
      <c r="R377" s="574" t="s">
        <v>2225</v>
      </c>
      <c r="S377" s="574" t="s">
        <v>2846</v>
      </c>
      <c r="T377" s="574" t="s">
        <v>2847</v>
      </c>
      <c r="U377" s="574" t="s">
        <v>2851</v>
      </c>
      <c r="V377" s="574" t="s">
        <v>2238</v>
      </c>
      <c r="W377" s="574" t="s">
        <v>2239</v>
      </c>
      <c r="X377" s="574" t="s">
        <v>2278</v>
      </c>
      <c r="Y377" s="575" t="s">
        <v>2852</v>
      </c>
      <c r="Z377" s="575" t="s">
        <v>2852</v>
      </c>
      <c r="AA377" s="574" t="s">
        <v>2261</v>
      </c>
      <c r="AB377" s="574" t="s">
        <v>2262</v>
      </c>
      <c r="AC377" s="574" t="s">
        <v>2267</v>
      </c>
      <c r="AD377" s="574" t="s">
        <v>97</v>
      </c>
      <c r="AE377" s="574" t="s">
        <v>2268</v>
      </c>
      <c r="AF377" s="574" t="s">
        <v>97</v>
      </c>
      <c r="AG377" s="576">
        <v>566517.82999999996</v>
      </c>
      <c r="AH377" s="576">
        <v>0</v>
      </c>
    </row>
    <row r="378" spans="1:34" x14ac:dyDescent="0.25">
      <c r="A378" s="574" t="s">
        <v>2219</v>
      </c>
      <c r="B378" s="574" t="s">
        <v>2220</v>
      </c>
      <c r="C378" s="574" t="s">
        <v>2221</v>
      </c>
      <c r="D378" s="574" t="s">
        <v>2220</v>
      </c>
      <c r="E378" s="574" t="s">
        <v>2222</v>
      </c>
      <c r="F378" s="574" t="s">
        <v>2223</v>
      </c>
      <c r="G378" s="574" t="s">
        <v>2224</v>
      </c>
      <c r="H378" s="574" t="s">
        <v>2225</v>
      </c>
      <c r="I378" s="574" t="s">
        <v>2226</v>
      </c>
      <c r="J378" s="574" t="s">
        <v>2227</v>
      </c>
      <c r="K378" s="574" t="s">
        <v>2228</v>
      </c>
      <c r="L378" s="574" t="s">
        <v>2229</v>
      </c>
      <c r="M378" s="574" t="s">
        <v>2230</v>
      </c>
      <c r="N378" s="574" t="s">
        <v>2231</v>
      </c>
      <c r="O378" s="574" t="s">
        <v>2232</v>
      </c>
      <c r="P378" s="574" t="s">
        <v>2233</v>
      </c>
      <c r="Q378" s="574" t="s">
        <v>2234</v>
      </c>
      <c r="R378" s="574" t="s">
        <v>2225</v>
      </c>
      <c r="S378" s="574" t="s">
        <v>2846</v>
      </c>
      <c r="T378" s="574" t="s">
        <v>2847</v>
      </c>
      <c r="U378" s="574" t="s">
        <v>2853</v>
      </c>
      <c r="V378" s="574" t="s">
        <v>2238</v>
      </c>
      <c r="W378" s="574" t="s">
        <v>2239</v>
      </c>
      <c r="X378" s="574" t="s">
        <v>2275</v>
      </c>
      <c r="Y378" s="575" t="s">
        <v>2852</v>
      </c>
      <c r="Z378" s="575" t="s">
        <v>2852</v>
      </c>
      <c r="AA378" s="574" t="s">
        <v>2242</v>
      </c>
      <c r="AB378" s="574" t="s">
        <v>2243</v>
      </c>
      <c r="AC378" s="574" t="s">
        <v>2271</v>
      </c>
      <c r="AD378" s="574" t="s">
        <v>181</v>
      </c>
      <c r="AE378" s="574" t="s">
        <v>2272</v>
      </c>
      <c r="AF378" s="574" t="s">
        <v>2273</v>
      </c>
      <c r="AG378" s="576">
        <v>686003.26</v>
      </c>
      <c r="AH378" s="576">
        <v>0</v>
      </c>
    </row>
    <row r="379" spans="1:34" x14ac:dyDescent="0.25">
      <c r="A379" s="574" t="s">
        <v>2219</v>
      </c>
      <c r="B379" s="574" t="s">
        <v>2220</v>
      </c>
      <c r="C379" s="574" t="s">
        <v>2221</v>
      </c>
      <c r="D379" s="574" t="s">
        <v>2220</v>
      </c>
      <c r="E379" s="574" t="s">
        <v>2222</v>
      </c>
      <c r="F379" s="574" t="s">
        <v>2223</v>
      </c>
      <c r="G379" s="574" t="s">
        <v>2224</v>
      </c>
      <c r="H379" s="574" t="s">
        <v>2225</v>
      </c>
      <c r="I379" s="574" t="s">
        <v>2226</v>
      </c>
      <c r="J379" s="574" t="s">
        <v>2227</v>
      </c>
      <c r="K379" s="574" t="s">
        <v>2228</v>
      </c>
      <c r="L379" s="574" t="s">
        <v>2229</v>
      </c>
      <c r="M379" s="574" t="s">
        <v>2230</v>
      </c>
      <c r="N379" s="574" t="s">
        <v>2231</v>
      </c>
      <c r="O379" s="574" t="s">
        <v>2232</v>
      </c>
      <c r="P379" s="574" t="s">
        <v>2233</v>
      </c>
      <c r="Q379" s="574" t="s">
        <v>2234</v>
      </c>
      <c r="R379" s="574" t="s">
        <v>2225</v>
      </c>
      <c r="S379" s="574" t="s">
        <v>2846</v>
      </c>
      <c r="T379" s="574" t="s">
        <v>2847</v>
      </c>
      <c r="U379" s="574" t="s">
        <v>2853</v>
      </c>
      <c r="V379" s="574" t="s">
        <v>2238</v>
      </c>
      <c r="W379" s="574" t="s">
        <v>2239</v>
      </c>
      <c r="X379" s="574" t="s">
        <v>2275</v>
      </c>
      <c r="Y379" s="575" t="s">
        <v>2852</v>
      </c>
      <c r="Z379" s="575" t="s">
        <v>2852</v>
      </c>
      <c r="AA379" s="574" t="s">
        <v>2261</v>
      </c>
      <c r="AB379" s="574" t="s">
        <v>2262</v>
      </c>
      <c r="AC379" s="574" t="s">
        <v>2263</v>
      </c>
      <c r="AD379" s="574" t="s">
        <v>95</v>
      </c>
      <c r="AE379" s="574" t="s">
        <v>2264</v>
      </c>
      <c r="AF379" s="574" t="s">
        <v>95</v>
      </c>
      <c r="AG379" s="576">
        <v>48637.63</v>
      </c>
      <c r="AH379" s="576">
        <v>0</v>
      </c>
    </row>
    <row r="380" spans="1:34" x14ac:dyDescent="0.25">
      <c r="A380" s="574" t="s">
        <v>2219</v>
      </c>
      <c r="B380" s="574" t="s">
        <v>2220</v>
      </c>
      <c r="C380" s="574" t="s">
        <v>2221</v>
      </c>
      <c r="D380" s="574" t="s">
        <v>2220</v>
      </c>
      <c r="E380" s="574" t="s">
        <v>2222</v>
      </c>
      <c r="F380" s="574" t="s">
        <v>2223</v>
      </c>
      <c r="G380" s="574" t="s">
        <v>2224</v>
      </c>
      <c r="H380" s="574" t="s">
        <v>2225</v>
      </c>
      <c r="I380" s="574" t="s">
        <v>2226</v>
      </c>
      <c r="J380" s="574" t="s">
        <v>2227</v>
      </c>
      <c r="K380" s="574" t="s">
        <v>2228</v>
      </c>
      <c r="L380" s="574" t="s">
        <v>2229</v>
      </c>
      <c r="M380" s="574" t="s">
        <v>2230</v>
      </c>
      <c r="N380" s="574" t="s">
        <v>2231</v>
      </c>
      <c r="O380" s="574" t="s">
        <v>2232</v>
      </c>
      <c r="P380" s="574" t="s">
        <v>2233</v>
      </c>
      <c r="Q380" s="574" t="s">
        <v>2234</v>
      </c>
      <c r="R380" s="574" t="s">
        <v>2225</v>
      </c>
      <c r="S380" s="574" t="s">
        <v>2846</v>
      </c>
      <c r="T380" s="574" t="s">
        <v>2847</v>
      </c>
      <c r="U380" s="574" t="s">
        <v>2853</v>
      </c>
      <c r="V380" s="574" t="s">
        <v>2238</v>
      </c>
      <c r="W380" s="574" t="s">
        <v>2239</v>
      </c>
      <c r="X380" s="574" t="s">
        <v>2275</v>
      </c>
      <c r="Y380" s="575" t="s">
        <v>2852</v>
      </c>
      <c r="Z380" s="575" t="s">
        <v>2852</v>
      </c>
      <c r="AA380" s="574" t="s">
        <v>2261</v>
      </c>
      <c r="AB380" s="574" t="s">
        <v>2262</v>
      </c>
      <c r="AC380" s="574" t="s">
        <v>2265</v>
      </c>
      <c r="AD380" s="574" t="s">
        <v>96</v>
      </c>
      <c r="AE380" s="574" t="s">
        <v>2266</v>
      </c>
      <c r="AF380" s="574" t="s">
        <v>96</v>
      </c>
      <c r="AG380" s="576">
        <v>48706.23</v>
      </c>
      <c r="AH380" s="576">
        <v>0</v>
      </c>
    </row>
    <row r="381" spans="1:34" x14ac:dyDescent="0.25">
      <c r="A381" s="574" t="s">
        <v>2219</v>
      </c>
      <c r="B381" s="574" t="s">
        <v>2220</v>
      </c>
      <c r="C381" s="574" t="s">
        <v>2221</v>
      </c>
      <c r="D381" s="574" t="s">
        <v>2220</v>
      </c>
      <c r="E381" s="574" t="s">
        <v>2222</v>
      </c>
      <c r="F381" s="574" t="s">
        <v>2223</v>
      </c>
      <c r="G381" s="574" t="s">
        <v>2224</v>
      </c>
      <c r="H381" s="574" t="s">
        <v>2225</v>
      </c>
      <c r="I381" s="574" t="s">
        <v>2226</v>
      </c>
      <c r="J381" s="574" t="s">
        <v>2227</v>
      </c>
      <c r="K381" s="574" t="s">
        <v>2228</v>
      </c>
      <c r="L381" s="574" t="s">
        <v>2229</v>
      </c>
      <c r="M381" s="574" t="s">
        <v>2230</v>
      </c>
      <c r="N381" s="574" t="s">
        <v>2231</v>
      </c>
      <c r="O381" s="574" t="s">
        <v>2232</v>
      </c>
      <c r="P381" s="574" t="s">
        <v>2233</v>
      </c>
      <c r="Q381" s="574" t="s">
        <v>2234</v>
      </c>
      <c r="R381" s="574" t="s">
        <v>2225</v>
      </c>
      <c r="S381" s="574" t="s">
        <v>2846</v>
      </c>
      <c r="T381" s="574" t="s">
        <v>2847</v>
      </c>
      <c r="U381" s="574" t="s">
        <v>2853</v>
      </c>
      <c r="V381" s="574" t="s">
        <v>2238</v>
      </c>
      <c r="W381" s="574" t="s">
        <v>2239</v>
      </c>
      <c r="X381" s="574" t="s">
        <v>2275</v>
      </c>
      <c r="Y381" s="575" t="s">
        <v>2852</v>
      </c>
      <c r="Z381" s="575" t="s">
        <v>2852</v>
      </c>
      <c r="AA381" s="574" t="s">
        <v>2261</v>
      </c>
      <c r="AB381" s="574" t="s">
        <v>2262</v>
      </c>
      <c r="AC381" s="574" t="s">
        <v>2267</v>
      </c>
      <c r="AD381" s="574" t="s">
        <v>97</v>
      </c>
      <c r="AE381" s="574" t="s">
        <v>2268</v>
      </c>
      <c r="AF381" s="574" t="s">
        <v>97</v>
      </c>
      <c r="AG381" s="576">
        <v>8140.96</v>
      </c>
      <c r="AH381" s="576">
        <v>0</v>
      </c>
    </row>
    <row r="382" spans="1:34" x14ac:dyDescent="0.25">
      <c r="A382" s="574" t="s">
        <v>2219</v>
      </c>
      <c r="B382" s="574" t="s">
        <v>2220</v>
      </c>
      <c r="C382" s="574" t="s">
        <v>2221</v>
      </c>
      <c r="D382" s="574" t="s">
        <v>2220</v>
      </c>
      <c r="E382" s="574" t="s">
        <v>2222</v>
      </c>
      <c r="F382" s="574" t="s">
        <v>2223</v>
      </c>
      <c r="G382" s="574" t="s">
        <v>2224</v>
      </c>
      <c r="H382" s="574" t="s">
        <v>2225</v>
      </c>
      <c r="I382" s="574" t="s">
        <v>2226</v>
      </c>
      <c r="J382" s="574" t="s">
        <v>2227</v>
      </c>
      <c r="K382" s="574" t="s">
        <v>2228</v>
      </c>
      <c r="L382" s="574" t="s">
        <v>2229</v>
      </c>
      <c r="M382" s="574" t="s">
        <v>2230</v>
      </c>
      <c r="N382" s="574" t="s">
        <v>2231</v>
      </c>
      <c r="O382" s="574" t="s">
        <v>2232</v>
      </c>
      <c r="P382" s="574" t="s">
        <v>2233</v>
      </c>
      <c r="Q382" s="574" t="s">
        <v>2234</v>
      </c>
      <c r="R382" s="574" t="s">
        <v>2225</v>
      </c>
      <c r="S382" s="574" t="s">
        <v>2846</v>
      </c>
      <c r="T382" s="574" t="s">
        <v>2847</v>
      </c>
      <c r="U382" s="574" t="s">
        <v>2854</v>
      </c>
      <c r="V382" s="574" t="s">
        <v>2238</v>
      </c>
      <c r="W382" s="574" t="s">
        <v>2239</v>
      </c>
      <c r="X382" s="574" t="s">
        <v>2293</v>
      </c>
      <c r="Y382" s="575" t="s">
        <v>2855</v>
      </c>
      <c r="Z382" s="575" t="s">
        <v>2855</v>
      </c>
      <c r="AA382" s="574" t="s">
        <v>2242</v>
      </c>
      <c r="AB382" s="574" t="s">
        <v>2243</v>
      </c>
      <c r="AC382" s="574" t="s">
        <v>2271</v>
      </c>
      <c r="AD382" s="574" t="s">
        <v>181</v>
      </c>
      <c r="AE382" s="574" t="s">
        <v>2272</v>
      </c>
      <c r="AF382" s="574" t="s">
        <v>2273</v>
      </c>
      <c r="AG382" s="576">
        <v>732074.29</v>
      </c>
      <c r="AH382" s="576">
        <v>0</v>
      </c>
    </row>
    <row r="383" spans="1:34" x14ac:dyDescent="0.25">
      <c r="A383" s="574" t="s">
        <v>2219</v>
      </c>
      <c r="B383" s="574" t="s">
        <v>2220</v>
      </c>
      <c r="C383" s="574" t="s">
        <v>2221</v>
      </c>
      <c r="D383" s="574" t="s">
        <v>2220</v>
      </c>
      <c r="E383" s="574" t="s">
        <v>2222</v>
      </c>
      <c r="F383" s="574" t="s">
        <v>2223</v>
      </c>
      <c r="G383" s="574" t="s">
        <v>2224</v>
      </c>
      <c r="H383" s="574" t="s">
        <v>2225</v>
      </c>
      <c r="I383" s="574" t="s">
        <v>2226</v>
      </c>
      <c r="J383" s="574" t="s">
        <v>2227</v>
      </c>
      <c r="K383" s="574" t="s">
        <v>2228</v>
      </c>
      <c r="L383" s="574" t="s">
        <v>2229</v>
      </c>
      <c r="M383" s="574" t="s">
        <v>2230</v>
      </c>
      <c r="N383" s="574" t="s">
        <v>2231</v>
      </c>
      <c r="O383" s="574" t="s">
        <v>2232</v>
      </c>
      <c r="P383" s="574" t="s">
        <v>2233</v>
      </c>
      <c r="Q383" s="574" t="s">
        <v>2234</v>
      </c>
      <c r="R383" s="574" t="s">
        <v>2225</v>
      </c>
      <c r="S383" s="574" t="s">
        <v>2846</v>
      </c>
      <c r="T383" s="574" t="s">
        <v>2847</v>
      </c>
      <c r="U383" s="574" t="s">
        <v>2854</v>
      </c>
      <c r="V383" s="574" t="s">
        <v>2238</v>
      </c>
      <c r="W383" s="574" t="s">
        <v>2239</v>
      </c>
      <c r="X383" s="574" t="s">
        <v>2293</v>
      </c>
      <c r="Y383" s="575" t="s">
        <v>2855</v>
      </c>
      <c r="Z383" s="575" t="s">
        <v>2855</v>
      </c>
      <c r="AA383" s="574" t="s">
        <v>2261</v>
      </c>
      <c r="AB383" s="574" t="s">
        <v>2262</v>
      </c>
      <c r="AC383" s="574" t="s">
        <v>2263</v>
      </c>
      <c r="AD383" s="574" t="s">
        <v>95</v>
      </c>
      <c r="AE383" s="574" t="s">
        <v>2264</v>
      </c>
      <c r="AF383" s="574" t="s">
        <v>95</v>
      </c>
      <c r="AG383" s="576">
        <v>51904.07</v>
      </c>
      <c r="AH383" s="576">
        <v>0</v>
      </c>
    </row>
    <row r="384" spans="1:34" x14ac:dyDescent="0.25">
      <c r="A384" s="574" t="s">
        <v>2219</v>
      </c>
      <c r="B384" s="574" t="s">
        <v>2220</v>
      </c>
      <c r="C384" s="574" t="s">
        <v>2221</v>
      </c>
      <c r="D384" s="574" t="s">
        <v>2220</v>
      </c>
      <c r="E384" s="574" t="s">
        <v>2222</v>
      </c>
      <c r="F384" s="574" t="s">
        <v>2223</v>
      </c>
      <c r="G384" s="574" t="s">
        <v>2224</v>
      </c>
      <c r="H384" s="574" t="s">
        <v>2225</v>
      </c>
      <c r="I384" s="574" t="s">
        <v>2226</v>
      </c>
      <c r="J384" s="574" t="s">
        <v>2227</v>
      </c>
      <c r="K384" s="574" t="s">
        <v>2228</v>
      </c>
      <c r="L384" s="574" t="s">
        <v>2229</v>
      </c>
      <c r="M384" s="574" t="s">
        <v>2230</v>
      </c>
      <c r="N384" s="574" t="s">
        <v>2231</v>
      </c>
      <c r="O384" s="574" t="s">
        <v>2232</v>
      </c>
      <c r="P384" s="574" t="s">
        <v>2233</v>
      </c>
      <c r="Q384" s="574" t="s">
        <v>2234</v>
      </c>
      <c r="R384" s="574" t="s">
        <v>2225</v>
      </c>
      <c r="S384" s="574" t="s">
        <v>2846</v>
      </c>
      <c r="T384" s="574" t="s">
        <v>2847</v>
      </c>
      <c r="U384" s="574" t="s">
        <v>2854</v>
      </c>
      <c r="V384" s="574" t="s">
        <v>2238</v>
      </c>
      <c r="W384" s="574" t="s">
        <v>2239</v>
      </c>
      <c r="X384" s="574" t="s">
        <v>2293</v>
      </c>
      <c r="Y384" s="575" t="s">
        <v>2855</v>
      </c>
      <c r="Z384" s="575" t="s">
        <v>2855</v>
      </c>
      <c r="AA384" s="574" t="s">
        <v>2261</v>
      </c>
      <c r="AB384" s="574" t="s">
        <v>2262</v>
      </c>
      <c r="AC384" s="574" t="s">
        <v>2265</v>
      </c>
      <c r="AD384" s="574" t="s">
        <v>96</v>
      </c>
      <c r="AE384" s="574" t="s">
        <v>2266</v>
      </c>
      <c r="AF384" s="574" t="s">
        <v>96</v>
      </c>
      <c r="AG384" s="576">
        <v>51977.27</v>
      </c>
      <c r="AH384" s="576">
        <v>0</v>
      </c>
    </row>
    <row r="385" spans="1:34" x14ac:dyDescent="0.25">
      <c r="A385" s="574" t="s">
        <v>2219</v>
      </c>
      <c r="B385" s="574" t="s">
        <v>2220</v>
      </c>
      <c r="C385" s="574" t="s">
        <v>2221</v>
      </c>
      <c r="D385" s="574" t="s">
        <v>2220</v>
      </c>
      <c r="E385" s="574" t="s">
        <v>2222</v>
      </c>
      <c r="F385" s="574" t="s">
        <v>2223</v>
      </c>
      <c r="G385" s="574" t="s">
        <v>2224</v>
      </c>
      <c r="H385" s="574" t="s">
        <v>2225</v>
      </c>
      <c r="I385" s="574" t="s">
        <v>2226</v>
      </c>
      <c r="J385" s="574" t="s">
        <v>2227</v>
      </c>
      <c r="K385" s="574" t="s">
        <v>2228</v>
      </c>
      <c r="L385" s="574" t="s">
        <v>2229</v>
      </c>
      <c r="M385" s="574" t="s">
        <v>2230</v>
      </c>
      <c r="N385" s="574" t="s">
        <v>2231</v>
      </c>
      <c r="O385" s="574" t="s">
        <v>2232</v>
      </c>
      <c r="P385" s="574" t="s">
        <v>2233</v>
      </c>
      <c r="Q385" s="574" t="s">
        <v>2234</v>
      </c>
      <c r="R385" s="574" t="s">
        <v>2225</v>
      </c>
      <c r="S385" s="574" t="s">
        <v>2846</v>
      </c>
      <c r="T385" s="574" t="s">
        <v>2847</v>
      </c>
      <c r="U385" s="574" t="s">
        <v>2854</v>
      </c>
      <c r="V385" s="574" t="s">
        <v>2238</v>
      </c>
      <c r="W385" s="574" t="s">
        <v>2239</v>
      </c>
      <c r="X385" s="574" t="s">
        <v>2293</v>
      </c>
      <c r="Y385" s="575" t="s">
        <v>2855</v>
      </c>
      <c r="Z385" s="575" t="s">
        <v>2855</v>
      </c>
      <c r="AA385" s="574" t="s">
        <v>2261</v>
      </c>
      <c r="AB385" s="574" t="s">
        <v>2262</v>
      </c>
      <c r="AC385" s="574" t="s">
        <v>2267</v>
      </c>
      <c r="AD385" s="574" t="s">
        <v>97</v>
      </c>
      <c r="AE385" s="574" t="s">
        <v>2268</v>
      </c>
      <c r="AF385" s="574" t="s">
        <v>97</v>
      </c>
      <c r="AG385" s="576">
        <v>8693.81</v>
      </c>
      <c r="AH385" s="576">
        <v>0</v>
      </c>
    </row>
    <row r="386" spans="1:34" x14ac:dyDescent="0.25">
      <c r="A386" s="574" t="s">
        <v>2219</v>
      </c>
      <c r="B386" s="574" t="s">
        <v>2220</v>
      </c>
      <c r="C386" s="574" t="s">
        <v>2221</v>
      </c>
      <c r="D386" s="574" t="s">
        <v>2220</v>
      </c>
      <c r="E386" s="574" t="s">
        <v>2222</v>
      </c>
      <c r="F386" s="574" t="s">
        <v>2223</v>
      </c>
      <c r="G386" s="574" t="s">
        <v>2224</v>
      </c>
      <c r="H386" s="574" t="s">
        <v>2225</v>
      </c>
      <c r="I386" s="574" t="s">
        <v>2226</v>
      </c>
      <c r="J386" s="574" t="s">
        <v>2227</v>
      </c>
      <c r="K386" s="574" t="s">
        <v>2228</v>
      </c>
      <c r="L386" s="574" t="s">
        <v>2229</v>
      </c>
      <c r="M386" s="574" t="s">
        <v>2230</v>
      </c>
      <c r="N386" s="574" t="s">
        <v>2231</v>
      </c>
      <c r="O386" s="574" t="s">
        <v>2232</v>
      </c>
      <c r="P386" s="574" t="s">
        <v>2233</v>
      </c>
      <c r="Q386" s="574" t="s">
        <v>2234</v>
      </c>
      <c r="R386" s="574" t="s">
        <v>2225</v>
      </c>
      <c r="S386" s="574" t="s">
        <v>2846</v>
      </c>
      <c r="T386" s="574" t="s">
        <v>2847</v>
      </c>
      <c r="U386" s="574" t="s">
        <v>2856</v>
      </c>
      <c r="V386" s="574" t="s">
        <v>2238</v>
      </c>
      <c r="W386" s="574" t="s">
        <v>2239</v>
      </c>
      <c r="X386" s="574" t="s">
        <v>2290</v>
      </c>
      <c r="Y386" s="575" t="s">
        <v>2857</v>
      </c>
      <c r="Z386" s="575" t="s">
        <v>2857</v>
      </c>
      <c r="AA386" s="574" t="s">
        <v>2242</v>
      </c>
      <c r="AB386" s="574" t="s">
        <v>2243</v>
      </c>
      <c r="AC386" s="574" t="s">
        <v>2244</v>
      </c>
      <c r="AD386" s="574" t="s">
        <v>2245</v>
      </c>
      <c r="AE386" s="574" t="s">
        <v>2246</v>
      </c>
      <c r="AF386" s="574" t="s">
        <v>2247</v>
      </c>
      <c r="AG386" s="576">
        <v>47352666.289999999</v>
      </c>
      <c r="AH386" s="576">
        <v>0</v>
      </c>
    </row>
    <row r="387" spans="1:34" x14ac:dyDescent="0.25">
      <c r="A387" s="574" t="s">
        <v>2219</v>
      </c>
      <c r="B387" s="574" t="s">
        <v>2220</v>
      </c>
      <c r="C387" s="574" t="s">
        <v>2221</v>
      </c>
      <c r="D387" s="574" t="s">
        <v>2220</v>
      </c>
      <c r="E387" s="574" t="s">
        <v>2222</v>
      </c>
      <c r="F387" s="574" t="s">
        <v>2223</v>
      </c>
      <c r="G387" s="574" t="s">
        <v>2224</v>
      </c>
      <c r="H387" s="574" t="s">
        <v>2225</v>
      </c>
      <c r="I387" s="574" t="s">
        <v>2226</v>
      </c>
      <c r="J387" s="574" t="s">
        <v>2227</v>
      </c>
      <c r="K387" s="574" t="s">
        <v>2228</v>
      </c>
      <c r="L387" s="574" t="s">
        <v>2229</v>
      </c>
      <c r="M387" s="574" t="s">
        <v>2230</v>
      </c>
      <c r="N387" s="574" t="s">
        <v>2231</v>
      </c>
      <c r="O387" s="574" t="s">
        <v>2232</v>
      </c>
      <c r="P387" s="574" t="s">
        <v>2233</v>
      </c>
      <c r="Q387" s="574" t="s">
        <v>2234</v>
      </c>
      <c r="R387" s="574" t="s">
        <v>2225</v>
      </c>
      <c r="S387" s="574" t="s">
        <v>2846</v>
      </c>
      <c r="T387" s="574" t="s">
        <v>2847</v>
      </c>
      <c r="U387" s="574" t="s">
        <v>2856</v>
      </c>
      <c r="V387" s="574" t="s">
        <v>2238</v>
      </c>
      <c r="W387" s="574" t="s">
        <v>2239</v>
      </c>
      <c r="X387" s="574" t="s">
        <v>2290</v>
      </c>
      <c r="Y387" s="575" t="s">
        <v>2857</v>
      </c>
      <c r="Z387" s="575" t="s">
        <v>2857</v>
      </c>
      <c r="AA387" s="574" t="s">
        <v>2248</v>
      </c>
      <c r="AB387" s="574" t="s">
        <v>2249</v>
      </c>
      <c r="AC387" s="574" t="s">
        <v>2250</v>
      </c>
      <c r="AD387" s="574" t="s">
        <v>2251</v>
      </c>
      <c r="AE387" s="574" t="s">
        <v>2252</v>
      </c>
      <c r="AF387" s="574" t="s">
        <v>2251</v>
      </c>
      <c r="AG387" s="576">
        <v>2431233.3199999998</v>
      </c>
      <c r="AH387" s="576">
        <v>0</v>
      </c>
    </row>
    <row r="388" spans="1:34" x14ac:dyDescent="0.25">
      <c r="A388" s="574" t="s">
        <v>2219</v>
      </c>
      <c r="B388" s="574" t="s">
        <v>2220</v>
      </c>
      <c r="C388" s="574" t="s">
        <v>2221</v>
      </c>
      <c r="D388" s="574" t="s">
        <v>2220</v>
      </c>
      <c r="E388" s="574" t="s">
        <v>2222</v>
      </c>
      <c r="F388" s="574" t="s">
        <v>2223</v>
      </c>
      <c r="G388" s="574" t="s">
        <v>2224</v>
      </c>
      <c r="H388" s="574" t="s">
        <v>2225</v>
      </c>
      <c r="I388" s="574" t="s">
        <v>2226</v>
      </c>
      <c r="J388" s="574" t="s">
        <v>2227</v>
      </c>
      <c r="K388" s="574" t="s">
        <v>2228</v>
      </c>
      <c r="L388" s="574" t="s">
        <v>2229</v>
      </c>
      <c r="M388" s="574" t="s">
        <v>2230</v>
      </c>
      <c r="N388" s="574" t="s">
        <v>2231</v>
      </c>
      <c r="O388" s="574" t="s">
        <v>2232</v>
      </c>
      <c r="P388" s="574" t="s">
        <v>2233</v>
      </c>
      <c r="Q388" s="574" t="s">
        <v>2234</v>
      </c>
      <c r="R388" s="574" t="s">
        <v>2225</v>
      </c>
      <c r="S388" s="574" t="s">
        <v>2846</v>
      </c>
      <c r="T388" s="574" t="s">
        <v>2847</v>
      </c>
      <c r="U388" s="574" t="s">
        <v>2856</v>
      </c>
      <c r="V388" s="574" t="s">
        <v>2238</v>
      </c>
      <c r="W388" s="574" t="s">
        <v>2239</v>
      </c>
      <c r="X388" s="574" t="s">
        <v>2290</v>
      </c>
      <c r="Y388" s="575" t="s">
        <v>2857</v>
      </c>
      <c r="Z388" s="575" t="s">
        <v>2857</v>
      </c>
      <c r="AA388" s="574" t="s">
        <v>2248</v>
      </c>
      <c r="AB388" s="574" t="s">
        <v>2249</v>
      </c>
      <c r="AC388" s="574" t="s">
        <v>2253</v>
      </c>
      <c r="AD388" s="574" t="s">
        <v>2254</v>
      </c>
      <c r="AE388" s="574" t="s">
        <v>2255</v>
      </c>
      <c r="AF388" s="574" t="s">
        <v>2256</v>
      </c>
      <c r="AG388" s="576">
        <v>283200</v>
      </c>
      <c r="AH388" s="576">
        <v>0</v>
      </c>
    </row>
    <row r="389" spans="1:34" x14ac:dyDescent="0.25">
      <c r="A389" s="574" t="s">
        <v>2219</v>
      </c>
      <c r="B389" s="574" t="s">
        <v>2220</v>
      </c>
      <c r="C389" s="574" t="s">
        <v>2221</v>
      </c>
      <c r="D389" s="574" t="s">
        <v>2220</v>
      </c>
      <c r="E389" s="574" t="s">
        <v>2222</v>
      </c>
      <c r="F389" s="574" t="s">
        <v>2223</v>
      </c>
      <c r="G389" s="574" t="s">
        <v>2224</v>
      </c>
      <c r="H389" s="574" t="s">
        <v>2225</v>
      </c>
      <c r="I389" s="574" t="s">
        <v>2226</v>
      </c>
      <c r="J389" s="574" t="s">
        <v>2227</v>
      </c>
      <c r="K389" s="574" t="s">
        <v>2228</v>
      </c>
      <c r="L389" s="574" t="s">
        <v>2229</v>
      </c>
      <c r="M389" s="574" t="s">
        <v>2230</v>
      </c>
      <c r="N389" s="574" t="s">
        <v>2231</v>
      </c>
      <c r="O389" s="574" t="s">
        <v>2232</v>
      </c>
      <c r="P389" s="574" t="s">
        <v>2233</v>
      </c>
      <c r="Q389" s="574" t="s">
        <v>2234</v>
      </c>
      <c r="R389" s="574" t="s">
        <v>2225</v>
      </c>
      <c r="S389" s="574" t="s">
        <v>2846</v>
      </c>
      <c r="T389" s="574" t="s">
        <v>2847</v>
      </c>
      <c r="U389" s="574" t="s">
        <v>2856</v>
      </c>
      <c r="V389" s="574" t="s">
        <v>2238</v>
      </c>
      <c r="W389" s="574" t="s">
        <v>2239</v>
      </c>
      <c r="X389" s="574" t="s">
        <v>2290</v>
      </c>
      <c r="Y389" s="575" t="s">
        <v>2857</v>
      </c>
      <c r="Z389" s="575" t="s">
        <v>2857</v>
      </c>
      <c r="AA389" s="574" t="s">
        <v>2248</v>
      </c>
      <c r="AB389" s="574" t="s">
        <v>2249</v>
      </c>
      <c r="AC389" s="574" t="s">
        <v>2253</v>
      </c>
      <c r="AD389" s="574" t="s">
        <v>2254</v>
      </c>
      <c r="AE389" s="574" t="s">
        <v>2257</v>
      </c>
      <c r="AF389" s="574" t="s">
        <v>2258</v>
      </c>
      <c r="AG389" s="576">
        <v>10717.4</v>
      </c>
      <c r="AH389" s="576">
        <v>0</v>
      </c>
    </row>
    <row r="390" spans="1:34" x14ac:dyDescent="0.25">
      <c r="A390" s="574" t="s">
        <v>2219</v>
      </c>
      <c r="B390" s="574" t="s">
        <v>2220</v>
      </c>
      <c r="C390" s="574" t="s">
        <v>2221</v>
      </c>
      <c r="D390" s="574" t="s">
        <v>2220</v>
      </c>
      <c r="E390" s="574" t="s">
        <v>2222</v>
      </c>
      <c r="F390" s="574" t="s">
        <v>2223</v>
      </c>
      <c r="G390" s="574" t="s">
        <v>2224</v>
      </c>
      <c r="H390" s="574" t="s">
        <v>2225</v>
      </c>
      <c r="I390" s="574" t="s">
        <v>2226</v>
      </c>
      <c r="J390" s="574" t="s">
        <v>2227</v>
      </c>
      <c r="K390" s="574" t="s">
        <v>2228</v>
      </c>
      <c r="L390" s="574" t="s">
        <v>2229</v>
      </c>
      <c r="M390" s="574" t="s">
        <v>2230</v>
      </c>
      <c r="N390" s="574" t="s">
        <v>2231</v>
      </c>
      <c r="O390" s="574" t="s">
        <v>2232</v>
      </c>
      <c r="P390" s="574" t="s">
        <v>2233</v>
      </c>
      <c r="Q390" s="574" t="s">
        <v>2234</v>
      </c>
      <c r="R390" s="574" t="s">
        <v>2225</v>
      </c>
      <c r="S390" s="574" t="s">
        <v>2846</v>
      </c>
      <c r="T390" s="574" t="s">
        <v>2847</v>
      </c>
      <c r="U390" s="574" t="s">
        <v>2856</v>
      </c>
      <c r="V390" s="574" t="s">
        <v>2238</v>
      </c>
      <c r="W390" s="574" t="s">
        <v>2239</v>
      </c>
      <c r="X390" s="574" t="s">
        <v>2290</v>
      </c>
      <c r="Y390" s="575" t="s">
        <v>2857</v>
      </c>
      <c r="Z390" s="575" t="s">
        <v>2857</v>
      </c>
      <c r="AA390" s="574" t="s">
        <v>2248</v>
      </c>
      <c r="AB390" s="574" t="s">
        <v>2249</v>
      </c>
      <c r="AC390" s="574" t="s">
        <v>2253</v>
      </c>
      <c r="AD390" s="574" t="s">
        <v>2254</v>
      </c>
      <c r="AE390" s="574" t="s">
        <v>2259</v>
      </c>
      <c r="AF390" s="574" t="s">
        <v>2260</v>
      </c>
      <c r="AG390" s="576">
        <v>58945.7</v>
      </c>
      <c r="AH390" s="576">
        <v>0</v>
      </c>
    </row>
    <row r="391" spans="1:34" x14ac:dyDescent="0.25">
      <c r="A391" s="574" t="s">
        <v>2219</v>
      </c>
      <c r="B391" s="574" t="s">
        <v>2220</v>
      </c>
      <c r="C391" s="574" t="s">
        <v>2221</v>
      </c>
      <c r="D391" s="574" t="s">
        <v>2220</v>
      </c>
      <c r="E391" s="574" t="s">
        <v>2222</v>
      </c>
      <c r="F391" s="574" t="s">
        <v>2223</v>
      </c>
      <c r="G391" s="574" t="s">
        <v>2224</v>
      </c>
      <c r="H391" s="574" t="s">
        <v>2225</v>
      </c>
      <c r="I391" s="574" t="s">
        <v>2226</v>
      </c>
      <c r="J391" s="574" t="s">
        <v>2227</v>
      </c>
      <c r="K391" s="574" t="s">
        <v>2228</v>
      </c>
      <c r="L391" s="574" t="s">
        <v>2229</v>
      </c>
      <c r="M391" s="574" t="s">
        <v>2230</v>
      </c>
      <c r="N391" s="574" t="s">
        <v>2231</v>
      </c>
      <c r="O391" s="574" t="s">
        <v>2232</v>
      </c>
      <c r="P391" s="574" t="s">
        <v>2233</v>
      </c>
      <c r="Q391" s="574" t="s">
        <v>2234</v>
      </c>
      <c r="R391" s="574" t="s">
        <v>2225</v>
      </c>
      <c r="S391" s="574" t="s">
        <v>2846</v>
      </c>
      <c r="T391" s="574" t="s">
        <v>2847</v>
      </c>
      <c r="U391" s="574" t="s">
        <v>2856</v>
      </c>
      <c r="V391" s="574" t="s">
        <v>2238</v>
      </c>
      <c r="W391" s="574" t="s">
        <v>2239</v>
      </c>
      <c r="X391" s="574" t="s">
        <v>2290</v>
      </c>
      <c r="Y391" s="575" t="s">
        <v>2857</v>
      </c>
      <c r="Z391" s="575" t="s">
        <v>2857</v>
      </c>
      <c r="AA391" s="574" t="s">
        <v>2261</v>
      </c>
      <c r="AB391" s="574" t="s">
        <v>2262</v>
      </c>
      <c r="AC391" s="574" t="s">
        <v>2263</v>
      </c>
      <c r="AD391" s="574" t="s">
        <v>95</v>
      </c>
      <c r="AE391" s="574" t="s">
        <v>2264</v>
      </c>
      <c r="AF391" s="574" t="s">
        <v>95</v>
      </c>
      <c r="AG391" s="576">
        <v>3357303.06</v>
      </c>
      <c r="AH391" s="576">
        <v>0</v>
      </c>
    </row>
    <row r="392" spans="1:34" x14ac:dyDescent="0.25">
      <c r="A392" s="574" t="s">
        <v>2219</v>
      </c>
      <c r="B392" s="574" t="s">
        <v>2220</v>
      </c>
      <c r="C392" s="574" t="s">
        <v>2221</v>
      </c>
      <c r="D392" s="574" t="s">
        <v>2220</v>
      </c>
      <c r="E392" s="574" t="s">
        <v>2222</v>
      </c>
      <c r="F392" s="574" t="s">
        <v>2223</v>
      </c>
      <c r="G392" s="574" t="s">
        <v>2224</v>
      </c>
      <c r="H392" s="574" t="s">
        <v>2225</v>
      </c>
      <c r="I392" s="574" t="s">
        <v>2226</v>
      </c>
      <c r="J392" s="574" t="s">
        <v>2227</v>
      </c>
      <c r="K392" s="574" t="s">
        <v>2228</v>
      </c>
      <c r="L392" s="574" t="s">
        <v>2229</v>
      </c>
      <c r="M392" s="574" t="s">
        <v>2230</v>
      </c>
      <c r="N392" s="574" t="s">
        <v>2231</v>
      </c>
      <c r="O392" s="574" t="s">
        <v>2232</v>
      </c>
      <c r="P392" s="574" t="s">
        <v>2233</v>
      </c>
      <c r="Q392" s="574" t="s">
        <v>2234</v>
      </c>
      <c r="R392" s="574" t="s">
        <v>2225</v>
      </c>
      <c r="S392" s="574" t="s">
        <v>2846</v>
      </c>
      <c r="T392" s="574" t="s">
        <v>2847</v>
      </c>
      <c r="U392" s="574" t="s">
        <v>2856</v>
      </c>
      <c r="V392" s="574" t="s">
        <v>2238</v>
      </c>
      <c r="W392" s="574" t="s">
        <v>2239</v>
      </c>
      <c r="X392" s="574" t="s">
        <v>2290</v>
      </c>
      <c r="Y392" s="575" t="s">
        <v>2857</v>
      </c>
      <c r="Z392" s="575" t="s">
        <v>2857</v>
      </c>
      <c r="AA392" s="574" t="s">
        <v>2261</v>
      </c>
      <c r="AB392" s="574" t="s">
        <v>2262</v>
      </c>
      <c r="AC392" s="574" t="s">
        <v>2265</v>
      </c>
      <c r="AD392" s="574" t="s">
        <v>96</v>
      </c>
      <c r="AE392" s="574" t="s">
        <v>2266</v>
      </c>
      <c r="AF392" s="574" t="s">
        <v>96</v>
      </c>
      <c r="AG392" s="576">
        <v>3362038.76</v>
      </c>
      <c r="AH392" s="576">
        <v>0</v>
      </c>
    </row>
    <row r="393" spans="1:34" x14ac:dyDescent="0.25">
      <c r="A393" s="574" t="s">
        <v>2219</v>
      </c>
      <c r="B393" s="574" t="s">
        <v>2220</v>
      </c>
      <c r="C393" s="574" t="s">
        <v>2221</v>
      </c>
      <c r="D393" s="574" t="s">
        <v>2220</v>
      </c>
      <c r="E393" s="574" t="s">
        <v>2222</v>
      </c>
      <c r="F393" s="574" t="s">
        <v>2223</v>
      </c>
      <c r="G393" s="574" t="s">
        <v>2224</v>
      </c>
      <c r="H393" s="574" t="s">
        <v>2225</v>
      </c>
      <c r="I393" s="574" t="s">
        <v>2226</v>
      </c>
      <c r="J393" s="574" t="s">
        <v>2227</v>
      </c>
      <c r="K393" s="574" t="s">
        <v>2228</v>
      </c>
      <c r="L393" s="574" t="s">
        <v>2229</v>
      </c>
      <c r="M393" s="574" t="s">
        <v>2230</v>
      </c>
      <c r="N393" s="574" t="s">
        <v>2231</v>
      </c>
      <c r="O393" s="574" t="s">
        <v>2232</v>
      </c>
      <c r="P393" s="574" t="s">
        <v>2233</v>
      </c>
      <c r="Q393" s="574" t="s">
        <v>2234</v>
      </c>
      <c r="R393" s="574" t="s">
        <v>2225</v>
      </c>
      <c r="S393" s="574" t="s">
        <v>2846</v>
      </c>
      <c r="T393" s="574" t="s">
        <v>2847</v>
      </c>
      <c r="U393" s="574" t="s">
        <v>2856</v>
      </c>
      <c r="V393" s="574" t="s">
        <v>2238</v>
      </c>
      <c r="W393" s="574" t="s">
        <v>2239</v>
      </c>
      <c r="X393" s="574" t="s">
        <v>2290</v>
      </c>
      <c r="Y393" s="575" t="s">
        <v>2857</v>
      </c>
      <c r="Z393" s="575" t="s">
        <v>2857</v>
      </c>
      <c r="AA393" s="574" t="s">
        <v>2261</v>
      </c>
      <c r="AB393" s="574" t="s">
        <v>2262</v>
      </c>
      <c r="AC393" s="574" t="s">
        <v>2267</v>
      </c>
      <c r="AD393" s="574" t="s">
        <v>97</v>
      </c>
      <c r="AE393" s="574" t="s">
        <v>2268</v>
      </c>
      <c r="AF393" s="574" t="s">
        <v>97</v>
      </c>
      <c r="AG393" s="576">
        <v>567124.57999999996</v>
      </c>
      <c r="AH393" s="576">
        <v>0</v>
      </c>
    </row>
    <row r="394" spans="1:34" x14ac:dyDescent="0.25">
      <c r="A394" s="574" t="s">
        <v>2219</v>
      </c>
      <c r="B394" s="574" t="s">
        <v>2220</v>
      </c>
      <c r="C394" s="574" t="s">
        <v>2221</v>
      </c>
      <c r="D394" s="574" t="s">
        <v>2220</v>
      </c>
      <c r="E394" s="574" t="s">
        <v>2222</v>
      </c>
      <c r="F394" s="574" t="s">
        <v>2223</v>
      </c>
      <c r="G394" s="574" t="s">
        <v>2224</v>
      </c>
      <c r="H394" s="574" t="s">
        <v>2225</v>
      </c>
      <c r="I394" s="574" t="s">
        <v>2226</v>
      </c>
      <c r="J394" s="574" t="s">
        <v>2227</v>
      </c>
      <c r="K394" s="574" t="s">
        <v>2228</v>
      </c>
      <c r="L394" s="574" t="s">
        <v>2229</v>
      </c>
      <c r="M394" s="574" t="s">
        <v>2230</v>
      </c>
      <c r="N394" s="574" t="s">
        <v>2231</v>
      </c>
      <c r="O394" s="574" t="s">
        <v>2232</v>
      </c>
      <c r="P394" s="574" t="s">
        <v>2233</v>
      </c>
      <c r="Q394" s="574" t="s">
        <v>2234</v>
      </c>
      <c r="R394" s="574" t="s">
        <v>2225</v>
      </c>
      <c r="S394" s="574" t="s">
        <v>2846</v>
      </c>
      <c r="T394" s="574" t="s">
        <v>2847</v>
      </c>
      <c r="U394" s="574" t="s">
        <v>2858</v>
      </c>
      <c r="V394" s="574" t="s">
        <v>2238</v>
      </c>
      <c r="W394" s="574" t="s">
        <v>2239</v>
      </c>
      <c r="X394" s="574" t="s">
        <v>2461</v>
      </c>
      <c r="Y394" s="575" t="s">
        <v>2429</v>
      </c>
      <c r="Z394" s="575" t="s">
        <v>2429</v>
      </c>
      <c r="AA394" s="574" t="s">
        <v>2242</v>
      </c>
      <c r="AB394" s="574" t="s">
        <v>2243</v>
      </c>
      <c r="AC394" s="574" t="s">
        <v>2271</v>
      </c>
      <c r="AD394" s="574" t="s">
        <v>181</v>
      </c>
      <c r="AE394" s="574" t="s">
        <v>2272</v>
      </c>
      <c r="AF394" s="574" t="s">
        <v>2273</v>
      </c>
      <c r="AG394" s="576">
        <v>732074.29</v>
      </c>
      <c r="AH394" s="576">
        <v>0</v>
      </c>
    </row>
    <row r="395" spans="1:34" x14ac:dyDescent="0.25">
      <c r="A395" s="574" t="s">
        <v>2219</v>
      </c>
      <c r="B395" s="574" t="s">
        <v>2220</v>
      </c>
      <c r="C395" s="574" t="s">
        <v>2221</v>
      </c>
      <c r="D395" s="574" t="s">
        <v>2220</v>
      </c>
      <c r="E395" s="574" t="s">
        <v>2222</v>
      </c>
      <c r="F395" s="574" t="s">
        <v>2223</v>
      </c>
      <c r="G395" s="574" t="s">
        <v>2224</v>
      </c>
      <c r="H395" s="574" t="s">
        <v>2225</v>
      </c>
      <c r="I395" s="574" t="s">
        <v>2226</v>
      </c>
      <c r="J395" s="574" t="s">
        <v>2227</v>
      </c>
      <c r="K395" s="574" t="s">
        <v>2228</v>
      </c>
      <c r="L395" s="574" t="s">
        <v>2229</v>
      </c>
      <c r="M395" s="574" t="s">
        <v>2230</v>
      </c>
      <c r="N395" s="574" t="s">
        <v>2231</v>
      </c>
      <c r="O395" s="574" t="s">
        <v>2232</v>
      </c>
      <c r="P395" s="574" t="s">
        <v>2233</v>
      </c>
      <c r="Q395" s="574" t="s">
        <v>2234</v>
      </c>
      <c r="R395" s="574" t="s">
        <v>2225</v>
      </c>
      <c r="S395" s="574" t="s">
        <v>2846</v>
      </c>
      <c r="T395" s="574" t="s">
        <v>2847</v>
      </c>
      <c r="U395" s="574" t="s">
        <v>2858</v>
      </c>
      <c r="V395" s="574" t="s">
        <v>2238</v>
      </c>
      <c r="W395" s="574" t="s">
        <v>2239</v>
      </c>
      <c r="X395" s="574" t="s">
        <v>2461</v>
      </c>
      <c r="Y395" s="575" t="s">
        <v>2429</v>
      </c>
      <c r="Z395" s="575" t="s">
        <v>2429</v>
      </c>
      <c r="AA395" s="574" t="s">
        <v>2261</v>
      </c>
      <c r="AB395" s="574" t="s">
        <v>2262</v>
      </c>
      <c r="AC395" s="574" t="s">
        <v>2263</v>
      </c>
      <c r="AD395" s="574" t="s">
        <v>95</v>
      </c>
      <c r="AE395" s="574" t="s">
        <v>2264</v>
      </c>
      <c r="AF395" s="574" t="s">
        <v>95</v>
      </c>
      <c r="AG395" s="576">
        <v>51904.07</v>
      </c>
      <c r="AH395" s="576">
        <v>0</v>
      </c>
    </row>
    <row r="396" spans="1:34" x14ac:dyDescent="0.25">
      <c r="A396" s="574" t="s">
        <v>2219</v>
      </c>
      <c r="B396" s="574" t="s">
        <v>2220</v>
      </c>
      <c r="C396" s="574" t="s">
        <v>2221</v>
      </c>
      <c r="D396" s="574" t="s">
        <v>2220</v>
      </c>
      <c r="E396" s="574" t="s">
        <v>2222</v>
      </c>
      <c r="F396" s="574" t="s">
        <v>2223</v>
      </c>
      <c r="G396" s="574" t="s">
        <v>2224</v>
      </c>
      <c r="H396" s="574" t="s">
        <v>2225</v>
      </c>
      <c r="I396" s="574" t="s">
        <v>2226</v>
      </c>
      <c r="J396" s="574" t="s">
        <v>2227</v>
      </c>
      <c r="K396" s="574" t="s">
        <v>2228</v>
      </c>
      <c r="L396" s="574" t="s">
        <v>2229</v>
      </c>
      <c r="M396" s="574" t="s">
        <v>2230</v>
      </c>
      <c r="N396" s="574" t="s">
        <v>2231</v>
      </c>
      <c r="O396" s="574" t="s">
        <v>2232</v>
      </c>
      <c r="P396" s="574" t="s">
        <v>2233</v>
      </c>
      <c r="Q396" s="574" t="s">
        <v>2234</v>
      </c>
      <c r="R396" s="574" t="s">
        <v>2225</v>
      </c>
      <c r="S396" s="574" t="s">
        <v>2846</v>
      </c>
      <c r="T396" s="574" t="s">
        <v>2847</v>
      </c>
      <c r="U396" s="574" t="s">
        <v>2858</v>
      </c>
      <c r="V396" s="574" t="s">
        <v>2238</v>
      </c>
      <c r="W396" s="574" t="s">
        <v>2239</v>
      </c>
      <c r="X396" s="574" t="s">
        <v>2461</v>
      </c>
      <c r="Y396" s="575" t="s">
        <v>2429</v>
      </c>
      <c r="Z396" s="575" t="s">
        <v>2429</v>
      </c>
      <c r="AA396" s="574" t="s">
        <v>2261</v>
      </c>
      <c r="AB396" s="574" t="s">
        <v>2262</v>
      </c>
      <c r="AC396" s="574" t="s">
        <v>2265</v>
      </c>
      <c r="AD396" s="574" t="s">
        <v>96</v>
      </c>
      <c r="AE396" s="574" t="s">
        <v>2266</v>
      </c>
      <c r="AF396" s="574" t="s">
        <v>96</v>
      </c>
      <c r="AG396" s="576">
        <v>51977.27</v>
      </c>
      <c r="AH396" s="576">
        <v>0</v>
      </c>
    </row>
    <row r="397" spans="1:34" x14ac:dyDescent="0.25">
      <c r="A397" s="574" t="s">
        <v>2219</v>
      </c>
      <c r="B397" s="574" t="s">
        <v>2220</v>
      </c>
      <c r="C397" s="574" t="s">
        <v>2221</v>
      </c>
      <c r="D397" s="574" t="s">
        <v>2220</v>
      </c>
      <c r="E397" s="574" t="s">
        <v>2222</v>
      </c>
      <c r="F397" s="574" t="s">
        <v>2223</v>
      </c>
      <c r="G397" s="574" t="s">
        <v>2224</v>
      </c>
      <c r="H397" s="574" t="s">
        <v>2225</v>
      </c>
      <c r="I397" s="574" t="s">
        <v>2226</v>
      </c>
      <c r="J397" s="574" t="s">
        <v>2227</v>
      </c>
      <c r="K397" s="574" t="s">
        <v>2228</v>
      </c>
      <c r="L397" s="574" t="s">
        <v>2229</v>
      </c>
      <c r="M397" s="574" t="s">
        <v>2230</v>
      </c>
      <c r="N397" s="574" t="s">
        <v>2231</v>
      </c>
      <c r="O397" s="574" t="s">
        <v>2232</v>
      </c>
      <c r="P397" s="574" t="s">
        <v>2233</v>
      </c>
      <c r="Q397" s="574" t="s">
        <v>2234</v>
      </c>
      <c r="R397" s="574" t="s">
        <v>2225</v>
      </c>
      <c r="S397" s="574" t="s">
        <v>2846</v>
      </c>
      <c r="T397" s="574" t="s">
        <v>2847</v>
      </c>
      <c r="U397" s="574" t="s">
        <v>2858</v>
      </c>
      <c r="V397" s="574" t="s">
        <v>2238</v>
      </c>
      <c r="W397" s="574" t="s">
        <v>2239</v>
      </c>
      <c r="X397" s="574" t="s">
        <v>2461</v>
      </c>
      <c r="Y397" s="575" t="s">
        <v>2429</v>
      </c>
      <c r="Z397" s="575" t="s">
        <v>2429</v>
      </c>
      <c r="AA397" s="574" t="s">
        <v>2261</v>
      </c>
      <c r="AB397" s="574" t="s">
        <v>2262</v>
      </c>
      <c r="AC397" s="574" t="s">
        <v>2267</v>
      </c>
      <c r="AD397" s="574" t="s">
        <v>97</v>
      </c>
      <c r="AE397" s="574" t="s">
        <v>2268</v>
      </c>
      <c r="AF397" s="574" t="s">
        <v>97</v>
      </c>
      <c r="AG397" s="576">
        <v>8693.81</v>
      </c>
      <c r="AH397" s="576">
        <v>0</v>
      </c>
    </row>
    <row r="398" spans="1:34" x14ac:dyDescent="0.25">
      <c r="A398" s="574" t="s">
        <v>2219</v>
      </c>
      <c r="B398" s="574" t="s">
        <v>2220</v>
      </c>
      <c r="C398" s="574" t="s">
        <v>2221</v>
      </c>
      <c r="D398" s="574" t="s">
        <v>2220</v>
      </c>
      <c r="E398" s="574" t="s">
        <v>2222</v>
      </c>
      <c r="F398" s="574" t="s">
        <v>2223</v>
      </c>
      <c r="G398" s="574" t="s">
        <v>2224</v>
      </c>
      <c r="H398" s="574" t="s">
        <v>2225</v>
      </c>
      <c r="I398" s="574" t="s">
        <v>2226</v>
      </c>
      <c r="J398" s="574" t="s">
        <v>2227</v>
      </c>
      <c r="K398" s="574" t="s">
        <v>2228</v>
      </c>
      <c r="L398" s="574" t="s">
        <v>2229</v>
      </c>
      <c r="M398" s="574" t="s">
        <v>2230</v>
      </c>
      <c r="N398" s="574" t="s">
        <v>2231</v>
      </c>
      <c r="O398" s="574" t="s">
        <v>2232</v>
      </c>
      <c r="P398" s="574" t="s">
        <v>2233</v>
      </c>
      <c r="Q398" s="574" t="s">
        <v>2234</v>
      </c>
      <c r="R398" s="574" t="s">
        <v>2225</v>
      </c>
      <c r="S398" s="574" t="s">
        <v>2846</v>
      </c>
      <c r="T398" s="574" t="s">
        <v>2847</v>
      </c>
      <c r="U398" s="574" t="s">
        <v>2859</v>
      </c>
      <c r="V398" s="574" t="s">
        <v>2238</v>
      </c>
      <c r="W398" s="574" t="s">
        <v>2239</v>
      </c>
      <c r="X398" s="574" t="s">
        <v>2459</v>
      </c>
      <c r="Y398" s="575" t="s">
        <v>2665</v>
      </c>
      <c r="Z398" s="575" t="s">
        <v>2665</v>
      </c>
      <c r="AA398" s="574" t="s">
        <v>2242</v>
      </c>
      <c r="AB398" s="574" t="s">
        <v>2243</v>
      </c>
      <c r="AC398" s="574" t="s">
        <v>2244</v>
      </c>
      <c r="AD398" s="574" t="s">
        <v>2245</v>
      </c>
      <c r="AE398" s="574" t="s">
        <v>2246</v>
      </c>
      <c r="AF398" s="574" t="s">
        <v>2247</v>
      </c>
      <c r="AG398" s="576">
        <v>47416676.829999998</v>
      </c>
      <c r="AH398" s="576">
        <v>0</v>
      </c>
    </row>
    <row r="399" spans="1:34" x14ac:dyDescent="0.25">
      <c r="A399" s="574" t="s">
        <v>2219</v>
      </c>
      <c r="B399" s="574" t="s">
        <v>2220</v>
      </c>
      <c r="C399" s="574" t="s">
        <v>2221</v>
      </c>
      <c r="D399" s="574" t="s">
        <v>2220</v>
      </c>
      <c r="E399" s="574" t="s">
        <v>2222</v>
      </c>
      <c r="F399" s="574" t="s">
        <v>2223</v>
      </c>
      <c r="G399" s="574" t="s">
        <v>2224</v>
      </c>
      <c r="H399" s="574" t="s">
        <v>2225</v>
      </c>
      <c r="I399" s="574" t="s">
        <v>2226</v>
      </c>
      <c r="J399" s="574" t="s">
        <v>2227</v>
      </c>
      <c r="K399" s="574" t="s">
        <v>2228</v>
      </c>
      <c r="L399" s="574" t="s">
        <v>2229</v>
      </c>
      <c r="M399" s="574" t="s">
        <v>2230</v>
      </c>
      <c r="N399" s="574" t="s">
        <v>2231</v>
      </c>
      <c r="O399" s="574" t="s">
        <v>2232</v>
      </c>
      <c r="P399" s="574" t="s">
        <v>2233</v>
      </c>
      <c r="Q399" s="574" t="s">
        <v>2234</v>
      </c>
      <c r="R399" s="574" t="s">
        <v>2225</v>
      </c>
      <c r="S399" s="574" t="s">
        <v>2846</v>
      </c>
      <c r="T399" s="574" t="s">
        <v>2847</v>
      </c>
      <c r="U399" s="574" t="s">
        <v>2859</v>
      </c>
      <c r="V399" s="574" t="s">
        <v>2238</v>
      </c>
      <c r="W399" s="574" t="s">
        <v>2239</v>
      </c>
      <c r="X399" s="574" t="s">
        <v>2459</v>
      </c>
      <c r="Y399" s="575" t="s">
        <v>2665</v>
      </c>
      <c r="Z399" s="575" t="s">
        <v>2665</v>
      </c>
      <c r="AA399" s="574" t="s">
        <v>2248</v>
      </c>
      <c r="AB399" s="574" t="s">
        <v>2249</v>
      </c>
      <c r="AC399" s="574" t="s">
        <v>2250</v>
      </c>
      <c r="AD399" s="574" t="s">
        <v>2251</v>
      </c>
      <c r="AE399" s="574" t="s">
        <v>2252</v>
      </c>
      <c r="AF399" s="574" t="s">
        <v>2251</v>
      </c>
      <c r="AG399" s="576">
        <v>2420926.59</v>
      </c>
      <c r="AH399" s="576">
        <v>0</v>
      </c>
    </row>
    <row r="400" spans="1:34" x14ac:dyDescent="0.25">
      <c r="A400" s="574" t="s">
        <v>2219</v>
      </c>
      <c r="B400" s="574" t="s">
        <v>2220</v>
      </c>
      <c r="C400" s="574" t="s">
        <v>2221</v>
      </c>
      <c r="D400" s="574" t="s">
        <v>2220</v>
      </c>
      <c r="E400" s="574" t="s">
        <v>2222</v>
      </c>
      <c r="F400" s="574" t="s">
        <v>2223</v>
      </c>
      <c r="G400" s="574" t="s">
        <v>2224</v>
      </c>
      <c r="H400" s="574" t="s">
        <v>2225</v>
      </c>
      <c r="I400" s="574" t="s">
        <v>2226</v>
      </c>
      <c r="J400" s="574" t="s">
        <v>2227</v>
      </c>
      <c r="K400" s="574" t="s">
        <v>2228</v>
      </c>
      <c r="L400" s="574" t="s">
        <v>2229</v>
      </c>
      <c r="M400" s="574" t="s">
        <v>2230</v>
      </c>
      <c r="N400" s="574" t="s">
        <v>2231</v>
      </c>
      <c r="O400" s="574" t="s">
        <v>2232</v>
      </c>
      <c r="P400" s="574" t="s">
        <v>2233</v>
      </c>
      <c r="Q400" s="574" t="s">
        <v>2234</v>
      </c>
      <c r="R400" s="574" t="s">
        <v>2225</v>
      </c>
      <c r="S400" s="574" t="s">
        <v>2846</v>
      </c>
      <c r="T400" s="574" t="s">
        <v>2847</v>
      </c>
      <c r="U400" s="574" t="s">
        <v>2859</v>
      </c>
      <c r="V400" s="574" t="s">
        <v>2238</v>
      </c>
      <c r="W400" s="574" t="s">
        <v>2239</v>
      </c>
      <c r="X400" s="574" t="s">
        <v>2459</v>
      </c>
      <c r="Y400" s="575" t="s">
        <v>2665</v>
      </c>
      <c r="Z400" s="575" t="s">
        <v>2665</v>
      </c>
      <c r="AA400" s="574" t="s">
        <v>2248</v>
      </c>
      <c r="AB400" s="574" t="s">
        <v>2249</v>
      </c>
      <c r="AC400" s="574" t="s">
        <v>2253</v>
      </c>
      <c r="AD400" s="574" t="s">
        <v>2254</v>
      </c>
      <c r="AE400" s="574" t="s">
        <v>2255</v>
      </c>
      <c r="AF400" s="574" t="s">
        <v>2256</v>
      </c>
      <c r="AG400" s="576">
        <v>303200</v>
      </c>
      <c r="AH400" s="576">
        <v>0</v>
      </c>
    </row>
    <row r="401" spans="1:34" x14ac:dyDescent="0.25">
      <c r="A401" s="574" t="s">
        <v>2219</v>
      </c>
      <c r="B401" s="574" t="s">
        <v>2220</v>
      </c>
      <c r="C401" s="574" t="s">
        <v>2221</v>
      </c>
      <c r="D401" s="574" t="s">
        <v>2220</v>
      </c>
      <c r="E401" s="574" t="s">
        <v>2222</v>
      </c>
      <c r="F401" s="574" t="s">
        <v>2223</v>
      </c>
      <c r="G401" s="574" t="s">
        <v>2224</v>
      </c>
      <c r="H401" s="574" t="s">
        <v>2225</v>
      </c>
      <c r="I401" s="574" t="s">
        <v>2226</v>
      </c>
      <c r="J401" s="574" t="s">
        <v>2227</v>
      </c>
      <c r="K401" s="574" t="s">
        <v>2228</v>
      </c>
      <c r="L401" s="574" t="s">
        <v>2229</v>
      </c>
      <c r="M401" s="574" t="s">
        <v>2230</v>
      </c>
      <c r="N401" s="574" t="s">
        <v>2231</v>
      </c>
      <c r="O401" s="574" t="s">
        <v>2232</v>
      </c>
      <c r="P401" s="574" t="s">
        <v>2233</v>
      </c>
      <c r="Q401" s="574" t="s">
        <v>2234</v>
      </c>
      <c r="R401" s="574" t="s">
        <v>2225</v>
      </c>
      <c r="S401" s="574" t="s">
        <v>2846</v>
      </c>
      <c r="T401" s="574" t="s">
        <v>2847</v>
      </c>
      <c r="U401" s="574" t="s">
        <v>2859</v>
      </c>
      <c r="V401" s="574" t="s">
        <v>2238</v>
      </c>
      <c r="W401" s="574" t="s">
        <v>2239</v>
      </c>
      <c r="X401" s="574" t="s">
        <v>2459</v>
      </c>
      <c r="Y401" s="575" t="s">
        <v>2665</v>
      </c>
      <c r="Z401" s="575" t="s">
        <v>2665</v>
      </c>
      <c r="AA401" s="574" t="s">
        <v>2248</v>
      </c>
      <c r="AB401" s="574" t="s">
        <v>2249</v>
      </c>
      <c r="AC401" s="574" t="s">
        <v>2253</v>
      </c>
      <c r="AD401" s="574" t="s">
        <v>2254</v>
      </c>
      <c r="AE401" s="574" t="s">
        <v>2257</v>
      </c>
      <c r="AF401" s="574" t="s">
        <v>2258</v>
      </c>
      <c r="AG401" s="576">
        <v>10717.4</v>
      </c>
      <c r="AH401" s="576">
        <v>0</v>
      </c>
    </row>
    <row r="402" spans="1:34" x14ac:dyDescent="0.25">
      <c r="A402" s="574" t="s">
        <v>2219</v>
      </c>
      <c r="B402" s="574" t="s">
        <v>2220</v>
      </c>
      <c r="C402" s="574" t="s">
        <v>2221</v>
      </c>
      <c r="D402" s="574" t="s">
        <v>2220</v>
      </c>
      <c r="E402" s="574" t="s">
        <v>2222</v>
      </c>
      <c r="F402" s="574" t="s">
        <v>2223</v>
      </c>
      <c r="G402" s="574" t="s">
        <v>2224</v>
      </c>
      <c r="H402" s="574" t="s">
        <v>2225</v>
      </c>
      <c r="I402" s="574" t="s">
        <v>2226</v>
      </c>
      <c r="J402" s="574" t="s">
        <v>2227</v>
      </c>
      <c r="K402" s="574" t="s">
        <v>2228</v>
      </c>
      <c r="L402" s="574" t="s">
        <v>2229</v>
      </c>
      <c r="M402" s="574" t="s">
        <v>2230</v>
      </c>
      <c r="N402" s="574" t="s">
        <v>2231</v>
      </c>
      <c r="O402" s="574" t="s">
        <v>2232</v>
      </c>
      <c r="P402" s="574" t="s">
        <v>2233</v>
      </c>
      <c r="Q402" s="574" t="s">
        <v>2234</v>
      </c>
      <c r="R402" s="574" t="s">
        <v>2225</v>
      </c>
      <c r="S402" s="574" t="s">
        <v>2846</v>
      </c>
      <c r="T402" s="574" t="s">
        <v>2847</v>
      </c>
      <c r="U402" s="574" t="s">
        <v>2859</v>
      </c>
      <c r="V402" s="574" t="s">
        <v>2238</v>
      </c>
      <c r="W402" s="574" t="s">
        <v>2239</v>
      </c>
      <c r="X402" s="574" t="s">
        <v>2459</v>
      </c>
      <c r="Y402" s="575" t="s">
        <v>2665</v>
      </c>
      <c r="Z402" s="575" t="s">
        <v>2665</v>
      </c>
      <c r="AA402" s="574" t="s">
        <v>2248</v>
      </c>
      <c r="AB402" s="574" t="s">
        <v>2249</v>
      </c>
      <c r="AC402" s="574" t="s">
        <v>2253</v>
      </c>
      <c r="AD402" s="574" t="s">
        <v>2254</v>
      </c>
      <c r="AE402" s="574" t="s">
        <v>2259</v>
      </c>
      <c r="AF402" s="574" t="s">
        <v>2260</v>
      </c>
      <c r="AG402" s="576">
        <v>58945.7</v>
      </c>
      <c r="AH402" s="576">
        <v>0</v>
      </c>
    </row>
    <row r="403" spans="1:34" x14ac:dyDescent="0.25">
      <c r="A403" s="574" t="s">
        <v>2219</v>
      </c>
      <c r="B403" s="574" t="s">
        <v>2220</v>
      </c>
      <c r="C403" s="574" t="s">
        <v>2221</v>
      </c>
      <c r="D403" s="574" t="s">
        <v>2220</v>
      </c>
      <c r="E403" s="574" t="s">
        <v>2222</v>
      </c>
      <c r="F403" s="574" t="s">
        <v>2223</v>
      </c>
      <c r="G403" s="574" t="s">
        <v>2224</v>
      </c>
      <c r="H403" s="574" t="s">
        <v>2225</v>
      </c>
      <c r="I403" s="574" t="s">
        <v>2226</v>
      </c>
      <c r="J403" s="574" t="s">
        <v>2227</v>
      </c>
      <c r="K403" s="574" t="s">
        <v>2228</v>
      </c>
      <c r="L403" s="574" t="s">
        <v>2229</v>
      </c>
      <c r="M403" s="574" t="s">
        <v>2230</v>
      </c>
      <c r="N403" s="574" t="s">
        <v>2231</v>
      </c>
      <c r="O403" s="574" t="s">
        <v>2232</v>
      </c>
      <c r="P403" s="574" t="s">
        <v>2233</v>
      </c>
      <c r="Q403" s="574" t="s">
        <v>2234</v>
      </c>
      <c r="R403" s="574" t="s">
        <v>2225</v>
      </c>
      <c r="S403" s="574" t="s">
        <v>2846</v>
      </c>
      <c r="T403" s="574" t="s">
        <v>2847</v>
      </c>
      <c r="U403" s="574" t="s">
        <v>2859</v>
      </c>
      <c r="V403" s="574" t="s">
        <v>2238</v>
      </c>
      <c r="W403" s="574" t="s">
        <v>2239</v>
      </c>
      <c r="X403" s="574" t="s">
        <v>2459</v>
      </c>
      <c r="Y403" s="575" t="s">
        <v>2665</v>
      </c>
      <c r="Z403" s="575" t="s">
        <v>2665</v>
      </c>
      <c r="AA403" s="574" t="s">
        <v>2261</v>
      </c>
      <c r="AB403" s="574" t="s">
        <v>2262</v>
      </c>
      <c r="AC403" s="574" t="s">
        <v>2263</v>
      </c>
      <c r="AD403" s="574" t="s">
        <v>95</v>
      </c>
      <c r="AE403" s="574" t="s">
        <v>2264</v>
      </c>
      <c r="AF403" s="574" t="s">
        <v>95</v>
      </c>
      <c r="AG403" s="576">
        <v>3361841.41</v>
      </c>
      <c r="AH403" s="576">
        <v>0</v>
      </c>
    </row>
    <row r="404" spans="1:34" x14ac:dyDescent="0.25">
      <c r="A404" s="574" t="s">
        <v>2219</v>
      </c>
      <c r="B404" s="574" t="s">
        <v>2220</v>
      </c>
      <c r="C404" s="574" t="s">
        <v>2221</v>
      </c>
      <c r="D404" s="574" t="s">
        <v>2220</v>
      </c>
      <c r="E404" s="574" t="s">
        <v>2222</v>
      </c>
      <c r="F404" s="574" t="s">
        <v>2223</v>
      </c>
      <c r="G404" s="574" t="s">
        <v>2224</v>
      </c>
      <c r="H404" s="574" t="s">
        <v>2225</v>
      </c>
      <c r="I404" s="574" t="s">
        <v>2226</v>
      </c>
      <c r="J404" s="574" t="s">
        <v>2227</v>
      </c>
      <c r="K404" s="574" t="s">
        <v>2228</v>
      </c>
      <c r="L404" s="574" t="s">
        <v>2229</v>
      </c>
      <c r="M404" s="574" t="s">
        <v>2230</v>
      </c>
      <c r="N404" s="574" t="s">
        <v>2231</v>
      </c>
      <c r="O404" s="574" t="s">
        <v>2232</v>
      </c>
      <c r="P404" s="574" t="s">
        <v>2233</v>
      </c>
      <c r="Q404" s="574" t="s">
        <v>2234</v>
      </c>
      <c r="R404" s="574" t="s">
        <v>2225</v>
      </c>
      <c r="S404" s="574" t="s">
        <v>2846</v>
      </c>
      <c r="T404" s="574" t="s">
        <v>2847</v>
      </c>
      <c r="U404" s="574" t="s">
        <v>2859</v>
      </c>
      <c r="V404" s="574" t="s">
        <v>2238</v>
      </c>
      <c r="W404" s="574" t="s">
        <v>2239</v>
      </c>
      <c r="X404" s="574" t="s">
        <v>2459</v>
      </c>
      <c r="Y404" s="575" t="s">
        <v>2665</v>
      </c>
      <c r="Z404" s="575" t="s">
        <v>2665</v>
      </c>
      <c r="AA404" s="574" t="s">
        <v>2261</v>
      </c>
      <c r="AB404" s="574" t="s">
        <v>2262</v>
      </c>
      <c r="AC404" s="574" t="s">
        <v>2265</v>
      </c>
      <c r="AD404" s="574" t="s">
        <v>96</v>
      </c>
      <c r="AE404" s="574" t="s">
        <v>2266</v>
      </c>
      <c r="AF404" s="574" t="s">
        <v>96</v>
      </c>
      <c r="AG404" s="576">
        <v>3366583.5</v>
      </c>
      <c r="AH404" s="576">
        <v>0</v>
      </c>
    </row>
    <row r="405" spans="1:34" x14ac:dyDescent="0.25">
      <c r="A405" s="574" t="s">
        <v>2219</v>
      </c>
      <c r="B405" s="574" t="s">
        <v>2220</v>
      </c>
      <c r="C405" s="574" t="s">
        <v>2221</v>
      </c>
      <c r="D405" s="574" t="s">
        <v>2220</v>
      </c>
      <c r="E405" s="574" t="s">
        <v>2222</v>
      </c>
      <c r="F405" s="574" t="s">
        <v>2223</v>
      </c>
      <c r="G405" s="574" t="s">
        <v>2224</v>
      </c>
      <c r="H405" s="574" t="s">
        <v>2225</v>
      </c>
      <c r="I405" s="574" t="s">
        <v>2226</v>
      </c>
      <c r="J405" s="574" t="s">
        <v>2227</v>
      </c>
      <c r="K405" s="574" t="s">
        <v>2228</v>
      </c>
      <c r="L405" s="574" t="s">
        <v>2229</v>
      </c>
      <c r="M405" s="574" t="s">
        <v>2230</v>
      </c>
      <c r="N405" s="574" t="s">
        <v>2231</v>
      </c>
      <c r="O405" s="574" t="s">
        <v>2232</v>
      </c>
      <c r="P405" s="574" t="s">
        <v>2233</v>
      </c>
      <c r="Q405" s="574" t="s">
        <v>2234</v>
      </c>
      <c r="R405" s="574" t="s">
        <v>2225</v>
      </c>
      <c r="S405" s="574" t="s">
        <v>2846</v>
      </c>
      <c r="T405" s="574" t="s">
        <v>2847</v>
      </c>
      <c r="U405" s="574" t="s">
        <v>2859</v>
      </c>
      <c r="V405" s="574" t="s">
        <v>2238</v>
      </c>
      <c r="W405" s="574" t="s">
        <v>2239</v>
      </c>
      <c r="X405" s="574" t="s">
        <v>2459</v>
      </c>
      <c r="Y405" s="575" t="s">
        <v>2665</v>
      </c>
      <c r="Z405" s="575" t="s">
        <v>2665</v>
      </c>
      <c r="AA405" s="574" t="s">
        <v>2261</v>
      </c>
      <c r="AB405" s="574" t="s">
        <v>2262</v>
      </c>
      <c r="AC405" s="574" t="s">
        <v>2267</v>
      </c>
      <c r="AD405" s="574" t="s">
        <v>97</v>
      </c>
      <c r="AE405" s="574" t="s">
        <v>2268</v>
      </c>
      <c r="AF405" s="574" t="s">
        <v>97</v>
      </c>
      <c r="AG405" s="576">
        <v>567892.68999999994</v>
      </c>
      <c r="AH405" s="576">
        <v>0</v>
      </c>
    </row>
    <row r="406" spans="1:34" x14ac:dyDescent="0.25">
      <c r="A406" s="574" t="s">
        <v>2219</v>
      </c>
      <c r="B406" s="574" t="s">
        <v>2220</v>
      </c>
      <c r="C406" s="574" t="s">
        <v>2221</v>
      </c>
      <c r="D406" s="574" t="s">
        <v>2220</v>
      </c>
      <c r="E406" s="574" t="s">
        <v>2222</v>
      </c>
      <c r="F406" s="574" t="s">
        <v>2223</v>
      </c>
      <c r="G406" s="574" t="s">
        <v>2224</v>
      </c>
      <c r="H406" s="574" t="s">
        <v>2225</v>
      </c>
      <c r="I406" s="574" t="s">
        <v>2226</v>
      </c>
      <c r="J406" s="574" t="s">
        <v>2227</v>
      </c>
      <c r="K406" s="574" t="s">
        <v>2228</v>
      </c>
      <c r="L406" s="574" t="s">
        <v>2229</v>
      </c>
      <c r="M406" s="574" t="s">
        <v>2230</v>
      </c>
      <c r="N406" s="574" t="s">
        <v>2231</v>
      </c>
      <c r="O406" s="574" t="s">
        <v>2232</v>
      </c>
      <c r="P406" s="574" t="s">
        <v>2233</v>
      </c>
      <c r="Q406" s="574" t="s">
        <v>2234</v>
      </c>
      <c r="R406" s="574" t="s">
        <v>2225</v>
      </c>
      <c r="S406" s="574" t="s">
        <v>2846</v>
      </c>
      <c r="T406" s="574" t="s">
        <v>2847</v>
      </c>
      <c r="U406" s="574" t="s">
        <v>2860</v>
      </c>
      <c r="V406" s="574" t="s">
        <v>2238</v>
      </c>
      <c r="W406" s="574" t="s">
        <v>2239</v>
      </c>
      <c r="X406" s="574" t="s">
        <v>2493</v>
      </c>
      <c r="Y406" s="575" t="s">
        <v>2670</v>
      </c>
      <c r="Z406" s="575" t="s">
        <v>2670</v>
      </c>
      <c r="AA406" s="574" t="s">
        <v>2242</v>
      </c>
      <c r="AB406" s="574" t="s">
        <v>2243</v>
      </c>
      <c r="AC406" s="574" t="s">
        <v>2244</v>
      </c>
      <c r="AD406" s="574" t="s">
        <v>2245</v>
      </c>
      <c r="AE406" s="574" t="s">
        <v>2246</v>
      </c>
      <c r="AF406" s="574" t="s">
        <v>2247</v>
      </c>
      <c r="AG406" s="576">
        <v>69663.100000000006</v>
      </c>
      <c r="AH406" s="576">
        <v>0</v>
      </c>
    </row>
    <row r="407" spans="1:34" x14ac:dyDescent="0.25">
      <c r="A407" s="574" t="s">
        <v>2219</v>
      </c>
      <c r="B407" s="574" t="s">
        <v>2220</v>
      </c>
      <c r="C407" s="574" t="s">
        <v>2221</v>
      </c>
      <c r="D407" s="574" t="s">
        <v>2220</v>
      </c>
      <c r="E407" s="574" t="s">
        <v>2222</v>
      </c>
      <c r="F407" s="574" t="s">
        <v>2223</v>
      </c>
      <c r="G407" s="574" t="s">
        <v>2224</v>
      </c>
      <c r="H407" s="574" t="s">
        <v>2225</v>
      </c>
      <c r="I407" s="574" t="s">
        <v>2226</v>
      </c>
      <c r="J407" s="574" t="s">
        <v>2227</v>
      </c>
      <c r="K407" s="574" t="s">
        <v>2228</v>
      </c>
      <c r="L407" s="574" t="s">
        <v>2229</v>
      </c>
      <c r="M407" s="574" t="s">
        <v>2230</v>
      </c>
      <c r="N407" s="574" t="s">
        <v>2231</v>
      </c>
      <c r="O407" s="574" t="s">
        <v>2232</v>
      </c>
      <c r="P407" s="574" t="s">
        <v>2233</v>
      </c>
      <c r="Q407" s="574" t="s">
        <v>2234</v>
      </c>
      <c r="R407" s="574" t="s">
        <v>2225</v>
      </c>
      <c r="S407" s="574" t="s">
        <v>2846</v>
      </c>
      <c r="T407" s="574" t="s">
        <v>2847</v>
      </c>
      <c r="U407" s="574" t="s">
        <v>2860</v>
      </c>
      <c r="V407" s="574" t="s">
        <v>2238</v>
      </c>
      <c r="W407" s="574" t="s">
        <v>2239</v>
      </c>
      <c r="X407" s="574" t="s">
        <v>2493</v>
      </c>
      <c r="Y407" s="575" t="s">
        <v>2670</v>
      </c>
      <c r="Z407" s="575" t="s">
        <v>2670</v>
      </c>
      <c r="AA407" s="574" t="s">
        <v>2261</v>
      </c>
      <c r="AB407" s="574" t="s">
        <v>2262</v>
      </c>
      <c r="AC407" s="574" t="s">
        <v>2263</v>
      </c>
      <c r="AD407" s="574" t="s">
        <v>95</v>
      </c>
      <c r="AE407" s="574" t="s">
        <v>2264</v>
      </c>
      <c r="AF407" s="574" t="s">
        <v>95</v>
      </c>
      <c r="AG407" s="576">
        <v>4939.1099999999997</v>
      </c>
      <c r="AH407" s="576">
        <v>0</v>
      </c>
    </row>
    <row r="408" spans="1:34" x14ac:dyDescent="0.25">
      <c r="A408" s="574" t="s">
        <v>2219</v>
      </c>
      <c r="B408" s="574" t="s">
        <v>2220</v>
      </c>
      <c r="C408" s="574" t="s">
        <v>2221</v>
      </c>
      <c r="D408" s="574" t="s">
        <v>2220</v>
      </c>
      <c r="E408" s="574" t="s">
        <v>2222</v>
      </c>
      <c r="F408" s="574" t="s">
        <v>2223</v>
      </c>
      <c r="G408" s="574" t="s">
        <v>2224</v>
      </c>
      <c r="H408" s="574" t="s">
        <v>2225</v>
      </c>
      <c r="I408" s="574" t="s">
        <v>2226</v>
      </c>
      <c r="J408" s="574" t="s">
        <v>2227</v>
      </c>
      <c r="K408" s="574" t="s">
        <v>2228</v>
      </c>
      <c r="L408" s="574" t="s">
        <v>2229</v>
      </c>
      <c r="M408" s="574" t="s">
        <v>2230</v>
      </c>
      <c r="N408" s="574" t="s">
        <v>2231</v>
      </c>
      <c r="O408" s="574" t="s">
        <v>2232</v>
      </c>
      <c r="P408" s="574" t="s">
        <v>2233</v>
      </c>
      <c r="Q408" s="574" t="s">
        <v>2234</v>
      </c>
      <c r="R408" s="574" t="s">
        <v>2225</v>
      </c>
      <c r="S408" s="574" t="s">
        <v>2846</v>
      </c>
      <c r="T408" s="574" t="s">
        <v>2847</v>
      </c>
      <c r="U408" s="574" t="s">
        <v>2860</v>
      </c>
      <c r="V408" s="574" t="s">
        <v>2238</v>
      </c>
      <c r="W408" s="574" t="s">
        <v>2239</v>
      </c>
      <c r="X408" s="574" t="s">
        <v>2493</v>
      </c>
      <c r="Y408" s="575" t="s">
        <v>2670</v>
      </c>
      <c r="Z408" s="575" t="s">
        <v>2670</v>
      </c>
      <c r="AA408" s="574" t="s">
        <v>2261</v>
      </c>
      <c r="AB408" s="574" t="s">
        <v>2262</v>
      </c>
      <c r="AC408" s="574" t="s">
        <v>2265</v>
      </c>
      <c r="AD408" s="574" t="s">
        <v>96</v>
      </c>
      <c r="AE408" s="574" t="s">
        <v>2266</v>
      </c>
      <c r="AF408" s="574" t="s">
        <v>96</v>
      </c>
      <c r="AG408" s="576">
        <v>4946.08</v>
      </c>
      <c r="AH408" s="576">
        <v>0</v>
      </c>
    </row>
    <row r="409" spans="1:34" x14ac:dyDescent="0.25">
      <c r="A409" s="574" t="s">
        <v>2219</v>
      </c>
      <c r="B409" s="574" t="s">
        <v>2220</v>
      </c>
      <c r="C409" s="574" t="s">
        <v>2221</v>
      </c>
      <c r="D409" s="574" t="s">
        <v>2220</v>
      </c>
      <c r="E409" s="574" t="s">
        <v>2222</v>
      </c>
      <c r="F409" s="574" t="s">
        <v>2223</v>
      </c>
      <c r="G409" s="574" t="s">
        <v>2224</v>
      </c>
      <c r="H409" s="574" t="s">
        <v>2225</v>
      </c>
      <c r="I409" s="574" t="s">
        <v>2226</v>
      </c>
      <c r="J409" s="574" t="s">
        <v>2227</v>
      </c>
      <c r="K409" s="574" t="s">
        <v>2228</v>
      </c>
      <c r="L409" s="574" t="s">
        <v>2229</v>
      </c>
      <c r="M409" s="574" t="s">
        <v>2230</v>
      </c>
      <c r="N409" s="574" t="s">
        <v>2231</v>
      </c>
      <c r="O409" s="574" t="s">
        <v>2232</v>
      </c>
      <c r="P409" s="574" t="s">
        <v>2233</v>
      </c>
      <c r="Q409" s="574" t="s">
        <v>2234</v>
      </c>
      <c r="R409" s="574" t="s">
        <v>2225</v>
      </c>
      <c r="S409" s="574" t="s">
        <v>2846</v>
      </c>
      <c r="T409" s="574" t="s">
        <v>2847</v>
      </c>
      <c r="U409" s="574" t="s">
        <v>2860</v>
      </c>
      <c r="V409" s="574" t="s">
        <v>2238</v>
      </c>
      <c r="W409" s="574" t="s">
        <v>2239</v>
      </c>
      <c r="X409" s="574" t="s">
        <v>2493</v>
      </c>
      <c r="Y409" s="575" t="s">
        <v>2670</v>
      </c>
      <c r="Z409" s="575" t="s">
        <v>2670</v>
      </c>
      <c r="AA409" s="574" t="s">
        <v>2261</v>
      </c>
      <c r="AB409" s="574" t="s">
        <v>2262</v>
      </c>
      <c r="AC409" s="574" t="s">
        <v>2267</v>
      </c>
      <c r="AD409" s="574" t="s">
        <v>97</v>
      </c>
      <c r="AE409" s="574" t="s">
        <v>2268</v>
      </c>
      <c r="AF409" s="574" t="s">
        <v>97</v>
      </c>
      <c r="AG409" s="576">
        <v>835.96</v>
      </c>
      <c r="AH409" s="576">
        <v>0</v>
      </c>
    </row>
    <row r="410" spans="1:34" x14ac:dyDescent="0.25">
      <c r="A410" s="574" t="s">
        <v>2219</v>
      </c>
      <c r="B410" s="574" t="s">
        <v>2220</v>
      </c>
      <c r="C410" s="574" t="s">
        <v>2221</v>
      </c>
      <c r="D410" s="574" t="s">
        <v>2220</v>
      </c>
      <c r="E410" s="574" t="s">
        <v>2222</v>
      </c>
      <c r="F410" s="574" t="s">
        <v>2223</v>
      </c>
      <c r="G410" s="574" t="s">
        <v>2224</v>
      </c>
      <c r="H410" s="574" t="s">
        <v>2225</v>
      </c>
      <c r="I410" s="574" t="s">
        <v>2226</v>
      </c>
      <c r="J410" s="574" t="s">
        <v>2227</v>
      </c>
      <c r="K410" s="574" t="s">
        <v>2228</v>
      </c>
      <c r="L410" s="574" t="s">
        <v>2229</v>
      </c>
      <c r="M410" s="574" t="s">
        <v>2230</v>
      </c>
      <c r="N410" s="574" t="s">
        <v>2231</v>
      </c>
      <c r="O410" s="574" t="s">
        <v>2232</v>
      </c>
      <c r="P410" s="574" t="s">
        <v>2233</v>
      </c>
      <c r="Q410" s="574" t="s">
        <v>2234</v>
      </c>
      <c r="R410" s="574" t="s">
        <v>2225</v>
      </c>
      <c r="S410" s="574" t="s">
        <v>2846</v>
      </c>
      <c r="T410" s="574" t="s">
        <v>2847</v>
      </c>
      <c r="U410" s="574" t="s">
        <v>2861</v>
      </c>
      <c r="V410" s="574" t="s">
        <v>2238</v>
      </c>
      <c r="W410" s="574" t="s">
        <v>2239</v>
      </c>
      <c r="X410" s="574" t="s">
        <v>2511</v>
      </c>
      <c r="Y410" s="575" t="s">
        <v>2672</v>
      </c>
      <c r="Z410" s="575" t="s">
        <v>2672</v>
      </c>
      <c r="AA410" s="574" t="s">
        <v>2242</v>
      </c>
      <c r="AB410" s="574" t="s">
        <v>2243</v>
      </c>
      <c r="AC410" s="574" t="s">
        <v>2271</v>
      </c>
      <c r="AD410" s="574" t="s">
        <v>181</v>
      </c>
      <c r="AE410" s="574" t="s">
        <v>2272</v>
      </c>
      <c r="AF410" s="574" t="s">
        <v>2273</v>
      </c>
      <c r="AG410" s="576">
        <v>732074.29</v>
      </c>
      <c r="AH410" s="576">
        <v>0</v>
      </c>
    </row>
    <row r="411" spans="1:34" x14ac:dyDescent="0.25">
      <c r="A411" s="574" t="s">
        <v>2219</v>
      </c>
      <c r="B411" s="574" t="s">
        <v>2220</v>
      </c>
      <c r="C411" s="574" t="s">
        <v>2221</v>
      </c>
      <c r="D411" s="574" t="s">
        <v>2220</v>
      </c>
      <c r="E411" s="574" t="s">
        <v>2222</v>
      </c>
      <c r="F411" s="574" t="s">
        <v>2223</v>
      </c>
      <c r="G411" s="574" t="s">
        <v>2224</v>
      </c>
      <c r="H411" s="574" t="s">
        <v>2225</v>
      </c>
      <c r="I411" s="574" t="s">
        <v>2226</v>
      </c>
      <c r="J411" s="574" t="s">
        <v>2227</v>
      </c>
      <c r="K411" s="574" t="s">
        <v>2228</v>
      </c>
      <c r="L411" s="574" t="s">
        <v>2229</v>
      </c>
      <c r="M411" s="574" t="s">
        <v>2230</v>
      </c>
      <c r="N411" s="574" t="s">
        <v>2231</v>
      </c>
      <c r="O411" s="574" t="s">
        <v>2232</v>
      </c>
      <c r="P411" s="574" t="s">
        <v>2233</v>
      </c>
      <c r="Q411" s="574" t="s">
        <v>2234</v>
      </c>
      <c r="R411" s="574" t="s">
        <v>2225</v>
      </c>
      <c r="S411" s="574" t="s">
        <v>2846</v>
      </c>
      <c r="T411" s="574" t="s">
        <v>2847</v>
      </c>
      <c r="U411" s="574" t="s">
        <v>2861</v>
      </c>
      <c r="V411" s="574" t="s">
        <v>2238</v>
      </c>
      <c r="W411" s="574" t="s">
        <v>2239</v>
      </c>
      <c r="X411" s="574" t="s">
        <v>2511</v>
      </c>
      <c r="Y411" s="575" t="s">
        <v>2672</v>
      </c>
      <c r="Z411" s="575" t="s">
        <v>2672</v>
      </c>
      <c r="AA411" s="574" t="s">
        <v>2261</v>
      </c>
      <c r="AB411" s="574" t="s">
        <v>2262</v>
      </c>
      <c r="AC411" s="574" t="s">
        <v>2263</v>
      </c>
      <c r="AD411" s="574" t="s">
        <v>95</v>
      </c>
      <c r="AE411" s="574" t="s">
        <v>2264</v>
      </c>
      <c r="AF411" s="574" t="s">
        <v>95</v>
      </c>
      <c r="AG411" s="576">
        <v>51904.07</v>
      </c>
      <c r="AH411" s="576">
        <v>0</v>
      </c>
    </row>
    <row r="412" spans="1:34" x14ac:dyDescent="0.25">
      <c r="A412" s="574" t="s">
        <v>2219</v>
      </c>
      <c r="B412" s="574" t="s">
        <v>2220</v>
      </c>
      <c r="C412" s="574" t="s">
        <v>2221</v>
      </c>
      <c r="D412" s="574" t="s">
        <v>2220</v>
      </c>
      <c r="E412" s="574" t="s">
        <v>2222</v>
      </c>
      <c r="F412" s="574" t="s">
        <v>2223</v>
      </c>
      <c r="G412" s="574" t="s">
        <v>2224</v>
      </c>
      <c r="H412" s="574" t="s">
        <v>2225</v>
      </c>
      <c r="I412" s="574" t="s">
        <v>2226</v>
      </c>
      <c r="J412" s="574" t="s">
        <v>2227</v>
      </c>
      <c r="K412" s="574" t="s">
        <v>2228</v>
      </c>
      <c r="L412" s="574" t="s">
        <v>2229</v>
      </c>
      <c r="M412" s="574" t="s">
        <v>2230</v>
      </c>
      <c r="N412" s="574" t="s">
        <v>2231</v>
      </c>
      <c r="O412" s="574" t="s">
        <v>2232</v>
      </c>
      <c r="P412" s="574" t="s">
        <v>2233</v>
      </c>
      <c r="Q412" s="574" t="s">
        <v>2234</v>
      </c>
      <c r="R412" s="574" t="s">
        <v>2225</v>
      </c>
      <c r="S412" s="574" t="s">
        <v>2846</v>
      </c>
      <c r="T412" s="574" t="s">
        <v>2847</v>
      </c>
      <c r="U412" s="574" t="s">
        <v>2861</v>
      </c>
      <c r="V412" s="574" t="s">
        <v>2238</v>
      </c>
      <c r="W412" s="574" t="s">
        <v>2239</v>
      </c>
      <c r="X412" s="574" t="s">
        <v>2511</v>
      </c>
      <c r="Y412" s="575" t="s">
        <v>2672</v>
      </c>
      <c r="Z412" s="575" t="s">
        <v>2672</v>
      </c>
      <c r="AA412" s="574" t="s">
        <v>2261</v>
      </c>
      <c r="AB412" s="574" t="s">
        <v>2262</v>
      </c>
      <c r="AC412" s="574" t="s">
        <v>2265</v>
      </c>
      <c r="AD412" s="574" t="s">
        <v>96</v>
      </c>
      <c r="AE412" s="574" t="s">
        <v>2266</v>
      </c>
      <c r="AF412" s="574" t="s">
        <v>96</v>
      </c>
      <c r="AG412" s="576">
        <v>51977.27</v>
      </c>
      <c r="AH412" s="576">
        <v>0</v>
      </c>
    </row>
    <row r="413" spans="1:34" x14ac:dyDescent="0.25">
      <c r="A413" s="574" t="s">
        <v>2219</v>
      </c>
      <c r="B413" s="574" t="s">
        <v>2220</v>
      </c>
      <c r="C413" s="574" t="s">
        <v>2221</v>
      </c>
      <c r="D413" s="574" t="s">
        <v>2220</v>
      </c>
      <c r="E413" s="574" t="s">
        <v>2222</v>
      </c>
      <c r="F413" s="574" t="s">
        <v>2223</v>
      </c>
      <c r="G413" s="574" t="s">
        <v>2224</v>
      </c>
      <c r="H413" s="574" t="s">
        <v>2225</v>
      </c>
      <c r="I413" s="574" t="s">
        <v>2226</v>
      </c>
      <c r="J413" s="574" t="s">
        <v>2227</v>
      </c>
      <c r="K413" s="574" t="s">
        <v>2228</v>
      </c>
      <c r="L413" s="574" t="s">
        <v>2229</v>
      </c>
      <c r="M413" s="574" t="s">
        <v>2230</v>
      </c>
      <c r="N413" s="574" t="s">
        <v>2231</v>
      </c>
      <c r="O413" s="574" t="s">
        <v>2232</v>
      </c>
      <c r="P413" s="574" t="s">
        <v>2233</v>
      </c>
      <c r="Q413" s="574" t="s">
        <v>2234</v>
      </c>
      <c r="R413" s="574" t="s">
        <v>2225</v>
      </c>
      <c r="S413" s="574" t="s">
        <v>2846</v>
      </c>
      <c r="T413" s="574" t="s">
        <v>2847</v>
      </c>
      <c r="U413" s="574" t="s">
        <v>2861</v>
      </c>
      <c r="V413" s="574" t="s">
        <v>2238</v>
      </c>
      <c r="W413" s="574" t="s">
        <v>2239</v>
      </c>
      <c r="X413" s="574" t="s">
        <v>2511</v>
      </c>
      <c r="Y413" s="575" t="s">
        <v>2672</v>
      </c>
      <c r="Z413" s="575" t="s">
        <v>2672</v>
      </c>
      <c r="AA413" s="574" t="s">
        <v>2261</v>
      </c>
      <c r="AB413" s="574" t="s">
        <v>2262</v>
      </c>
      <c r="AC413" s="574" t="s">
        <v>2267</v>
      </c>
      <c r="AD413" s="574" t="s">
        <v>97</v>
      </c>
      <c r="AE413" s="574" t="s">
        <v>2268</v>
      </c>
      <c r="AF413" s="574" t="s">
        <v>97</v>
      </c>
      <c r="AG413" s="576">
        <v>8693.81</v>
      </c>
      <c r="AH413" s="576">
        <v>0</v>
      </c>
    </row>
    <row r="414" spans="1:34" x14ac:dyDescent="0.25">
      <c r="A414" s="574" t="s">
        <v>2219</v>
      </c>
      <c r="B414" s="574" t="s">
        <v>2220</v>
      </c>
      <c r="C414" s="574" t="s">
        <v>2221</v>
      </c>
      <c r="D414" s="574" t="s">
        <v>2220</v>
      </c>
      <c r="E414" s="574" t="s">
        <v>2222</v>
      </c>
      <c r="F414" s="574" t="s">
        <v>2223</v>
      </c>
      <c r="G414" s="574" t="s">
        <v>2224</v>
      </c>
      <c r="H414" s="574" t="s">
        <v>2225</v>
      </c>
      <c r="I414" s="574" t="s">
        <v>2226</v>
      </c>
      <c r="J414" s="574" t="s">
        <v>2227</v>
      </c>
      <c r="K414" s="574" t="s">
        <v>2228</v>
      </c>
      <c r="L414" s="574" t="s">
        <v>2229</v>
      </c>
      <c r="M414" s="574" t="s">
        <v>2230</v>
      </c>
      <c r="N414" s="574" t="s">
        <v>2231</v>
      </c>
      <c r="O414" s="574" t="s">
        <v>2232</v>
      </c>
      <c r="P414" s="574" t="s">
        <v>2233</v>
      </c>
      <c r="Q414" s="574" t="s">
        <v>2234</v>
      </c>
      <c r="R414" s="574" t="s">
        <v>2225</v>
      </c>
      <c r="S414" s="574" t="s">
        <v>2846</v>
      </c>
      <c r="T414" s="574" t="s">
        <v>2847</v>
      </c>
      <c r="U414" s="574" t="s">
        <v>2862</v>
      </c>
      <c r="V414" s="574" t="s">
        <v>2238</v>
      </c>
      <c r="W414" s="574" t="s">
        <v>2239</v>
      </c>
      <c r="X414" s="574" t="s">
        <v>2514</v>
      </c>
      <c r="Y414" s="575" t="s">
        <v>2507</v>
      </c>
      <c r="Z414" s="575" t="s">
        <v>2507</v>
      </c>
      <c r="AA414" s="574" t="s">
        <v>2242</v>
      </c>
      <c r="AB414" s="574" t="s">
        <v>2243</v>
      </c>
      <c r="AC414" s="574" t="s">
        <v>2244</v>
      </c>
      <c r="AD414" s="574" t="s">
        <v>2245</v>
      </c>
      <c r="AE414" s="574" t="s">
        <v>2246</v>
      </c>
      <c r="AF414" s="574" t="s">
        <v>2247</v>
      </c>
      <c r="AG414" s="576">
        <v>47606610.130000003</v>
      </c>
      <c r="AH414" s="576">
        <v>0</v>
      </c>
    </row>
    <row r="415" spans="1:34" x14ac:dyDescent="0.25">
      <c r="A415" s="574" t="s">
        <v>2219</v>
      </c>
      <c r="B415" s="574" t="s">
        <v>2220</v>
      </c>
      <c r="C415" s="574" t="s">
        <v>2221</v>
      </c>
      <c r="D415" s="574" t="s">
        <v>2220</v>
      </c>
      <c r="E415" s="574" t="s">
        <v>2222</v>
      </c>
      <c r="F415" s="574" t="s">
        <v>2223</v>
      </c>
      <c r="G415" s="574" t="s">
        <v>2224</v>
      </c>
      <c r="H415" s="574" t="s">
        <v>2225</v>
      </c>
      <c r="I415" s="574" t="s">
        <v>2226</v>
      </c>
      <c r="J415" s="574" t="s">
        <v>2227</v>
      </c>
      <c r="K415" s="574" t="s">
        <v>2228</v>
      </c>
      <c r="L415" s="574" t="s">
        <v>2229</v>
      </c>
      <c r="M415" s="574" t="s">
        <v>2230</v>
      </c>
      <c r="N415" s="574" t="s">
        <v>2231</v>
      </c>
      <c r="O415" s="574" t="s">
        <v>2232</v>
      </c>
      <c r="P415" s="574" t="s">
        <v>2233</v>
      </c>
      <c r="Q415" s="574" t="s">
        <v>2234</v>
      </c>
      <c r="R415" s="574" t="s">
        <v>2225</v>
      </c>
      <c r="S415" s="574" t="s">
        <v>2846</v>
      </c>
      <c r="T415" s="574" t="s">
        <v>2847</v>
      </c>
      <c r="U415" s="574" t="s">
        <v>2862</v>
      </c>
      <c r="V415" s="574" t="s">
        <v>2238</v>
      </c>
      <c r="W415" s="574" t="s">
        <v>2239</v>
      </c>
      <c r="X415" s="574" t="s">
        <v>2514</v>
      </c>
      <c r="Y415" s="575" t="s">
        <v>2507</v>
      </c>
      <c r="Z415" s="575" t="s">
        <v>2507</v>
      </c>
      <c r="AA415" s="574" t="s">
        <v>2248</v>
      </c>
      <c r="AB415" s="574" t="s">
        <v>2249</v>
      </c>
      <c r="AC415" s="574" t="s">
        <v>2250</v>
      </c>
      <c r="AD415" s="574" t="s">
        <v>2251</v>
      </c>
      <c r="AE415" s="574" t="s">
        <v>2252</v>
      </c>
      <c r="AF415" s="574" t="s">
        <v>2251</v>
      </c>
      <c r="AG415" s="576">
        <v>2391782.42</v>
      </c>
      <c r="AH415" s="576">
        <v>0</v>
      </c>
    </row>
    <row r="416" spans="1:34" x14ac:dyDescent="0.25">
      <c r="A416" s="574" t="s">
        <v>2219</v>
      </c>
      <c r="B416" s="574" t="s">
        <v>2220</v>
      </c>
      <c r="C416" s="574" t="s">
        <v>2221</v>
      </c>
      <c r="D416" s="574" t="s">
        <v>2220</v>
      </c>
      <c r="E416" s="574" t="s">
        <v>2222</v>
      </c>
      <c r="F416" s="574" t="s">
        <v>2223</v>
      </c>
      <c r="G416" s="574" t="s">
        <v>2224</v>
      </c>
      <c r="H416" s="574" t="s">
        <v>2225</v>
      </c>
      <c r="I416" s="574" t="s">
        <v>2226</v>
      </c>
      <c r="J416" s="574" t="s">
        <v>2227</v>
      </c>
      <c r="K416" s="574" t="s">
        <v>2228</v>
      </c>
      <c r="L416" s="574" t="s">
        <v>2229</v>
      </c>
      <c r="M416" s="574" t="s">
        <v>2230</v>
      </c>
      <c r="N416" s="574" t="s">
        <v>2231</v>
      </c>
      <c r="O416" s="574" t="s">
        <v>2232</v>
      </c>
      <c r="P416" s="574" t="s">
        <v>2233</v>
      </c>
      <c r="Q416" s="574" t="s">
        <v>2234</v>
      </c>
      <c r="R416" s="574" t="s">
        <v>2225</v>
      </c>
      <c r="S416" s="574" t="s">
        <v>2846</v>
      </c>
      <c r="T416" s="574" t="s">
        <v>2847</v>
      </c>
      <c r="U416" s="574" t="s">
        <v>2862</v>
      </c>
      <c r="V416" s="574" t="s">
        <v>2238</v>
      </c>
      <c r="W416" s="574" t="s">
        <v>2239</v>
      </c>
      <c r="X416" s="574" t="s">
        <v>2514</v>
      </c>
      <c r="Y416" s="575" t="s">
        <v>2507</v>
      </c>
      <c r="Z416" s="575" t="s">
        <v>2507</v>
      </c>
      <c r="AA416" s="574" t="s">
        <v>2248</v>
      </c>
      <c r="AB416" s="574" t="s">
        <v>2249</v>
      </c>
      <c r="AC416" s="574" t="s">
        <v>2253</v>
      </c>
      <c r="AD416" s="574" t="s">
        <v>2254</v>
      </c>
      <c r="AE416" s="574" t="s">
        <v>2255</v>
      </c>
      <c r="AF416" s="574" t="s">
        <v>2256</v>
      </c>
      <c r="AG416" s="576">
        <v>266200</v>
      </c>
      <c r="AH416" s="576">
        <v>0</v>
      </c>
    </row>
    <row r="417" spans="1:34" x14ac:dyDescent="0.25">
      <c r="A417" s="574" t="s">
        <v>2219</v>
      </c>
      <c r="B417" s="574" t="s">
        <v>2220</v>
      </c>
      <c r="C417" s="574" t="s">
        <v>2221</v>
      </c>
      <c r="D417" s="574" t="s">
        <v>2220</v>
      </c>
      <c r="E417" s="574" t="s">
        <v>2222</v>
      </c>
      <c r="F417" s="574" t="s">
        <v>2223</v>
      </c>
      <c r="G417" s="574" t="s">
        <v>2224</v>
      </c>
      <c r="H417" s="574" t="s">
        <v>2225</v>
      </c>
      <c r="I417" s="574" t="s">
        <v>2226</v>
      </c>
      <c r="J417" s="574" t="s">
        <v>2227</v>
      </c>
      <c r="K417" s="574" t="s">
        <v>2228</v>
      </c>
      <c r="L417" s="574" t="s">
        <v>2229</v>
      </c>
      <c r="M417" s="574" t="s">
        <v>2230</v>
      </c>
      <c r="N417" s="574" t="s">
        <v>2231</v>
      </c>
      <c r="O417" s="574" t="s">
        <v>2232</v>
      </c>
      <c r="P417" s="574" t="s">
        <v>2233</v>
      </c>
      <c r="Q417" s="574" t="s">
        <v>2234</v>
      </c>
      <c r="R417" s="574" t="s">
        <v>2225</v>
      </c>
      <c r="S417" s="574" t="s">
        <v>2846</v>
      </c>
      <c r="T417" s="574" t="s">
        <v>2847</v>
      </c>
      <c r="U417" s="574" t="s">
        <v>2862</v>
      </c>
      <c r="V417" s="574" t="s">
        <v>2238</v>
      </c>
      <c r="W417" s="574" t="s">
        <v>2239</v>
      </c>
      <c r="X417" s="574" t="s">
        <v>2514</v>
      </c>
      <c r="Y417" s="575" t="s">
        <v>2507</v>
      </c>
      <c r="Z417" s="575" t="s">
        <v>2507</v>
      </c>
      <c r="AA417" s="574" t="s">
        <v>2248</v>
      </c>
      <c r="AB417" s="574" t="s">
        <v>2249</v>
      </c>
      <c r="AC417" s="574" t="s">
        <v>2253</v>
      </c>
      <c r="AD417" s="574" t="s">
        <v>2254</v>
      </c>
      <c r="AE417" s="574" t="s">
        <v>2257</v>
      </c>
      <c r="AF417" s="574" t="s">
        <v>2258</v>
      </c>
      <c r="AG417" s="576">
        <v>10717.4</v>
      </c>
      <c r="AH417" s="576">
        <v>0</v>
      </c>
    </row>
    <row r="418" spans="1:34" x14ac:dyDescent="0.25">
      <c r="A418" s="574" t="s">
        <v>2219</v>
      </c>
      <c r="B418" s="574" t="s">
        <v>2220</v>
      </c>
      <c r="C418" s="574" t="s">
        <v>2221</v>
      </c>
      <c r="D418" s="574" t="s">
        <v>2220</v>
      </c>
      <c r="E418" s="574" t="s">
        <v>2222</v>
      </c>
      <c r="F418" s="574" t="s">
        <v>2223</v>
      </c>
      <c r="G418" s="574" t="s">
        <v>2224</v>
      </c>
      <c r="H418" s="574" t="s">
        <v>2225</v>
      </c>
      <c r="I418" s="574" t="s">
        <v>2226</v>
      </c>
      <c r="J418" s="574" t="s">
        <v>2227</v>
      </c>
      <c r="K418" s="574" t="s">
        <v>2228</v>
      </c>
      <c r="L418" s="574" t="s">
        <v>2229</v>
      </c>
      <c r="M418" s="574" t="s">
        <v>2230</v>
      </c>
      <c r="N418" s="574" t="s">
        <v>2231</v>
      </c>
      <c r="O418" s="574" t="s">
        <v>2232</v>
      </c>
      <c r="P418" s="574" t="s">
        <v>2233</v>
      </c>
      <c r="Q418" s="574" t="s">
        <v>2234</v>
      </c>
      <c r="R418" s="574" t="s">
        <v>2225</v>
      </c>
      <c r="S418" s="574" t="s">
        <v>2846</v>
      </c>
      <c r="T418" s="574" t="s">
        <v>2847</v>
      </c>
      <c r="U418" s="574" t="s">
        <v>2862</v>
      </c>
      <c r="V418" s="574" t="s">
        <v>2238</v>
      </c>
      <c r="W418" s="574" t="s">
        <v>2239</v>
      </c>
      <c r="X418" s="574" t="s">
        <v>2514</v>
      </c>
      <c r="Y418" s="575" t="s">
        <v>2507</v>
      </c>
      <c r="Z418" s="575" t="s">
        <v>2507</v>
      </c>
      <c r="AA418" s="574" t="s">
        <v>2248</v>
      </c>
      <c r="AB418" s="574" t="s">
        <v>2249</v>
      </c>
      <c r="AC418" s="574" t="s">
        <v>2253</v>
      </c>
      <c r="AD418" s="574" t="s">
        <v>2254</v>
      </c>
      <c r="AE418" s="574" t="s">
        <v>2259</v>
      </c>
      <c r="AF418" s="574" t="s">
        <v>2260</v>
      </c>
      <c r="AG418" s="576">
        <v>58945.7</v>
      </c>
      <c r="AH418" s="576">
        <v>0</v>
      </c>
    </row>
    <row r="419" spans="1:34" x14ac:dyDescent="0.25">
      <c r="A419" s="574" t="s">
        <v>2219</v>
      </c>
      <c r="B419" s="574" t="s">
        <v>2220</v>
      </c>
      <c r="C419" s="574" t="s">
        <v>2221</v>
      </c>
      <c r="D419" s="574" t="s">
        <v>2220</v>
      </c>
      <c r="E419" s="574" t="s">
        <v>2222</v>
      </c>
      <c r="F419" s="574" t="s">
        <v>2223</v>
      </c>
      <c r="G419" s="574" t="s">
        <v>2224</v>
      </c>
      <c r="H419" s="574" t="s">
        <v>2225</v>
      </c>
      <c r="I419" s="574" t="s">
        <v>2226</v>
      </c>
      <c r="J419" s="574" t="s">
        <v>2227</v>
      </c>
      <c r="K419" s="574" t="s">
        <v>2228</v>
      </c>
      <c r="L419" s="574" t="s">
        <v>2229</v>
      </c>
      <c r="M419" s="574" t="s">
        <v>2230</v>
      </c>
      <c r="N419" s="574" t="s">
        <v>2231</v>
      </c>
      <c r="O419" s="574" t="s">
        <v>2232</v>
      </c>
      <c r="P419" s="574" t="s">
        <v>2233</v>
      </c>
      <c r="Q419" s="574" t="s">
        <v>2234</v>
      </c>
      <c r="R419" s="574" t="s">
        <v>2225</v>
      </c>
      <c r="S419" s="574" t="s">
        <v>2846</v>
      </c>
      <c r="T419" s="574" t="s">
        <v>2847</v>
      </c>
      <c r="U419" s="574" t="s">
        <v>2862</v>
      </c>
      <c r="V419" s="574" t="s">
        <v>2238</v>
      </c>
      <c r="W419" s="574" t="s">
        <v>2239</v>
      </c>
      <c r="X419" s="574" t="s">
        <v>2514</v>
      </c>
      <c r="Y419" s="575" t="s">
        <v>2507</v>
      </c>
      <c r="Z419" s="575" t="s">
        <v>2507</v>
      </c>
      <c r="AA419" s="574" t="s">
        <v>2261</v>
      </c>
      <c r="AB419" s="574" t="s">
        <v>2262</v>
      </c>
      <c r="AC419" s="574" t="s">
        <v>2263</v>
      </c>
      <c r="AD419" s="574" t="s">
        <v>95</v>
      </c>
      <c r="AE419" s="574" t="s">
        <v>2264</v>
      </c>
      <c r="AF419" s="574" t="s">
        <v>95</v>
      </c>
      <c r="AG419" s="576">
        <v>3375307.68</v>
      </c>
      <c r="AH419" s="576">
        <v>0</v>
      </c>
    </row>
    <row r="420" spans="1:34" x14ac:dyDescent="0.25">
      <c r="A420" s="574" t="s">
        <v>2219</v>
      </c>
      <c r="B420" s="574" t="s">
        <v>2220</v>
      </c>
      <c r="C420" s="574" t="s">
        <v>2221</v>
      </c>
      <c r="D420" s="574" t="s">
        <v>2220</v>
      </c>
      <c r="E420" s="574" t="s">
        <v>2222</v>
      </c>
      <c r="F420" s="574" t="s">
        <v>2223</v>
      </c>
      <c r="G420" s="574" t="s">
        <v>2224</v>
      </c>
      <c r="H420" s="574" t="s">
        <v>2225</v>
      </c>
      <c r="I420" s="574" t="s">
        <v>2226</v>
      </c>
      <c r="J420" s="574" t="s">
        <v>2227</v>
      </c>
      <c r="K420" s="574" t="s">
        <v>2228</v>
      </c>
      <c r="L420" s="574" t="s">
        <v>2229</v>
      </c>
      <c r="M420" s="574" t="s">
        <v>2230</v>
      </c>
      <c r="N420" s="574" t="s">
        <v>2231</v>
      </c>
      <c r="O420" s="574" t="s">
        <v>2232</v>
      </c>
      <c r="P420" s="574" t="s">
        <v>2233</v>
      </c>
      <c r="Q420" s="574" t="s">
        <v>2234</v>
      </c>
      <c r="R420" s="574" t="s">
        <v>2225</v>
      </c>
      <c r="S420" s="574" t="s">
        <v>2846</v>
      </c>
      <c r="T420" s="574" t="s">
        <v>2847</v>
      </c>
      <c r="U420" s="574" t="s">
        <v>2862</v>
      </c>
      <c r="V420" s="574" t="s">
        <v>2238</v>
      </c>
      <c r="W420" s="574" t="s">
        <v>2239</v>
      </c>
      <c r="X420" s="574" t="s">
        <v>2514</v>
      </c>
      <c r="Y420" s="575" t="s">
        <v>2507</v>
      </c>
      <c r="Z420" s="575" t="s">
        <v>2507</v>
      </c>
      <c r="AA420" s="574" t="s">
        <v>2261</v>
      </c>
      <c r="AB420" s="574" t="s">
        <v>2262</v>
      </c>
      <c r="AC420" s="574" t="s">
        <v>2265</v>
      </c>
      <c r="AD420" s="574" t="s">
        <v>96</v>
      </c>
      <c r="AE420" s="574" t="s">
        <v>2266</v>
      </c>
      <c r="AF420" s="574" t="s">
        <v>96</v>
      </c>
      <c r="AG420" s="576">
        <v>3380068.77</v>
      </c>
      <c r="AH420" s="576">
        <v>0</v>
      </c>
    </row>
    <row r="421" spans="1:34" x14ac:dyDescent="0.25">
      <c r="A421" s="574" t="s">
        <v>2219</v>
      </c>
      <c r="B421" s="574" t="s">
        <v>2220</v>
      </c>
      <c r="C421" s="574" t="s">
        <v>2221</v>
      </c>
      <c r="D421" s="574" t="s">
        <v>2220</v>
      </c>
      <c r="E421" s="574" t="s">
        <v>2222</v>
      </c>
      <c r="F421" s="574" t="s">
        <v>2223</v>
      </c>
      <c r="G421" s="574" t="s">
        <v>2224</v>
      </c>
      <c r="H421" s="574" t="s">
        <v>2225</v>
      </c>
      <c r="I421" s="574" t="s">
        <v>2226</v>
      </c>
      <c r="J421" s="574" t="s">
        <v>2227</v>
      </c>
      <c r="K421" s="574" t="s">
        <v>2228</v>
      </c>
      <c r="L421" s="574" t="s">
        <v>2229</v>
      </c>
      <c r="M421" s="574" t="s">
        <v>2230</v>
      </c>
      <c r="N421" s="574" t="s">
        <v>2231</v>
      </c>
      <c r="O421" s="574" t="s">
        <v>2232</v>
      </c>
      <c r="P421" s="574" t="s">
        <v>2233</v>
      </c>
      <c r="Q421" s="574" t="s">
        <v>2234</v>
      </c>
      <c r="R421" s="574" t="s">
        <v>2225</v>
      </c>
      <c r="S421" s="574" t="s">
        <v>2846</v>
      </c>
      <c r="T421" s="574" t="s">
        <v>2847</v>
      </c>
      <c r="U421" s="574" t="s">
        <v>2862</v>
      </c>
      <c r="V421" s="574" t="s">
        <v>2238</v>
      </c>
      <c r="W421" s="574" t="s">
        <v>2239</v>
      </c>
      <c r="X421" s="574" t="s">
        <v>2514</v>
      </c>
      <c r="Y421" s="575" t="s">
        <v>2507</v>
      </c>
      <c r="Z421" s="575" t="s">
        <v>2507</v>
      </c>
      <c r="AA421" s="574" t="s">
        <v>2261</v>
      </c>
      <c r="AB421" s="574" t="s">
        <v>2262</v>
      </c>
      <c r="AC421" s="574" t="s">
        <v>2267</v>
      </c>
      <c r="AD421" s="574" t="s">
        <v>97</v>
      </c>
      <c r="AE421" s="574" t="s">
        <v>2268</v>
      </c>
      <c r="AF421" s="574" t="s">
        <v>97</v>
      </c>
      <c r="AG421" s="576">
        <v>570171.89</v>
      </c>
      <c r="AH421" s="576">
        <v>0</v>
      </c>
    </row>
    <row r="422" spans="1:34" x14ac:dyDescent="0.25">
      <c r="A422" s="574" t="s">
        <v>2219</v>
      </c>
      <c r="B422" s="574" t="s">
        <v>2220</v>
      </c>
      <c r="C422" s="574" t="s">
        <v>2221</v>
      </c>
      <c r="D422" s="574" t="s">
        <v>2220</v>
      </c>
      <c r="E422" s="574" t="s">
        <v>2222</v>
      </c>
      <c r="F422" s="574" t="s">
        <v>2223</v>
      </c>
      <c r="G422" s="574" t="s">
        <v>2224</v>
      </c>
      <c r="H422" s="574" t="s">
        <v>2225</v>
      </c>
      <c r="I422" s="574" t="s">
        <v>2226</v>
      </c>
      <c r="J422" s="574" t="s">
        <v>2227</v>
      </c>
      <c r="K422" s="574" t="s">
        <v>2228</v>
      </c>
      <c r="L422" s="574" t="s">
        <v>2229</v>
      </c>
      <c r="M422" s="574" t="s">
        <v>2230</v>
      </c>
      <c r="N422" s="574" t="s">
        <v>2231</v>
      </c>
      <c r="O422" s="574" t="s">
        <v>2232</v>
      </c>
      <c r="P422" s="574" t="s">
        <v>2233</v>
      </c>
      <c r="Q422" s="574" t="s">
        <v>2234</v>
      </c>
      <c r="R422" s="574" t="s">
        <v>2225</v>
      </c>
      <c r="S422" s="574" t="s">
        <v>2846</v>
      </c>
      <c r="T422" s="574" t="s">
        <v>2847</v>
      </c>
      <c r="U422" s="574" t="s">
        <v>2863</v>
      </c>
      <c r="V422" s="574" t="s">
        <v>2238</v>
      </c>
      <c r="W422" s="574" t="s">
        <v>2239</v>
      </c>
      <c r="X422" s="574" t="s">
        <v>2629</v>
      </c>
      <c r="Y422" s="575" t="s">
        <v>2593</v>
      </c>
      <c r="Z422" s="575" t="s">
        <v>2593</v>
      </c>
      <c r="AA422" s="574" t="s">
        <v>2242</v>
      </c>
      <c r="AB422" s="574" t="s">
        <v>2243</v>
      </c>
      <c r="AC422" s="574" t="s">
        <v>2271</v>
      </c>
      <c r="AD422" s="574" t="s">
        <v>181</v>
      </c>
      <c r="AE422" s="574" t="s">
        <v>2272</v>
      </c>
      <c r="AF422" s="574" t="s">
        <v>2273</v>
      </c>
      <c r="AG422" s="576">
        <v>757074.29</v>
      </c>
      <c r="AH422" s="576">
        <v>0</v>
      </c>
    </row>
    <row r="423" spans="1:34" x14ac:dyDescent="0.25">
      <c r="A423" s="574" t="s">
        <v>2219</v>
      </c>
      <c r="B423" s="574" t="s">
        <v>2220</v>
      </c>
      <c r="C423" s="574" t="s">
        <v>2221</v>
      </c>
      <c r="D423" s="574" t="s">
        <v>2220</v>
      </c>
      <c r="E423" s="574" t="s">
        <v>2222</v>
      </c>
      <c r="F423" s="574" t="s">
        <v>2223</v>
      </c>
      <c r="G423" s="574" t="s">
        <v>2224</v>
      </c>
      <c r="H423" s="574" t="s">
        <v>2225</v>
      </c>
      <c r="I423" s="574" t="s">
        <v>2226</v>
      </c>
      <c r="J423" s="574" t="s">
        <v>2227</v>
      </c>
      <c r="K423" s="574" t="s">
        <v>2228</v>
      </c>
      <c r="L423" s="574" t="s">
        <v>2229</v>
      </c>
      <c r="M423" s="574" t="s">
        <v>2230</v>
      </c>
      <c r="N423" s="574" t="s">
        <v>2231</v>
      </c>
      <c r="O423" s="574" t="s">
        <v>2232</v>
      </c>
      <c r="P423" s="574" t="s">
        <v>2233</v>
      </c>
      <c r="Q423" s="574" t="s">
        <v>2234</v>
      </c>
      <c r="R423" s="574" t="s">
        <v>2225</v>
      </c>
      <c r="S423" s="574" t="s">
        <v>2846</v>
      </c>
      <c r="T423" s="574" t="s">
        <v>2847</v>
      </c>
      <c r="U423" s="574" t="s">
        <v>2863</v>
      </c>
      <c r="V423" s="574" t="s">
        <v>2238</v>
      </c>
      <c r="W423" s="574" t="s">
        <v>2239</v>
      </c>
      <c r="X423" s="574" t="s">
        <v>2629</v>
      </c>
      <c r="Y423" s="575" t="s">
        <v>2593</v>
      </c>
      <c r="Z423" s="575" t="s">
        <v>2593</v>
      </c>
      <c r="AA423" s="574" t="s">
        <v>2261</v>
      </c>
      <c r="AB423" s="574" t="s">
        <v>2262</v>
      </c>
      <c r="AC423" s="574" t="s">
        <v>2263</v>
      </c>
      <c r="AD423" s="574" t="s">
        <v>95</v>
      </c>
      <c r="AE423" s="574" t="s">
        <v>2264</v>
      </c>
      <c r="AF423" s="574" t="s">
        <v>95</v>
      </c>
      <c r="AG423" s="576">
        <v>53676.57</v>
      </c>
      <c r="AH423" s="576">
        <v>0</v>
      </c>
    </row>
    <row r="424" spans="1:34" x14ac:dyDescent="0.25">
      <c r="A424" s="574" t="s">
        <v>2219</v>
      </c>
      <c r="B424" s="574" t="s">
        <v>2220</v>
      </c>
      <c r="C424" s="574" t="s">
        <v>2221</v>
      </c>
      <c r="D424" s="574" t="s">
        <v>2220</v>
      </c>
      <c r="E424" s="574" t="s">
        <v>2222</v>
      </c>
      <c r="F424" s="574" t="s">
        <v>2223</v>
      </c>
      <c r="G424" s="574" t="s">
        <v>2224</v>
      </c>
      <c r="H424" s="574" t="s">
        <v>2225</v>
      </c>
      <c r="I424" s="574" t="s">
        <v>2226</v>
      </c>
      <c r="J424" s="574" t="s">
        <v>2227</v>
      </c>
      <c r="K424" s="574" t="s">
        <v>2228</v>
      </c>
      <c r="L424" s="574" t="s">
        <v>2229</v>
      </c>
      <c r="M424" s="574" t="s">
        <v>2230</v>
      </c>
      <c r="N424" s="574" t="s">
        <v>2231</v>
      </c>
      <c r="O424" s="574" t="s">
        <v>2232</v>
      </c>
      <c r="P424" s="574" t="s">
        <v>2233</v>
      </c>
      <c r="Q424" s="574" t="s">
        <v>2234</v>
      </c>
      <c r="R424" s="574" t="s">
        <v>2225</v>
      </c>
      <c r="S424" s="574" t="s">
        <v>2846</v>
      </c>
      <c r="T424" s="574" t="s">
        <v>2847</v>
      </c>
      <c r="U424" s="574" t="s">
        <v>2863</v>
      </c>
      <c r="V424" s="574" t="s">
        <v>2238</v>
      </c>
      <c r="W424" s="574" t="s">
        <v>2239</v>
      </c>
      <c r="X424" s="574" t="s">
        <v>2629</v>
      </c>
      <c r="Y424" s="575" t="s">
        <v>2593</v>
      </c>
      <c r="Z424" s="575" t="s">
        <v>2593</v>
      </c>
      <c r="AA424" s="574" t="s">
        <v>2261</v>
      </c>
      <c r="AB424" s="574" t="s">
        <v>2262</v>
      </c>
      <c r="AC424" s="574" t="s">
        <v>2265</v>
      </c>
      <c r="AD424" s="574" t="s">
        <v>96</v>
      </c>
      <c r="AE424" s="574" t="s">
        <v>2266</v>
      </c>
      <c r="AF424" s="574" t="s">
        <v>96</v>
      </c>
      <c r="AG424" s="576">
        <v>53752.27</v>
      </c>
      <c r="AH424" s="576">
        <v>0</v>
      </c>
    </row>
    <row r="425" spans="1:34" x14ac:dyDescent="0.25">
      <c r="A425" s="574" t="s">
        <v>2219</v>
      </c>
      <c r="B425" s="574" t="s">
        <v>2220</v>
      </c>
      <c r="C425" s="574" t="s">
        <v>2221</v>
      </c>
      <c r="D425" s="574" t="s">
        <v>2220</v>
      </c>
      <c r="E425" s="574" t="s">
        <v>2222</v>
      </c>
      <c r="F425" s="574" t="s">
        <v>2223</v>
      </c>
      <c r="G425" s="574" t="s">
        <v>2224</v>
      </c>
      <c r="H425" s="574" t="s">
        <v>2225</v>
      </c>
      <c r="I425" s="574" t="s">
        <v>2226</v>
      </c>
      <c r="J425" s="574" t="s">
        <v>2227</v>
      </c>
      <c r="K425" s="574" t="s">
        <v>2228</v>
      </c>
      <c r="L425" s="574" t="s">
        <v>2229</v>
      </c>
      <c r="M425" s="574" t="s">
        <v>2230</v>
      </c>
      <c r="N425" s="574" t="s">
        <v>2231</v>
      </c>
      <c r="O425" s="574" t="s">
        <v>2232</v>
      </c>
      <c r="P425" s="574" t="s">
        <v>2233</v>
      </c>
      <c r="Q425" s="574" t="s">
        <v>2234</v>
      </c>
      <c r="R425" s="574" t="s">
        <v>2225</v>
      </c>
      <c r="S425" s="574" t="s">
        <v>2846</v>
      </c>
      <c r="T425" s="574" t="s">
        <v>2847</v>
      </c>
      <c r="U425" s="574" t="s">
        <v>2863</v>
      </c>
      <c r="V425" s="574" t="s">
        <v>2238</v>
      </c>
      <c r="W425" s="574" t="s">
        <v>2239</v>
      </c>
      <c r="X425" s="574" t="s">
        <v>2629</v>
      </c>
      <c r="Y425" s="575" t="s">
        <v>2593</v>
      </c>
      <c r="Z425" s="575" t="s">
        <v>2593</v>
      </c>
      <c r="AA425" s="574" t="s">
        <v>2261</v>
      </c>
      <c r="AB425" s="574" t="s">
        <v>2262</v>
      </c>
      <c r="AC425" s="574" t="s">
        <v>2267</v>
      </c>
      <c r="AD425" s="574" t="s">
        <v>97</v>
      </c>
      <c r="AE425" s="574" t="s">
        <v>2268</v>
      </c>
      <c r="AF425" s="574" t="s">
        <v>97</v>
      </c>
      <c r="AG425" s="576">
        <v>8993.81</v>
      </c>
      <c r="AH425" s="576">
        <v>0</v>
      </c>
    </row>
    <row r="426" spans="1:34" x14ac:dyDescent="0.25">
      <c r="A426" s="574" t="s">
        <v>2219</v>
      </c>
      <c r="B426" s="574" t="s">
        <v>2220</v>
      </c>
      <c r="C426" s="574" t="s">
        <v>2221</v>
      </c>
      <c r="D426" s="574" t="s">
        <v>2220</v>
      </c>
      <c r="E426" s="574" t="s">
        <v>2222</v>
      </c>
      <c r="F426" s="574" t="s">
        <v>2223</v>
      </c>
      <c r="G426" s="574" t="s">
        <v>2224</v>
      </c>
      <c r="H426" s="574" t="s">
        <v>2225</v>
      </c>
      <c r="I426" s="574" t="s">
        <v>2226</v>
      </c>
      <c r="J426" s="574" t="s">
        <v>2227</v>
      </c>
      <c r="K426" s="574" t="s">
        <v>2228</v>
      </c>
      <c r="L426" s="574" t="s">
        <v>2229</v>
      </c>
      <c r="M426" s="574" t="s">
        <v>2230</v>
      </c>
      <c r="N426" s="574" t="s">
        <v>2231</v>
      </c>
      <c r="O426" s="574" t="s">
        <v>2232</v>
      </c>
      <c r="P426" s="574" t="s">
        <v>2233</v>
      </c>
      <c r="Q426" s="574" t="s">
        <v>2234</v>
      </c>
      <c r="R426" s="574" t="s">
        <v>2225</v>
      </c>
      <c r="S426" s="574" t="s">
        <v>2846</v>
      </c>
      <c r="T426" s="574" t="s">
        <v>2847</v>
      </c>
      <c r="U426" s="574" t="s">
        <v>2864</v>
      </c>
      <c r="V426" s="574" t="s">
        <v>2238</v>
      </c>
      <c r="W426" s="574" t="s">
        <v>2239</v>
      </c>
      <c r="X426" s="574" t="s">
        <v>2601</v>
      </c>
      <c r="Y426" s="575" t="s">
        <v>2593</v>
      </c>
      <c r="Z426" s="575" t="s">
        <v>2593</v>
      </c>
      <c r="AA426" s="574" t="s">
        <v>2242</v>
      </c>
      <c r="AB426" s="574" t="s">
        <v>2243</v>
      </c>
      <c r="AC426" s="574" t="s">
        <v>2244</v>
      </c>
      <c r="AD426" s="574" t="s">
        <v>2245</v>
      </c>
      <c r="AE426" s="574" t="s">
        <v>2246</v>
      </c>
      <c r="AF426" s="574" t="s">
        <v>2247</v>
      </c>
      <c r="AG426" s="576">
        <v>47888781.090000004</v>
      </c>
      <c r="AH426" s="576">
        <v>0</v>
      </c>
    </row>
    <row r="427" spans="1:34" x14ac:dyDescent="0.25">
      <c r="A427" s="574" t="s">
        <v>2219</v>
      </c>
      <c r="B427" s="574" t="s">
        <v>2220</v>
      </c>
      <c r="C427" s="574" t="s">
        <v>2221</v>
      </c>
      <c r="D427" s="574" t="s">
        <v>2220</v>
      </c>
      <c r="E427" s="574" t="s">
        <v>2222</v>
      </c>
      <c r="F427" s="574" t="s">
        <v>2223</v>
      </c>
      <c r="G427" s="574" t="s">
        <v>2224</v>
      </c>
      <c r="H427" s="574" t="s">
        <v>2225</v>
      </c>
      <c r="I427" s="574" t="s">
        <v>2226</v>
      </c>
      <c r="J427" s="574" t="s">
        <v>2227</v>
      </c>
      <c r="K427" s="574" t="s">
        <v>2228</v>
      </c>
      <c r="L427" s="574" t="s">
        <v>2229</v>
      </c>
      <c r="M427" s="574" t="s">
        <v>2230</v>
      </c>
      <c r="N427" s="574" t="s">
        <v>2231</v>
      </c>
      <c r="O427" s="574" t="s">
        <v>2232</v>
      </c>
      <c r="P427" s="574" t="s">
        <v>2233</v>
      </c>
      <c r="Q427" s="574" t="s">
        <v>2234</v>
      </c>
      <c r="R427" s="574" t="s">
        <v>2225</v>
      </c>
      <c r="S427" s="574" t="s">
        <v>2846</v>
      </c>
      <c r="T427" s="574" t="s">
        <v>2847</v>
      </c>
      <c r="U427" s="574" t="s">
        <v>2864</v>
      </c>
      <c r="V427" s="574" t="s">
        <v>2238</v>
      </c>
      <c r="W427" s="574" t="s">
        <v>2239</v>
      </c>
      <c r="X427" s="574" t="s">
        <v>2601</v>
      </c>
      <c r="Y427" s="575" t="s">
        <v>2593</v>
      </c>
      <c r="Z427" s="575" t="s">
        <v>2593</v>
      </c>
      <c r="AA427" s="574" t="s">
        <v>2248</v>
      </c>
      <c r="AB427" s="574" t="s">
        <v>2249</v>
      </c>
      <c r="AC427" s="574" t="s">
        <v>2250</v>
      </c>
      <c r="AD427" s="574" t="s">
        <v>2251</v>
      </c>
      <c r="AE427" s="574" t="s">
        <v>2252</v>
      </c>
      <c r="AF427" s="574" t="s">
        <v>2251</v>
      </c>
      <c r="AG427" s="576">
        <v>2391782.42</v>
      </c>
      <c r="AH427" s="576">
        <v>0</v>
      </c>
    </row>
    <row r="428" spans="1:34" x14ac:dyDescent="0.25">
      <c r="A428" s="574" t="s">
        <v>2219</v>
      </c>
      <c r="B428" s="574" t="s">
        <v>2220</v>
      </c>
      <c r="C428" s="574" t="s">
        <v>2221</v>
      </c>
      <c r="D428" s="574" t="s">
        <v>2220</v>
      </c>
      <c r="E428" s="574" t="s">
        <v>2222</v>
      </c>
      <c r="F428" s="574" t="s">
        <v>2223</v>
      </c>
      <c r="G428" s="574" t="s">
        <v>2224</v>
      </c>
      <c r="H428" s="574" t="s">
        <v>2225</v>
      </c>
      <c r="I428" s="574" t="s">
        <v>2226</v>
      </c>
      <c r="J428" s="574" t="s">
        <v>2227</v>
      </c>
      <c r="K428" s="574" t="s">
        <v>2228</v>
      </c>
      <c r="L428" s="574" t="s">
        <v>2229</v>
      </c>
      <c r="M428" s="574" t="s">
        <v>2230</v>
      </c>
      <c r="N428" s="574" t="s">
        <v>2231</v>
      </c>
      <c r="O428" s="574" t="s">
        <v>2232</v>
      </c>
      <c r="P428" s="574" t="s">
        <v>2233</v>
      </c>
      <c r="Q428" s="574" t="s">
        <v>2234</v>
      </c>
      <c r="R428" s="574" t="s">
        <v>2225</v>
      </c>
      <c r="S428" s="574" t="s">
        <v>2846</v>
      </c>
      <c r="T428" s="574" t="s">
        <v>2847</v>
      </c>
      <c r="U428" s="574" t="s">
        <v>2864</v>
      </c>
      <c r="V428" s="574" t="s">
        <v>2238</v>
      </c>
      <c r="W428" s="574" t="s">
        <v>2239</v>
      </c>
      <c r="X428" s="574" t="s">
        <v>2601</v>
      </c>
      <c r="Y428" s="575" t="s">
        <v>2593</v>
      </c>
      <c r="Z428" s="575" t="s">
        <v>2593</v>
      </c>
      <c r="AA428" s="574" t="s">
        <v>2248</v>
      </c>
      <c r="AB428" s="574" t="s">
        <v>2249</v>
      </c>
      <c r="AC428" s="574" t="s">
        <v>2253</v>
      </c>
      <c r="AD428" s="574" t="s">
        <v>2254</v>
      </c>
      <c r="AE428" s="574" t="s">
        <v>2255</v>
      </c>
      <c r="AF428" s="574" t="s">
        <v>2256</v>
      </c>
      <c r="AG428" s="576">
        <v>276200</v>
      </c>
      <c r="AH428" s="576">
        <v>0</v>
      </c>
    </row>
    <row r="429" spans="1:34" x14ac:dyDescent="0.25">
      <c r="A429" s="574" t="s">
        <v>2219</v>
      </c>
      <c r="B429" s="574" t="s">
        <v>2220</v>
      </c>
      <c r="C429" s="574" t="s">
        <v>2221</v>
      </c>
      <c r="D429" s="574" t="s">
        <v>2220</v>
      </c>
      <c r="E429" s="574" t="s">
        <v>2222</v>
      </c>
      <c r="F429" s="574" t="s">
        <v>2223</v>
      </c>
      <c r="G429" s="574" t="s">
        <v>2224</v>
      </c>
      <c r="H429" s="574" t="s">
        <v>2225</v>
      </c>
      <c r="I429" s="574" t="s">
        <v>2226</v>
      </c>
      <c r="J429" s="574" t="s">
        <v>2227</v>
      </c>
      <c r="K429" s="574" t="s">
        <v>2228</v>
      </c>
      <c r="L429" s="574" t="s">
        <v>2229</v>
      </c>
      <c r="M429" s="574" t="s">
        <v>2230</v>
      </c>
      <c r="N429" s="574" t="s">
        <v>2231</v>
      </c>
      <c r="O429" s="574" t="s">
        <v>2232</v>
      </c>
      <c r="P429" s="574" t="s">
        <v>2233</v>
      </c>
      <c r="Q429" s="574" t="s">
        <v>2234</v>
      </c>
      <c r="R429" s="574" t="s">
        <v>2225</v>
      </c>
      <c r="S429" s="574" t="s">
        <v>2846</v>
      </c>
      <c r="T429" s="574" t="s">
        <v>2847</v>
      </c>
      <c r="U429" s="574" t="s">
        <v>2864</v>
      </c>
      <c r="V429" s="574" t="s">
        <v>2238</v>
      </c>
      <c r="W429" s="574" t="s">
        <v>2239</v>
      </c>
      <c r="X429" s="574" t="s">
        <v>2601</v>
      </c>
      <c r="Y429" s="575" t="s">
        <v>2593</v>
      </c>
      <c r="Z429" s="575" t="s">
        <v>2593</v>
      </c>
      <c r="AA429" s="574" t="s">
        <v>2248</v>
      </c>
      <c r="AB429" s="574" t="s">
        <v>2249</v>
      </c>
      <c r="AC429" s="574" t="s">
        <v>2253</v>
      </c>
      <c r="AD429" s="574" t="s">
        <v>2254</v>
      </c>
      <c r="AE429" s="574" t="s">
        <v>2257</v>
      </c>
      <c r="AF429" s="574" t="s">
        <v>2258</v>
      </c>
      <c r="AG429" s="576">
        <v>10717.4</v>
      </c>
      <c r="AH429" s="576">
        <v>0</v>
      </c>
    </row>
    <row r="430" spans="1:34" x14ac:dyDescent="0.25">
      <c r="A430" s="574" t="s">
        <v>2219</v>
      </c>
      <c r="B430" s="574" t="s">
        <v>2220</v>
      </c>
      <c r="C430" s="574" t="s">
        <v>2221</v>
      </c>
      <c r="D430" s="574" t="s">
        <v>2220</v>
      </c>
      <c r="E430" s="574" t="s">
        <v>2222</v>
      </c>
      <c r="F430" s="574" t="s">
        <v>2223</v>
      </c>
      <c r="G430" s="574" t="s">
        <v>2224</v>
      </c>
      <c r="H430" s="574" t="s">
        <v>2225</v>
      </c>
      <c r="I430" s="574" t="s">
        <v>2226</v>
      </c>
      <c r="J430" s="574" t="s">
        <v>2227</v>
      </c>
      <c r="K430" s="574" t="s">
        <v>2228</v>
      </c>
      <c r="L430" s="574" t="s">
        <v>2229</v>
      </c>
      <c r="M430" s="574" t="s">
        <v>2230</v>
      </c>
      <c r="N430" s="574" t="s">
        <v>2231</v>
      </c>
      <c r="O430" s="574" t="s">
        <v>2232</v>
      </c>
      <c r="P430" s="574" t="s">
        <v>2233</v>
      </c>
      <c r="Q430" s="574" t="s">
        <v>2234</v>
      </c>
      <c r="R430" s="574" t="s">
        <v>2225</v>
      </c>
      <c r="S430" s="574" t="s">
        <v>2846</v>
      </c>
      <c r="T430" s="574" t="s">
        <v>2847</v>
      </c>
      <c r="U430" s="574" t="s">
        <v>2864</v>
      </c>
      <c r="V430" s="574" t="s">
        <v>2238</v>
      </c>
      <c r="W430" s="574" t="s">
        <v>2239</v>
      </c>
      <c r="X430" s="574" t="s">
        <v>2601</v>
      </c>
      <c r="Y430" s="575" t="s">
        <v>2593</v>
      </c>
      <c r="Z430" s="575" t="s">
        <v>2593</v>
      </c>
      <c r="AA430" s="574" t="s">
        <v>2248</v>
      </c>
      <c r="AB430" s="574" t="s">
        <v>2249</v>
      </c>
      <c r="AC430" s="574" t="s">
        <v>2253</v>
      </c>
      <c r="AD430" s="574" t="s">
        <v>2254</v>
      </c>
      <c r="AE430" s="574" t="s">
        <v>2259</v>
      </c>
      <c r="AF430" s="574" t="s">
        <v>2260</v>
      </c>
      <c r="AG430" s="576">
        <v>58945.7</v>
      </c>
      <c r="AH430" s="576">
        <v>0</v>
      </c>
    </row>
    <row r="431" spans="1:34" x14ac:dyDescent="0.25">
      <c r="A431" s="574" t="s">
        <v>2219</v>
      </c>
      <c r="B431" s="574" t="s">
        <v>2220</v>
      </c>
      <c r="C431" s="574" t="s">
        <v>2221</v>
      </c>
      <c r="D431" s="574" t="s">
        <v>2220</v>
      </c>
      <c r="E431" s="574" t="s">
        <v>2222</v>
      </c>
      <c r="F431" s="574" t="s">
        <v>2223</v>
      </c>
      <c r="G431" s="574" t="s">
        <v>2224</v>
      </c>
      <c r="H431" s="574" t="s">
        <v>2225</v>
      </c>
      <c r="I431" s="574" t="s">
        <v>2226</v>
      </c>
      <c r="J431" s="574" t="s">
        <v>2227</v>
      </c>
      <c r="K431" s="574" t="s">
        <v>2228</v>
      </c>
      <c r="L431" s="574" t="s">
        <v>2229</v>
      </c>
      <c r="M431" s="574" t="s">
        <v>2230</v>
      </c>
      <c r="N431" s="574" t="s">
        <v>2231</v>
      </c>
      <c r="O431" s="574" t="s">
        <v>2232</v>
      </c>
      <c r="P431" s="574" t="s">
        <v>2233</v>
      </c>
      <c r="Q431" s="574" t="s">
        <v>2234</v>
      </c>
      <c r="R431" s="574" t="s">
        <v>2225</v>
      </c>
      <c r="S431" s="574" t="s">
        <v>2846</v>
      </c>
      <c r="T431" s="574" t="s">
        <v>2847</v>
      </c>
      <c r="U431" s="574" t="s">
        <v>2864</v>
      </c>
      <c r="V431" s="574" t="s">
        <v>2238</v>
      </c>
      <c r="W431" s="574" t="s">
        <v>2239</v>
      </c>
      <c r="X431" s="574" t="s">
        <v>2601</v>
      </c>
      <c r="Y431" s="575" t="s">
        <v>2593</v>
      </c>
      <c r="Z431" s="575" t="s">
        <v>2593</v>
      </c>
      <c r="AA431" s="574" t="s">
        <v>2261</v>
      </c>
      <c r="AB431" s="574" t="s">
        <v>2262</v>
      </c>
      <c r="AC431" s="574" t="s">
        <v>2263</v>
      </c>
      <c r="AD431" s="574" t="s">
        <v>95</v>
      </c>
      <c r="AE431" s="574" t="s">
        <v>2264</v>
      </c>
      <c r="AF431" s="574" t="s">
        <v>95</v>
      </c>
      <c r="AG431" s="576">
        <v>3395313.6</v>
      </c>
      <c r="AH431" s="576">
        <v>0</v>
      </c>
    </row>
    <row r="432" spans="1:34" x14ac:dyDescent="0.25">
      <c r="A432" s="574" t="s">
        <v>2219</v>
      </c>
      <c r="B432" s="574" t="s">
        <v>2220</v>
      </c>
      <c r="C432" s="574" t="s">
        <v>2221</v>
      </c>
      <c r="D432" s="574" t="s">
        <v>2220</v>
      </c>
      <c r="E432" s="574" t="s">
        <v>2222</v>
      </c>
      <c r="F432" s="574" t="s">
        <v>2223</v>
      </c>
      <c r="G432" s="574" t="s">
        <v>2224</v>
      </c>
      <c r="H432" s="574" t="s">
        <v>2225</v>
      </c>
      <c r="I432" s="574" t="s">
        <v>2226</v>
      </c>
      <c r="J432" s="574" t="s">
        <v>2227</v>
      </c>
      <c r="K432" s="574" t="s">
        <v>2228</v>
      </c>
      <c r="L432" s="574" t="s">
        <v>2229</v>
      </c>
      <c r="M432" s="574" t="s">
        <v>2230</v>
      </c>
      <c r="N432" s="574" t="s">
        <v>2231</v>
      </c>
      <c r="O432" s="574" t="s">
        <v>2232</v>
      </c>
      <c r="P432" s="574" t="s">
        <v>2233</v>
      </c>
      <c r="Q432" s="574" t="s">
        <v>2234</v>
      </c>
      <c r="R432" s="574" t="s">
        <v>2225</v>
      </c>
      <c r="S432" s="574" t="s">
        <v>2846</v>
      </c>
      <c r="T432" s="574" t="s">
        <v>2847</v>
      </c>
      <c r="U432" s="574" t="s">
        <v>2864</v>
      </c>
      <c r="V432" s="574" t="s">
        <v>2238</v>
      </c>
      <c r="W432" s="574" t="s">
        <v>2239</v>
      </c>
      <c r="X432" s="574" t="s">
        <v>2601</v>
      </c>
      <c r="Y432" s="575" t="s">
        <v>2593</v>
      </c>
      <c r="Z432" s="575" t="s">
        <v>2593</v>
      </c>
      <c r="AA432" s="574" t="s">
        <v>2261</v>
      </c>
      <c r="AB432" s="574" t="s">
        <v>2262</v>
      </c>
      <c r="AC432" s="574" t="s">
        <v>2265</v>
      </c>
      <c r="AD432" s="574" t="s">
        <v>96</v>
      </c>
      <c r="AE432" s="574" t="s">
        <v>2266</v>
      </c>
      <c r="AF432" s="574" t="s">
        <v>96</v>
      </c>
      <c r="AG432" s="576">
        <v>3400102.9</v>
      </c>
      <c r="AH432" s="576">
        <v>0</v>
      </c>
    </row>
    <row r="433" spans="1:35" x14ac:dyDescent="0.25">
      <c r="A433" s="574" t="s">
        <v>2219</v>
      </c>
      <c r="B433" s="574" t="s">
        <v>2220</v>
      </c>
      <c r="C433" s="574" t="s">
        <v>2221</v>
      </c>
      <c r="D433" s="574" t="s">
        <v>2220</v>
      </c>
      <c r="E433" s="574" t="s">
        <v>2222</v>
      </c>
      <c r="F433" s="574" t="s">
        <v>2223</v>
      </c>
      <c r="G433" s="574" t="s">
        <v>2224</v>
      </c>
      <c r="H433" s="574" t="s">
        <v>2225</v>
      </c>
      <c r="I433" s="574" t="s">
        <v>2226</v>
      </c>
      <c r="J433" s="574" t="s">
        <v>2227</v>
      </c>
      <c r="K433" s="574" t="s">
        <v>2228</v>
      </c>
      <c r="L433" s="574" t="s">
        <v>2229</v>
      </c>
      <c r="M433" s="574" t="s">
        <v>2230</v>
      </c>
      <c r="N433" s="574" t="s">
        <v>2231</v>
      </c>
      <c r="O433" s="574" t="s">
        <v>2232</v>
      </c>
      <c r="P433" s="574" t="s">
        <v>2233</v>
      </c>
      <c r="Q433" s="574" t="s">
        <v>2234</v>
      </c>
      <c r="R433" s="574" t="s">
        <v>2225</v>
      </c>
      <c r="S433" s="574" t="s">
        <v>2846</v>
      </c>
      <c r="T433" s="574" t="s">
        <v>2847</v>
      </c>
      <c r="U433" s="574" t="s">
        <v>2864</v>
      </c>
      <c r="V433" s="574" t="s">
        <v>2238</v>
      </c>
      <c r="W433" s="574" t="s">
        <v>2239</v>
      </c>
      <c r="X433" s="574" t="s">
        <v>2601</v>
      </c>
      <c r="Y433" s="575" t="s">
        <v>2593</v>
      </c>
      <c r="Z433" s="575" t="s">
        <v>2593</v>
      </c>
      <c r="AA433" s="574" t="s">
        <v>2261</v>
      </c>
      <c r="AB433" s="574" t="s">
        <v>2262</v>
      </c>
      <c r="AC433" s="574" t="s">
        <v>2267</v>
      </c>
      <c r="AD433" s="574" t="s">
        <v>97</v>
      </c>
      <c r="AE433" s="574" t="s">
        <v>2268</v>
      </c>
      <c r="AF433" s="574" t="s">
        <v>97</v>
      </c>
      <c r="AG433" s="576">
        <v>573557.93000000005</v>
      </c>
      <c r="AH433" s="576">
        <v>0</v>
      </c>
    </row>
    <row r="434" spans="1:35" x14ac:dyDescent="0.25">
      <c r="A434" s="574" t="s">
        <v>2219</v>
      </c>
      <c r="B434" s="574" t="s">
        <v>2220</v>
      </c>
      <c r="C434" s="574" t="s">
        <v>2221</v>
      </c>
      <c r="D434" s="574" t="s">
        <v>2220</v>
      </c>
      <c r="E434" s="574" t="s">
        <v>2222</v>
      </c>
      <c r="F434" s="574" t="s">
        <v>2223</v>
      </c>
      <c r="G434" s="574" t="s">
        <v>2224</v>
      </c>
      <c r="H434" s="574" t="s">
        <v>2225</v>
      </c>
      <c r="I434" s="574" t="s">
        <v>2226</v>
      </c>
      <c r="J434" s="574" t="s">
        <v>2227</v>
      </c>
      <c r="K434" s="574" t="s">
        <v>2228</v>
      </c>
      <c r="L434" s="574" t="s">
        <v>2229</v>
      </c>
      <c r="M434" s="574" t="s">
        <v>2230</v>
      </c>
      <c r="N434" s="574" t="s">
        <v>2231</v>
      </c>
      <c r="O434" s="574" t="s">
        <v>2232</v>
      </c>
      <c r="P434" s="574" t="s">
        <v>2233</v>
      </c>
      <c r="Q434" s="574" t="s">
        <v>2234</v>
      </c>
      <c r="R434" s="574" t="s">
        <v>2225</v>
      </c>
      <c r="S434" s="574" t="s">
        <v>2846</v>
      </c>
      <c r="T434" s="574" t="s">
        <v>2847</v>
      </c>
      <c r="U434" s="574" t="s">
        <v>2865</v>
      </c>
      <c r="V434" s="574" t="s">
        <v>2238</v>
      </c>
      <c r="W434" s="574" t="s">
        <v>2239</v>
      </c>
      <c r="X434" s="574" t="s">
        <v>2643</v>
      </c>
      <c r="Y434" s="575" t="s">
        <v>2676</v>
      </c>
      <c r="Z434" s="575" t="s">
        <v>2676</v>
      </c>
      <c r="AA434" s="574" t="s">
        <v>2242</v>
      </c>
      <c r="AB434" s="574" t="s">
        <v>2243</v>
      </c>
      <c r="AC434" s="574" t="s">
        <v>2271</v>
      </c>
      <c r="AD434" s="574" t="s">
        <v>181</v>
      </c>
      <c r="AE434" s="574" t="s">
        <v>2272</v>
      </c>
      <c r="AF434" s="574" t="s">
        <v>2273</v>
      </c>
      <c r="AG434" s="576">
        <v>50000</v>
      </c>
      <c r="AH434" s="576">
        <v>0</v>
      </c>
    </row>
    <row r="435" spans="1:35" x14ac:dyDescent="0.25">
      <c r="A435" s="574" t="s">
        <v>2219</v>
      </c>
      <c r="B435" s="574" t="s">
        <v>2220</v>
      </c>
      <c r="C435" s="574" t="s">
        <v>2221</v>
      </c>
      <c r="D435" s="574" t="s">
        <v>2220</v>
      </c>
      <c r="E435" s="574" t="s">
        <v>2222</v>
      </c>
      <c r="F435" s="574" t="s">
        <v>2223</v>
      </c>
      <c r="G435" s="574" t="s">
        <v>2224</v>
      </c>
      <c r="H435" s="574" t="s">
        <v>2225</v>
      </c>
      <c r="I435" s="574" t="s">
        <v>2226</v>
      </c>
      <c r="J435" s="574" t="s">
        <v>2227</v>
      </c>
      <c r="K435" s="574" t="s">
        <v>2228</v>
      </c>
      <c r="L435" s="574" t="s">
        <v>2229</v>
      </c>
      <c r="M435" s="574" t="s">
        <v>2230</v>
      </c>
      <c r="N435" s="574" t="s">
        <v>2231</v>
      </c>
      <c r="O435" s="574" t="s">
        <v>2232</v>
      </c>
      <c r="P435" s="574" t="s">
        <v>2233</v>
      </c>
      <c r="Q435" s="574" t="s">
        <v>2234</v>
      </c>
      <c r="R435" s="574" t="s">
        <v>2225</v>
      </c>
      <c r="S435" s="574" t="s">
        <v>2846</v>
      </c>
      <c r="T435" s="574" t="s">
        <v>2847</v>
      </c>
      <c r="U435" s="574" t="s">
        <v>2865</v>
      </c>
      <c r="V435" s="574" t="s">
        <v>2238</v>
      </c>
      <c r="W435" s="574" t="s">
        <v>2239</v>
      </c>
      <c r="X435" s="574" t="s">
        <v>2643</v>
      </c>
      <c r="Y435" s="575" t="s">
        <v>2676</v>
      </c>
      <c r="Z435" s="575" t="s">
        <v>2676</v>
      </c>
      <c r="AA435" s="574" t="s">
        <v>2261</v>
      </c>
      <c r="AB435" s="574" t="s">
        <v>2262</v>
      </c>
      <c r="AC435" s="574" t="s">
        <v>2263</v>
      </c>
      <c r="AD435" s="574" t="s">
        <v>95</v>
      </c>
      <c r="AE435" s="574" t="s">
        <v>2264</v>
      </c>
      <c r="AF435" s="574" t="s">
        <v>95</v>
      </c>
      <c r="AG435" s="576">
        <v>3545</v>
      </c>
      <c r="AH435" s="576">
        <v>0</v>
      </c>
    </row>
    <row r="436" spans="1:35" x14ac:dyDescent="0.25">
      <c r="A436" s="574" t="s">
        <v>2219</v>
      </c>
      <c r="B436" s="574" t="s">
        <v>2220</v>
      </c>
      <c r="C436" s="574" t="s">
        <v>2221</v>
      </c>
      <c r="D436" s="574" t="s">
        <v>2220</v>
      </c>
      <c r="E436" s="574" t="s">
        <v>2222</v>
      </c>
      <c r="F436" s="574" t="s">
        <v>2223</v>
      </c>
      <c r="G436" s="574" t="s">
        <v>2224</v>
      </c>
      <c r="H436" s="574" t="s">
        <v>2225</v>
      </c>
      <c r="I436" s="574" t="s">
        <v>2226</v>
      </c>
      <c r="J436" s="574" t="s">
        <v>2227</v>
      </c>
      <c r="K436" s="574" t="s">
        <v>2228</v>
      </c>
      <c r="L436" s="574" t="s">
        <v>2229</v>
      </c>
      <c r="M436" s="574" t="s">
        <v>2230</v>
      </c>
      <c r="N436" s="574" t="s">
        <v>2231</v>
      </c>
      <c r="O436" s="574" t="s">
        <v>2232</v>
      </c>
      <c r="P436" s="574" t="s">
        <v>2233</v>
      </c>
      <c r="Q436" s="574" t="s">
        <v>2234</v>
      </c>
      <c r="R436" s="574" t="s">
        <v>2225</v>
      </c>
      <c r="S436" s="574" t="s">
        <v>2846</v>
      </c>
      <c r="T436" s="574" t="s">
        <v>2847</v>
      </c>
      <c r="U436" s="574" t="s">
        <v>2865</v>
      </c>
      <c r="V436" s="574" t="s">
        <v>2238</v>
      </c>
      <c r="W436" s="574" t="s">
        <v>2239</v>
      </c>
      <c r="X436" s="574" t="s">
        <v>2643</v>
      </c>
      <c r="Y436" s="575" t="s">
        <v>2676</v>
      </c>
      <c r="Z436" s="575" t="s">
        <v>2676</v>
      </c>
      <c r="AA436" s="574" t="s">
        <v>2261</v>
      </c>
      <c r="AB436" s="574" t="s">
        <v>2262</v>
      </c>
      <c r="AC436" s="574" t="s">
        <v>2265</v>
      </c>
      <c r="AD436" s="574" t="s">
        <v>96</v>
      </c>
      <c r="AE436" s="574" t="s">
        <v>2266</v>
      </c>
      <c r="AF436" s="574" t="s">
        <v>96</v>
      </c>
      <c r="AG436" s="576">
        <v>3550</v>
      </c>
      <c r="AH436" s="576">
        <v>0</v>
      </c>
    </row>
    <row r="437" spans="1:35" x14ac:dyDescent="0.25">
      <c r="A437" s="574" t="s">
        <v>2219</v>
      </c>
      <c r="B437" s="574" t="s">
        <v>2220</v>
      </c>
      <c r="C437" s="574" t="s">
        <v>2221</v>
      </c>
      <c r="D437" s="574" t="s">
        <v>2220</v>
      </c>
      <c r="E437" s="574" t="s">
        <v>2222</v>
      </c>
      <c r="F437" s="574" t="s">
        <v>2223</v>
      </c>
      <c r="G437" s="574" t="s">
        <v>2224</v>
      </c>
      <c r="H437" s="574" t="s">
        <v>2225</v>
      </c>
      <c r="I437" s="574" t="s">
        <v>2226</v>
      </c>
      <c r="J437" s="574" t="s">
        <v>2227</v>
      </c>
      <c r="K437" s="574" t="s">
        <v>2228</v>
      </c>
      <c r="L437" s="574" t="s">
        <v>2229</v>
      </c>
      <c r="M437" s="574" t="s">
        <v>2230</v>
      </c>
      <c r="N437" s="574" t="s">
        <v>2231</v>
      </c>
      <c r="O437" s="574" t="s">
        <v>2232</v>
      </c>
      <c r="P437" s="574" t="s">
        <v>2233</v>
      </c>
      <c r="Q437" s="574" t="s">
        <v>2234</v>
      </c>
      <c r="R437" s="574" t="s">
        <v>2225</v>
      </c>
      <c r="S437" s="574" t="s">
        <v>2846</v>
      </c>
      <c r="T437" s="574" t="s">
        <v>2847</v>
      </c>
      <c r="U437" s="574" t="s">
        <v>2865</v>
      </c>
      <c r="V437" s="574" t="s">
        <v>2238</v>
      </c>
      <c r="W437" s="574" t="s">
        <v>2239</v>
      </c>
      <c r="X437" s="574" t="s">
        <v>2643</v>
      </c>
      <c r="Y437" s="575" t="s">
        <v>2676</v>
      </c>
      <c r="Z437" s="575" t="s">
        <v>2676</v>
      </c>
      <c r="AA437" s="574" t="s">
        <v>2261</v>
      </c>
      <c r="AB437" s="574" t="s">
        <v>2262</v>
      </c>
      <c r="AC437" s="574" t="s">
        <v>2267</v>
      </c>
      <c r="AD437" s="574" t="s">
        <v>97</v>
      </c>
      <c r="AE437" s="574" t="s">
        <v>2268</v>
      </c>
      <c r="AF437" s="574" t="s">
        <v>97</v>
      </c>
      <c r="AG437" s="576">
        <v>600</v>
      </c>
      <c r="AH437" s="576">
        <v>0</v>
      </c>
    </row>
    <row r="438" spans="1:35" x14ac:dyDescent="0.25">
      <c r="A438" s="574" t="s">
        <v>2219</v>
      </c>
      <c r="B438" s="574" t="s">
        <v>2220</v>
      </c>
      <c r="C438" s="574" t="s">
        <v>2221</v>
      </c>
      <c r="D438" s="574" t="s">
        <v>2220</v>
      </c>
      <c r="E438" s="574" t="s">
        <v>2222</v>
      </c>
      <c r="F438" s="574" t="s">
        <v>2223</v>
      </c>
      <c r="G438" s="574" t="s">
        <v>2224</v>
      </c>
      <c r="H438" s="574" t="s">
        <v>2225</v>
      </c>
      <c r="I438" s="574" t="s">
        <v>2226</v>
      </c>
      <c r="J438" s="574" t="s">
        <v>2227</v>
      </c>
      <c r="K438" s="574" t="s">
        <v>2228</v>
      </c>
      <c r="L438" s="574" t="s">
        <v>2229</v>
      </c>
      <c r="M438" s="574" t="s">
        <v>2230</v>
      </c>
      <c r="N438" s="574" t="s">
        <v>2231</v>
      </c>
      <c r="O438" s="574" t="s">
        <v>2232</v>
      </c>
      <c r="P438" s="574" t="s">
        <v>2233</v>
      </c>
      <c r="Q438" s="574" t="s">
        <v>2234</v>
      </c>
      <c r="R438" s="574" t="s">
        <v>2225</v>
      </c>
      <c r="S438" s="574" t="s">
        <v>2866</v>
      </c>
      <c r="T438" s="574" t="s">
        <v>2867</v>
      </c>
      <c r="U438" s="574" t="s">
        <v>2868</v>
      </c>
      <c r="V438" s="574" t="s">
        <v>2238</v>
      </c>
      <c r="W438" s="574" t="s">
        <v>2239</v>
      </c>
      <c r="X438" s="574" t="s">
        <v>2286</v>
      </c>
      <c r="Y438" s="575" t="s">
        <v>2869</v>
      </c>
      <c r="Z438" s="575" t="s">
        <v>2869</v>
      </c>
      <c r="AA438" s="574" t="s">
        <v>2242</v>
      </c>
      <c r="AB438" s="574" t="s">
        <v>2243</v>
      </c>
      <c r="AC438" s="574" t="s">
        <v>2281</v>
      </c>
      <c r="AD438" s="574" t="s">
        <v>2282</v>
      </c>
      <c r="AE438" s="574" t="s">
        <v>2287</v>
      </c>
      <c r="AF438" s="574" t="s">
        <v>2288</v>
      </c>
      <c r="AG438" s="576">
        <v>347000</v>
      </c>
      <c r="AH438" s="576">
        <v>0</v>
      </c>
    </row>
    <row r="439" spans="1:35" x14ac:dyDescent="0.25">
      <c r="A439" s="574" t="s">
        <v>2219</v>
      </c>
      <c r="B439" s="574" t="s">
        <v>2220</v>
      </c>
      <c r="C439" s="574" t="s">
        <v>2221</v>
      </c>
      <c r="D439" s="574" t="s">
        <v>2220</v>
      </c>
      <c r="E439" s="574" t="s">
        <v>2222</v>
      </c>
      <c r="F439" s="574" t="s">
        <v>2223</v>
      </c>
      <c r="G439" s="574" t="s">
        <v>2224</v>
      </c>
      <c r="H439" s="574" t="s">
        <v>2225</v>
      </c>
      <c r="I439" s="574" t="s">
        <v>2226</v>
      </c>
      <c r="J439" s="574" t="s">
        <v>2227</v>
      </c>
      <c r="K439" s="574" t="s">
        <v>2228</v>
      </c>
      <c r="L439" s="574" t="s">
        <v>2229</v>
      </c>
      <c r="M439" s="574" t="s">
        <v>2230</v>
      </c>
      <c r="N439" s="574" t="s">
        <v>2231</v>
      </c>
      <c r="O439" s="574" t="s">
        <v>2232</v>
      </c>
      <c r="P439" s="574" t="s">
        <v>2233</v>
      </c>
      <c r="Q439" s="574" t="s">
        <v>2234</v>
      </c>
      <c r="R439" s="574" t="s">
        <v>2225</v>
      </c>
      <c r="S439" s="574" t="s">
        <v>2866</v>
      </c>
      <c r="T439" s="574" t="s">
        <v>2867</v>
      </c>
      <c r="U439" s="574" t="s">
        <v>2870</v>
      </c>
      <c r="V439" s="574" t="s">
        <v>2238</v>
      </c>
      <c r="W439" s="574" t="s">
        <v>2239</v>
      </c>
      <c r="X439" s="574" t="s">
        <v>2279</v>
      </c>
      <c r="Y439" s="575" t="s">
        <v>2871</v>
      </c>
      <c r="Z439" s="575" t="s">
        <v>2871</v>
      </c>
      <c r="AA439" s="574" t="s">
        <v>2242</v>
      </c>
      <c r="AB439" s="574" t="s">
        <v>2243</v>
      </c>
      <c r="AC439" s="574" t="s">
        <v>2281</v>
      </c>
      <c r="AD439" s="574" t="s">
        <v>2282</v>
      </c>
      <c r="AE439" s="574" t="s">
        <v>2283</v>
      </c>
      <c r="AF439" s="574" t="s">
        <v>2284</v>
      </c>
      <c r="AG439" s="576">
        <v>156153.53</v>
      </c>
      <c r="AH439" s="576">
        <v>0</v>
      </c>
    </row>
    <row r="440" spans="1:35" x14ac:dyDescent="0.25">
      <c r="A440" s="574" t="s">
        <v>2219</v>
      </c>
      <c r="B440" s="574" t="s">
        <v>2220</v>
      </c>
      <c r="C440" s="574" t="s">
        <v>2221</v>
      </c>
      <c r="D440" s="574" t="s">
        <v>2220</v>
      </c>
      <c r="E440" s="574" t="s">
        <v>2222</v>
      </c>
      <c r="F440" s="574" t="s">
        <v>2223</v>
      </c>
      <c r="G440" s="574" t="s">
        <v>2224</v>
      </c>
      <c r="H440" s="574" t="s">
        <v>2225</v>
      </c>
      <c r="I440" s="574" t="s">
        <v>2226</v>
      </c>
      <c r="J440" s="574" t="s">
        <v>2227</v>
      </c>
      <c r="K440" s="574" t="s">
        <v>2228</v>
      </c>
      <c r="L440" s="574" t="s">
        <v>2229</v>
      </c>
      <c r="M440" s="574" t="s">
        <v>2230</v>
      </c>
      <c r="N440" s="574" t="s">
        <v>2231</v>
      </c>
      <c r="O440" s="574" t="s">
        <v>2232</v>
      </c>
      <c r="P440" s="574" t="s">
        <v>2233</v>
      </c>
      <c r="Q440" s="574" t="s">
        <v>2234</v>
      </c>
      <c r="R440" s="574" t="s">
        <v>2225</v>
      </c>
      <c r="S440" s="574" t="s">
        <v>2866</v>
      </c>
      <c r="T440" s="574" t="s">
        <v>2867</v>
      </c>
      <c r="U440" s="574" t="s">
        <v>2872</v>
      </c>
      <c r="V440" s="574" t="s">
        <v>2238</v>
      </c>
      <c r="W440" s="574" t="s">
        <v>2239</v>
      </c>
      <c r="X440" s="574" t="s">
        <v>2573</v>
      </c>
      <c r="Y440" s="575" t="s">
        <v>2565</v>
      </c>
      <c r="Z440" s="575" t="s">
        <v>2565</v>
      </c>
      <c r="AA440" s="574" t="s">
        <v>2242</v>
      </c>
      <c r="AB440" s="574" t="s">
        <v>2243</v>
      </c>
      <c r="AC440" s="574" t="s">
        <v>2281</v>
      </c>
      <c r="AD440" s="574" t="s">
        <v>2282</v>
      </c>
      <c r="AE440" s="574" t="s">
        <v>2283</v>
      </c>
      <c r="AF440" s="574" t="s">
        <v>2284</v>
      </c>
      <c r="AG440" s="576">
        <v>56650.2</v>
      </c>
      <c r="AH440" s="576">
        <v>0</v>
      </c>
    </row>
    <row r="441" spans="1:35" x14ac:dyDescent="0.25">
      <c r="A441" s="574" t="s">
        <v>2219</v>
      </c>
      <c r="B441" s="574" t="s">
        <v>2220</v>
      </c>
      <c r="C441" s="574" t="s">
        <v>2221</v>
      </c>
      <c r="D441" s="574" t="s">
        <v>2220</v>
      </c>
      <c r="E441" s="574" t="s">
        <v>2222</v>
      </c>
      <c r="F441" s="574" t="s">
        <v>2223</v>
      </c>
      <c r="G441" s="574" t="s">
        <v>2224</v>
      </c>
      <c r="H441" s="574" t="s">
        <v>2225</v>
      </c>
      <c r="I441" s="574" t="s">
        <v>2226</v>
      </c>
      <c r="J441" s="574" t="s">
        <v>2227</v>
      </c>
      <c r="K441" s="574" t="s">
        <v>2228</v>
      </c>
      <c r="L441" s="574" t="s">
        <v>2229</v>
      </c>
      <c r="M441" s="574" t="s">
        <v>2230</v>
      </c>
      <c r="N441" s="574" t="s">
        <v>2231</v>
      </c>
      <c r="O441" s="574" t="s">
        <v>2232</v>
      </c>
      <c r="P441" s="574" t="s">
        <v>2233</v>
      </c>
      <c r="Q441" s="574" t="s">
        <v>2234</v>
      </c>
      <c r="R441" s="574" t="s">
        <v>2225</v>
      </c>
      <c r="S441" s="574" t="s">
        <v>2866</v>
      </c>
      <c r="T441" s="574" t="s">
        <v>2867</v>
      </c>
      <c r="U441" s="574" t="s">
        <v>2873</v>
      </c>
      <c r="V441" s="574" t="s">
        <v>2238</v>
      </c>
      <c r="W441" s="574" t="s">
        <v>2239</v>
      </c>
      <c r="X441" s="574" t="s">
        <v>2570</v>
      </c>
      <c r="Y441" s="575" t="s">
        <v>2565</v>
      </c>
      <c r="Z441" s="575" t="s">
        <v>2565</v>
      </c>
      <c r="AA441" s="574" t="s">
        <v>2242</v>
      </c>
      <c r="AB441" s="574" t="s">
        <v>2243</v>
      </c>
      <c r="AC441" s="574" t="s">
        <v>2281</v>
      </c>
      <c r="AD441" s="574" t="s">
        <v>2282</v>
      </c>
      <c r="AE441" s="574" t="s">
        <v>2287</v>
      </c>
      <c r="AF441" s="574" t="s">
        <v>2288</v>
      </c>
      <c r="AG441" s="576">
        <v>55000</v>
      </c>
      <c r="AH441" s="576">
        <v>0</v>
      </c>
    </row>
    <row r="442" spans="1:35" x14ac:dyDescent="0.25">
      <c r="A442" s="574" t="s">
        <v>2219</v>
      </c>
      <c r="B442" s="574" t="s">
        <v>2220</v>
      </c>
      <c r="C442" s="574" t="s">
        <v>2221</v>
      </c>
      <c r="D442" s="574" t="s">
        <v>2220</v>
      </c>
      <c r="E442" s="574" t="s">
        <v>2222</v>
      </c>
      <c r="F442" s="574" t="s">
        <v>2223</v>
      </c>
      <c r="G442" s="574" t="s">
        <v>2224</v>
      </c>
      <c r="H442" s="574" t="s">
        <v>2225</v>
      </c>
      <c r="I442" s="574" t="s">
        <v>2226</v>
      </c>
      <c r="J442" s="574" t="s">
        <v>2227</v>
      </c>
      <c r="K442" s="574" t="s">
        <v>2228</v>
      </c>
      <c r="L442" s="574" t="s">
        <v>2229</v>
      </c>
      <c r="M442" s="574" t="s">
        <v>2230</v>
      </c>
      <c r="N442" s="574" t="s">
        <v>2231</v>
      </c>
      <c r="O442" s="574" t="s">
        <v>2232</v>
      </c>
      <c r="P442" s="574" t="s">
        <v>2233</v>
      </c>
      <c r="Q442" s="574" t="s">
        <v>2234</v>
      </c>
      <c r="R442" s="574" t="s">
        <v>2225</v>
      </c>
      <c r="S442" s="574" t="s">
        <v>2875</v>
      </c>
      <c r="T442" s="574" t="s">
        <v>2876</v>
      </c>
      <c r="U442" s="574" t="s">
        <v>2877</v>
      </c>
      <c r="V442" s="574" t="s">
        <v>2238</v>
      </c>
      <c r="W442" s="574" t="s">
        <v>2239</v>
      </c>
      <c r="X442" s="574" t="s">
        <v>2336</v>
      </c>
      <c r="Y442" s="575" t="s">
        <v>2650</v>
      </c>
      <c r="Z442" s="575" t="s">
        <v>2650</v>
      </c>
      <c r="AA442" s="574" t="s">
        <v>1695</v>
      </c>
      <c r="AB442" s="574" t="s">
        <v>2337</v>
      </c>
      <c r="AC442" s="574" t="s">
        <v>2338</v>
      </c>
      <c r="AD442" s="574" t="s">
        <v>2339</v>
      </c>
      <c r="AE442" s="574" t="s">
        <v>1436</v>
      </c>
      <c r="AF442" s="574" t="s">
        <v>2339</v>
      </c>
      <c r="AG442" s="576">
        <v>105480</v>
      </c>
      <c r="AH442" s="576">
        <v>0</v>
      </c>
      <c r="AI442"/>
    </row>
    <row r="443" spans="1:35" x14ac:dyDescent="0.25">
      <c r="A443" s="574" t="s">
        <v>2219</v>
      </c>
      <c r="B443" s="574" t="s">
        <v>2220</v>
      </c>
      <c r="C443" s="574" t="s">
        <v>2221</v>
      </c>
      <c r="D443" s="574" t="s">
        <v>2220</v>
      </c>
      <c r="E443" s="574" t="s">
        <v>2222</v>
      </c>
      <c r="F443" s="574" t="s">
        <v>2223</v>
      </c>
      <c r="G443" s="574" t="s">
        <v>2224</v>
      </c>
      <c r="H443" s="574" t="s">
        <v>2225</v>
      </c>
      <c r="I443" s="574" t="s">
        <v>2226</v>
      </c>
      <c r="J443" s="574" t="s">
        <v>2227</v>
      </c>
      <c r="K443" s="574" t="s">
        <v>2228</v>
      </c>
      <c r="L443" s="574" t="s">
        <v>2229</v>
      </c>
      <c r="M443" s="574" t="s">
        <v>2230</v>
      </c>
      <c r="N443" s="574" t="s">
        <v>2231</v>
      </c>
      <c r="O443" s="574" t="s">
        <v>2232</v>
      </c>
      <c r="P443" s="574" t="s">
        <v>2233</v>
      </c>
      <c r="Q443" s="574" t="s">
        <v>2234</v>
      </c>
      <c r="R443" s="574" t="s">
        <v>2225</v>
      </c>
      <c r="S443" s="574" t="s">
        <v>2875</v>
      </c>
      <c r="T443" s="574" t="s">
        <v>2876</v>
      </c>
      <c r="U443" s="574" t="s">
        <v>2878</v>
      </c>
      <c r="V443" s="574" t="s">
        <v>2238</v>
      </c>
      <c r="W443" s="574" t="s">
        <v>2239</v>
      </c>
      <c r="X443" s="574" t="s">
        <v>2313</v>
      </c>
      <c r="Y443" s="575" t="s">
        <v>2650</v>
      </c>
      <c r="Z443" s="575" t="s">
        <v>2650</v>
      </c>
      <c r="AA443" s="574" t="s">
        <v>1694</v>
      </c>
      <c r="AB443" s="574" t="s">
        <v>2314</v>
      </c>
      <c r="AC443" s="574" t="s">
        <v>2315</v>
      </c>
      <c r="AD443" s="574" t="s">
        <v>2316</v>
      </c>
      <c r="AE443" s="574" t="s">
        <v>1470</v>
      </c>
      <c r="AF443" s="574" t="s">
        <v>2316</v>
      </c>
      <c r="AG443" s="576">
        <v>182900</v>
      </c>
      <c r="AH443" s="576">
        <v>0</v>
      </c>
      <c r="AI443"/>
    </row>
    <row r="444" spans="1:35" x14ac:dyDescent="0.25">
      <c r="A444" s="574" t="s">
        <v>2219</v>
      </c>
      <c r="B444" s="574" t="s">
        <v>2220</v>
      </c>
      <c r="C444" s="574" t="s">
        <v>2221</v>
      </c>
      <c r="D444" s="574" t="s">
        <v>2220</v>
      </c>
      <c r="E444" s="574" t="s">
        <v>2222</v>
      </c>
      <c r="F444" s="574" t="s">
        <v>2223</v>
      </c>
      <c r="G444" s="574" t="s">
        <v>2224</v>
      </c>
      <c r="H444" s="574" t="s">
        <v>2225</v>
      </c>
      <c r="I444" s="574" t="s">
        <v>2226</v>
      </c>
      <c r="J444" s="574" t="s">
        <v>2227</v>
      </c>
      <c r="K444" s="574" t="s">
        <v>2228</v>
      </c>
      <c r="L444" s="574" t="s">
        <v>2229</v>
      </c>
      <c r="M444" s="574" t="s">
        <v>2230</v>
      </c>
      <c r="N444" s="574" t="s">
        <v>2231</v>
      </c>
      <c r="O444" s="574" t="s">
        <v>2232</v>
      </c>
      <c r="P444" s="574" t="s">
        <v>2233</v>
      </c>
      <c r="Q444" s="574" t="s">
        <v>2234</v>
      </c>
      <c r="R444" s="574" t="s">
        <v>2225</v>
      </c>
      <c r="S444" s="574" t="s">
        <v>2875</v>
      </c>
      <c r="T444" s="574" t="s">
        <v>2876</v>
      </c>
      <c r="U444" s="574" t="s">
        <v>2879</v>
      </c>
      <c r="V444" s="574" t="s">
        <v>2238</v>
      </c>
      <c r="W444" s="574" t="s">
        <v>2239</v>
      </c>
      <c r="X444" s="574" t="s">
        <v>2651</v>
      </c>
      <c r="Y444" s="575" t="s">
        <v>2650</v>
      </c>
      <c r="Z444" s="575" t="s">
        <v>2650</v>
      </c>
      <c r="AA444" s="574" t="s">
        <v>1693</v>
      </c>
      <c r="AB444" s="574" t="s">
        <v>2319</v>
      </c>
      <c r="AC444" s="574" t="s">
        <v>2652</v>
      </c>
      <c r="AD444" s="574" t="s">
        <v>2653</v>
      </c>
      <c r="AE444" s="574" t="s">
        <v>2654</v>
      </c>
      <c r="AF444" s="574" t="s">
        <v>2655</v>
      </c>
      <c r="AG444" s="576">
        <v>3384.61</v>
      </c>
      <c r="AH444" s="576">
        <v>0</v>
      </c>
      <c r="AI444"/>
    </row>
    <row r="445" spans="1:35" x14ac:dyDescent="0.25">
      <c r="A445" s="574" t="s">
        <v>2219</v>
      </c>
      <c r="B445" s="574" t="s">
        <v>2220</v>
      </c>
      <c r="C445" s="574" t="s">
        <v>2221</v>
      </c>
      <c r="D445" s="574" t="s">
        <v>2220</v>
      </c>
      <c r="E445" s="574" t="s">
        <v>2222</v>
      </c>
      <c r="F445" s="574" t="s">
        <v>2223</v>
      </c>
      <c r="G445" s="574" t="s">
        <v>2224</v>
      </c>
      <c r="H445" s="574" t="s">
        <v>2225</v>
      </c>
      <c r="I445" s="574" t="s">
        <v>2226</v>
      </c>
      <c r="J445" s="574" t="s">
        <v>2227</v>
      </c>
      <c r="K445" s="574" t="s">
        <v>2228</v>
      </c>
      <c r="L445" s="574" t="s">
        <v>2229</v>
      </c>
      <c r="M445" s="574" t="s">
        <v>2230</v>
      </c>
      <c r="N445" s="574" t="s">
        <v>2231</v>
      </c>
      <c r="O445" s="574" t="s">
        <v>2232</v>
      </c>
      <c r="P445" s="574" t="s">
        <v>2233</v>
      </c>
      <c r="Q445" s="574" t="s">
        <v>2234</v>
      </c>
      <c r="R445" s="574" t="s">
        <v>2225</v>
      </c>
      <c r="S445" s="574" t="s">
        <v>2875</v>
      </c>
      <c r="T445" s="574" t="s">
        <v>2876</v>
      </c>
      <c r="U445" s="574" t="s">
        <v>2879</v>
      </c>
      <c r="V445" s="574" t="s">
        <v>2238</v>
      </c>
      <c r="W445" s="574" t="s">
        <v>2239</v>
      </c>
      <c r="X445" s="574" t="s">
        <v>2651</v>
      </c>
      <c r="Y445" s="575" t="s">
        <v>2650</v>
      </c>
      <c r="Z445" s="575" t="s">
        <v>2650</v>
      </c>
      <c r="AA445" s="574" t="s">
        <v>1694</v>
      </c>
      <c r="AB445" s="574" t="s">
        <v>2314</v>
      </c>
      <c r="AC445" s="574" t="s">
        <v>2315</v>
      </c>
      <c r="AD445" s="574" t="s">
        <v>2316</v>
      </c>
      <c r="AE445" s="574" t="s">
        <v>1470</v>
      </c>
      <c r="AF445" s="574" t="s">
        <v>2316</v>
      </c>
      <c r="AG445" s="576">
        <v>137104.73000000001</v>
      </c>
      <c r="AH445" s="576">
        <v>0</v>
      </c>
      <c r="AI445"/>
    </row>
    <row r="446" spans="1:35" x14ac:dyDescent="0.25">
      <c r="A446" s="574" t="s">
        <v>2219</v>
      </c>
      <c r="B446" s="574" t="s">
        <v>2220</v>
      </c>
      <c r="C446" s="574" t="s">
        <v>2221</v>
      </c>
      <c r="D446" s="574" t="s">
        <v>2220</v>
      </c>
      <c r="E446" s="574" t="s">
        <v>2222</v>
      </c>
      <c r="F446" s="574" t="s">
        <v>2223</v>
      </c>
      <c r="G446" s="574" t="s">
        <v>2224</v>
      </c>
      <c r="H446" s="574" t="s">
        <v>2225</v>
      </c>
      <c r="I446" s="574" t="s">
        <v>2226</v>
      </c>
      <c r="J446" s="574" t="s">
        <v>2227</v>
      </c>
      <c r="K446" s="574" t="s">
        <v>2228</v>
      </c>
      <c r="L446" s="574" t="s">
        <v>2229</v>
      </c>
      <c r="M446" s="574" t="s">
        <v>2230</v>
      </c>
      <c r="N446" s="574" t="s">
        <v>2231</v>
      </c>
      <c r="O446" s="574" t="s">
        <v>2232</v>
      </c>
      <c r="P446" s="574" t="s">
        <v>2233</v>
      </c>
      <c r="Q446" s="574" t="s">
        <v>2234</v>
      </c>
      <c r="R446" s="574" t="s">
        <v>2225</v>
      </c>
      <c r="S446" s="574" t="s">
        <v>2875</v>
      </c>
      <c r="T446" s="574" t="s">
        <v>2876</v>
      </c>
      <c r="U446" s="574" t="s">
        <v>2879</v>
      </c>
      <c r="V446" s="574" t="s">
        <v>2238</v>
      </c>
      <c r="W446" s="574" t="s">
        <v>2239</v>
      </c>
      <c r="X446" s="574" t="s">
        <v>2651</v>
      </c>
      <c r="Y446" s="575" t="s">
        <v>2650</v>
      </c>
      <c r="Z446" s="575" t="s">
        <v>2650</v>
      </c>
      <c r="AA446" s="574" t="s">
        <v>2656</v>
      </c>
      <c r="AB446" s="574" t="s">
        <v>2657</v>
      </c>
      <c r="AC446" s="574" t="s">
        <v>2658</v>
      </c>
      <c r="AD446" s="574" t="s">
        <v>2659</v>
      </c>
      <c r="AE446" s="574" t="s">
        <v>2660</v>
      </c>
      <c r="AF446" s="574" t="s">
        <v>2661</v>
      </c>
      <c r="AG446" s="576">
        <v>52307.68</v>
      </c>
      <c r="AH446" s="576">
        <v>0</v>
      </c>
      <c r="AI446"/>
    </row>
    <row r="447" spans="1:35" x14ac:dyDescent="0.25">
      <c r="A447" s="574" t="s">
        <v>2219</v>
      </c>
      <c r="B447" s="574" t="s">
        <v>2220</v>
      </c>
      <c r="C447" s="574" t="s">
        <v>2221</v>
      </c>
      <c r="D447" s="574" t="s">
        <v>2220</v>
      </c>
      <c r="E447" s="574" t="s">
        <v>2222</v>
      </c>
      <c r="F447" s="574" t="s">
        <v>2223</v>
      </c>
      <c r="G447" s="574" t="s">
        <v>2224</v>
      </c>
      <c r="H447" s="574" t="s">
        <v>2225</v>
      </c>
      <c r="I447" s="574" t="s">
        <v>2226</v>
      </c>
      <c r="J447" s="574" t="s">
        <v>2227</v>
      </c>
      <c r="K447" s="574" t="s">
        <v>2228</v>
      </c>
      <c r="L447" s="574" t="s">
        <v>2229</v>
      </c>
      <c r="M447" s="574" t="s">
        <v>2230</v>
      </c>
      <c r="N447" s="574" t="s">
        <v>2231</v>
      </c>
      <c r="O447" s="574" t="s">
        <v>2232</v>
      </c>
      <c r="P447" s="574" t="s">
        <v>2233</v>
      </c>
      <c r="Q447" s="574" t="s">
        <v>2234</v>
      </c>
      <c r="R447" s="574" t="s">
        <v>2225</v>
      </c>
      <c r="S447" s="574" t="s">
        <v>2875</v>
      </c>
      <c r="T447" s="574" t="s">
        <v>2876</v>
      </c>
      <c r="U447" s="574" t="s">
        <v>2879</v>
      </c>
      <c r="V447" s="574" t="s">
        <v>2238</v>
      </c>
      <c r="W447" s="574" t="s">
        <v>2239</v>
      </c>
      <c r="X447" s="574" t="s">
        <v>2651</v>
      </c>
      <c r="Y447" s="575" t="s">
        <v>2650</v>
      </c>
      <c r="Z447" s="575" t="s">
        <v>2662</v>
      </c>
      <c r="AA447" s="574" t="s">
        <v>1693</v>
      </c>
      <c r="AB447" s="574" t="s">
        <v>2319</v>
      </c>
      <c r="AC447" s="574" t="s">
        <v>2652</v>
      </c>
      <c r="AD447" s="574" t="s">
        <v>2653</v>
      </c>
      <c r="AE447" s="574" t="s">
        <v>2654</v>
      </c>
      <c r="AF447" s="574" t="s">
        <v>2655</v>
      </c>
      <c r="AG447" s="576">
        <v>-3384.61</v>
      </c>
      <c r="AH447" s="576">
        <v>0</v>
      </c>
      <c r="AI447"/>
    </row>
    <row r="448" spans="1:35" x14ac:dyDescent="0.25">
      <c r="A448" s="574" t="s">
        <v>2219</v>
      </c>
      <c r="B448" s="574" t="s">
        <v>2220</v>
      </c>
      <c r="C448" s="574" t="s">
        <v>2221</v>
      </c>
      <c r="D448" s="574" t="s">
        <v>2220</v>
      </c>
      <c r="E448" s="574" t="s">
        <v>2222</v>
      </c>
      <c r="F448" s="574" t="s">
        <v>2223</v>
      </c>
      <c r="G448" s="574" t="s">
        <v>2224</v>
      </c>
      <c r="H448" s="574" t="s">
        <v>2225</v>
      </c>
      <c r="I448" s="574" t="s">
        <v>2226</v>
      </c>
      <c r="J448" s="574" t="s">
        <v>2227</v>
      </c>
      <c r="K448" s="574" t="s">
        <v>2228</v>
      </c>
      <c r="L448" s="574" t="s">
        <v>2229</v>
      </c>
      <c r="M448" s="574" t="s">
        <v>2230</v>
      </c>
      <c r="N448" s="574" t="s">
        <v>2231</v>
      </c>
      <c r="O448" s="574" t="s">
        <v>2232</v>
      </c>
      <c r="P448" s="574" t="s">
        <v>2233</v>
      </c>
      <c r="Q448" s="574" t="s">
        <v>2234</v>
      </c>
      <c r="R448" s="574" t="s">
        <v>2225</v>
      </c>
      <c r="S448" s="574" t="s">
        <v>2875</v>
      </c>
      <c r="T448" s="574" t="s">
        <v>2876</v>
      </c>
      <c r="U448" s="574" t="s">
        <v>2879</v>
      </c>
      <c r="V448" s="574" t="s">
        <v>2238</v>
      </c>
      <c r="W448" s="574" t="s">
        <v>2239</v>
      </c>
      <c r="X448" s="574" t="s">
        <v>2651</v>
      </c>
      <c r="Y448" s="575" t="s">
        <v>2650</v>
      </c>
      <c r="Z448" s="575" t="s">
        <v>2662</v>
      </c>
      <c r="AA448" s="574" t="s">
        <v>1694</v>
      </c>
      <c r="AB448" s="574" t="s">
        <v>2314</v>
      </c>
      <c r="AC448" s="574" t="s">
        <v>2315</v>
      </c>
      <c r="AD448" s="574" t="s">
        <v>2316</v>
      </c>
      <c r="AE448" s="574" t="s">
        <v>1470</v>
      </c>
      <c r="AF448" s="574" t="s">
        <v>2316</v>
      </c>
      <c r="AG448" s="576">
        <v>-137104.73000000001</v>
      </c>
      <c r="AH448" s="576">
        <v>0</v>
      </c>
      <c r="AI448"/>
    </row>
    <row r="449" spans="1:34" customFormat="1" x14ac:dyDescent="0.25">
      <c r="A449" s="574" t="s">
        <v>2219</v>
      </c>
      <c r="B449" s="574" t="s">
        <v>2220</v>
      </c>
      <c r="C449" s="574" t="s">
        <v>2221</v>
      </c>
      <c r="D449" s="574" t="s">
        <v>2220</v>
      </c>
      <c r="E449" s="574" t="s">
        <v>2222</v>
      </c>
      <c r="F449" s="574" t="s">
        <v>2223</v>
      </c>
      <c r="G449" s="574" t="s">
        <v>2224</v>
      </c>
      <c r="H449" s="574" t="s">
        <v>2225</v>
      </c>
      <c r="I449" s="574" t="s">
        <v>2226</v>
      </c>
      <c r="J449" s="574" t="s">
        <v>2227</v>
      </c>
      <c r="K449" s="574" t="s">
        <v>2228</v>
      </c>
      <c r="L449" s="574" t="s">
        <v>2229</v>
      </c>
      <c r="M449" s="574" t="s">
        <v>2230</v>
      </c>
      <c r="N449" s="574" t="s">
        <v>2231</v>
      </c>
      <c r="O449" s="574" t="s">
        <v>2232</v>
      </c>
      <c r="P449" s="574" t="s">
        <v>2233</v>
      </c>
      <c r="Q449" s="574" t="s">
        <v>2234</v>
      </c>
      <c r="R449" s="574" t="s">
        <v>2225</v>
      </c>
      <c r="S449" s="574" t="s">
        <v>2875</v>
      </c>
      <c r="T449" s="574" t="s">
        <v>2876</v>
      </c>
      <c r="U449" s="574" t="s">
        <v>2879</v>
      </c>
      <c r="V449" s="574" t="s">
        <v>2238</v>
      </c>
      <c r="W449" s="574" t="s">
        <v>2239</v>
      </c>
      <c r="X449" s="574" t="s">
        <v>2651</v>
      </c>
      <c r="Y449" s="575" t="s">
        <v>2650</v>
      </c>
      <c r="Z449" s="575" t="s">
        <v>2662</v>
      </c>
      <c r="AA449" s="574" t="s">
        <v>2656</v>
      </c>
      <c r="AB449" s="574" t="s">
        <v>2657</v>
      </c>
      <c r="AC449" s="574" t="s">
        <v>2658</v>
      </c>
      <c r="AD449" s="574" t="s">
        <v>2659</v>
      </c>
      <c r="AE449" s="574" t="s">
        <v>2660</v>
      </c>
      <c r="AF449" s="574" t="s">
        <v>2661</v>
      </c>
      <c r="AG449" s="576">
        <v>-52307.68</v>
      </c>
      <c r="AH449" s="576">
        <v>0</v>
      </c>
    </row>
    <row r="450" spans="1:34" customFormat="1" x14ac:dyDescent="0.25">
      <c r="A450" s="574" t="s">
        <v>2219</v>
      </c>
      <c r="B450" s="574" t="s">
        <v>2220</v>
      </c>
      <c r="C450" s="574" t="s">
        <v>2221</v>
      </c>
      <c r="D450" s="574" t="s">
        <v>2220</v>
      </c>
      <c r="E450" s="574" t="s">
        <v>2222</v>
      </c>
      <c r="F450" s="574" t="s">
        <v>2223</v>
      </c>
      <c r="G450" s="574" t="s">
        <v>2224</v>
      </c>
      <c r="H450" s="574" t="s">
        <v>2225</v>
      </c>
      <c r="I450" s="574" t="s">
        <v>2226</v>
      </c>
      <c r="J450" s="574" t="s">
        <v>2227</v>
      </c>
      <c r="K450" s="574" t="s">
        <v>2228</v>
      </c>
      <c r="L450" s="574" t="s">
        <v>2229</v>
      </c>
      <c r="M450" s="574" t="s">
        <v>2230</v>
      </c>
      <c r="N450" s="574" t="s">
        <v>2231</v>
      </c>
      <c r="O450" s="574" t="s">
        <v>2232</v>
      </c>
      <c r="P450" s="574" t="s">
        <v>2233</v>
      </c>
      <c r="Q450" s="574" t="s">
        <v>2234</v>
      </c>
      <c r="R450" s="574" t="s">
        <v>2225</v>
      </c>
      <c r="S450" s="574" t="s">
        <v>2875</v>
      </c>
      <c r="T450" s="574" t="s">
        <v>2876</v>
      </c>
      <c r="U450" s="574" t="s">
        <v>2880</v>
      </c>
      <c r="V450" s="574" t="s">
        <v>2238</v>
      </c>
      <c r="W450" s="574" t="s">
        <v>2239</v>
      </c>
      <c r="X450" s="574" t="s">
        <v>2417</v>
      </c>
      <c r="Y450" s="575" t="s">
        <v>2291</v>
      </c>
      <c r="Z450" s="575" t="s">
        <v>2291</v>
      </c>
      <c r="AA450" s="574" t="s">
        <v>1694</v>
      </c>
      <c r="AB450" s="574" t="s">
        <v>2314</v>
      </c>
      <c r="AC450" s="574" t="s">
        <v>2315</v>
      </c>
      <c r="AD450" s="574" t="s">
        <v>2316</v>
      </c>
      <c r="AE450" s="574" t="s">
        <v>1470</v>
      </c>
      <c r="AF450" s="574" t="s">
        <v>2316</v>
      </c>
      <c r="AG450" s="576">
        <v>461911</v>
      </c>
      <c r="AH450" s="576">
        <v>0</v>
      </c>
    </row>
    <row r="451" spans="1:34" customFormat="1" x14ac:dyDescent="0.25">
      <c r="A451" s="574" t="s">
        <v>2219</v>
      </c>
      <c r="B451" s="574" t="s">
        <v>2220</v>
      </c>
      <c r="C451" s="574" t="s">
        <v>2221</v>
      </c>
      <c r="D451" s="574" t="s">
        <v>2220</v>
      </c>
      <c r="E451" s="574" t="s">
        <v>2222</v>
      </c>
      <c r="F451" s="574" t="s">
        <v>2223</v>
      </c>
      <c r="G451" s="574" t="s">
        <v>2224</v>
      </c>
      <c r="H451" s="574" t="s">
        <v>2225</v>
      </c>
      <c r="I451" s="574" t="s">
        <v>2226</v>
      </c>
      <c r="J451" s="574" t="s">
        <v>2227</v>
      </c>
      <c r="K451" s="574" t="s">
        <v>2228</v>
      </c>
      <c r="L451" s="574" t="s">
        <v>2229</v>
      </c>
      <c r="M451" s="574" t="s">
        <v>2230</v>
      </c>
      <c r="N451" s="574" t="s">
        <v>2231</v>
      </c>
      <c r="O451" s="574" t="s">
        <v>2232</v>
      </c>
      <c r="P451" s="574" t="s">
        <v>2233</v>
      </c>
      <c r="Q451" s="574" t="s">
        <v>2234</v>
      </c>
      <c r="R451" s="574" t="s">
        <v>2225</v>
      </c>
      <c r="S451" s="574" t="s">
        <v>2875</v>
      </c>
      <c r="T451" s="574" t="s">
        <v>2876</v>
      </c>
      <c r="U451" s="574" t="s">
        <v>2880</v>
      </c>
      <c r="V451" s="574" t="s">
        <v>2238</v>
      </c>
      <c r="W451" s="574" t="s">
        <v>2239</v>
      </c>
      <c r="X451" s="574" t="s">
        <v>2417</v>
      </c>
      <c r="Y451" s="575" t="s">
        <v>2291</v>
      </c>
      <c r="Z451" s="575" t="s">
        <v>2291</v>
      </c>
      <c r="AA451" s="574" t="s">
        <v>1694</v>
      </c>
      <c r="AB451" s="574" t="s">
        <v>2314</v>
      </c>
      <c r="AC451" s="574" t="s">
        <v>2418</v>
      </c>
      <c r="AD451" s="574" t="s">
        <v>2419</v>
      </c>
      <c r="AE451" s="574" t="s">
        <v>2420</v>
      </c>
      <c r="AF451" s="574" t="s">
        <v>2421</v>
      </c>
      <c r="AG451" s="576">
        <v>102070</v>
      </c>
      <c r="AH451" s="576">
        <v>0</v>
      </c>
    </row>
    <row r="452" spans="1:34" customFormat="1" x14ac:dyDescent="0.25">
      <c r="A452" s="574" t="s">
        <v>2219</v>
      </c>
      <c r="B452" s="574" t="s">
        <v>2220</v>
      </c>
      <c r="C452" s="574" t="s">
        <v>2221</v>
      </c>
      <c r="D452" s="574" t="s">
        <v>2220</v>
      </c>
      <c r="E452" s="574" t="s">
        <v>2222</v>
      </c>
      <c r="F452" s="574" t="s">
        <v>2223</v>
      </c>
      <c r="G452" s="574" t="s">
        <v>2224</v>
      </c>
      <c r="H452" s="574" t="s">
        <v>2225</v>
      </c>
      <c r="I452" s="574" t="s">
        <v>2226</v>
      </c>
      <c r="J452" s="574" t="s">
        <v>2227</v>
      </c>
      <c r="K452" s="574" t="s">
        <v>2228</v>
      </c>
      <c r="L452" s="574" t="s">
        <v>2229</v>
      </c>
      <c r="M452" s="574" t="s">
        <v>2230</v>
      </c>
      <c r="N452" s="574" t="s">
        <v>2231</v>
      </c>
      <c r="O452" s="574" t="s">
        <v>2232</v>
      </c>
      <c r="P452" s="574" t="s">
        <v>2233</v>
      </c>
      <c r="Q452" s="574" t="s">
        <v>2234</v>
      </c>
      <c r="R452" s="574" t="s">
        <v>2225</v>
      </c>
      <c r="S452" s="574" t="s">
        <v>2875</v>
      </c>
      <c r="T452" s="574" t="s">
        <v>2876</v>
      </c>
      <c r="U452" s="574" t="s">
        <v>2881</v>
      </c>
      <c r="V452" s="574" t="s">
        <v>2238</v>
      </c>
      <c r="W452" s="574" t="s">
        <v>2239</v>
      </c>
      <c r="X452" s="574" t="s">
        <v>2378</v>
      </c>
      <c r="Y452" s="575" t="s">
        <v>2663</v>
      </c>
      <c r="Z452" s="575" t="s">
        <v>2663</v>
      </c>
      <c r="AA452" s="574" t="s">
        <v>1694</v>
      </c>
      <c r="AB452" s="574" t="s">
        <v>2314</v>
      </c>
      <c r="AC452" s="574" t="s">
        <v>2315</v>
      </c>
      <c r="AD452" s="574" t="s">
        <v>2316</v>
      </c>
      <c r="AE452" s="574" t="s">
        <v>1470</v>
      </c>
      <c r="AF452" s="574" t="s">
        <v>2316</v>
      </c>
      <c r="AG452" s="576">
        <v>632940.19999999995</v>
      </c>
      <c r="AH452" s="576">
        <v>0</v>
      </c>
    </row>
    <row r="453" spans="1:34" customFormat="1" x14ac:dyDescent="0.25">
      <c r="A453" s="574" t="s">
        <v>2219</v>
      </c>
      <c r="B453" s="574" t="s">
        <v>2220</v>
      </c>
      <c r="C453" s="574" t="s">
        <v>2221</v>
      </c>
      <c r="D453" s="574" t="s">
        <v>2220</v>
      </c>
      <c r="E453" s="574" t="s">
        <v>2222</v>
      </c>
      <c r="F453" s="574" t="s">
        <v>2223</v>
      </c>
      <c r="G453" s="574" t="s">
        <v>2224</v>
      </c>
      <c r="H453" s="574" t="s">
        <v>2225</v>
      </c>
      <c r="I453" s="574" t="s">
        <v>2226</v>
      </c>
      <c r="J453" s="574" t="s">
        <v>2227</v>
      </c>
      <c r="K453" s="574" t="s">
        <v>2228</v>
      </c>
      <c r="L453" s="574" t="s">
        <v>2229</v>
      </c>
      <c r="M453" s="574" t="s">
        <v>2230</v>
      </c>
      <c r="N453" s="574" t="s">
        <v>2231</v>
      </c>
      <c r="O453" s="574" t="s">
        <v>2232</v>
      </c>
      <c r="P453" s="574" t="s">
        <v>2233</v>
      </c>
      <c r="Q453" s="574" t="s">
        <v>2234</v>
      </c>
      <c r="R453" s="574" t="s">
        <v>2225</v>
      </c>
      <c r="S453" s="574" t="s">
        <v>2875</v>
      </c>
      <c r="T453" s="574" t="s">
        <v>2876</v>
      </c>
      <c r="U453" s="574" t="s">
        <v>2882</v>
      </c>
      <c r="V453" s="574" t="s">
        <v>2238</v>
      </c>
      <c r="W453" s="574" t="s">
        <v>2239</v>
      </c>
      <c r="X453" s="574" t="s">
        <v>2397</v>
      </c>
      <c r="Y453" s="575" t="s">
        <v>2296</v>
      </c>
      <c r="Z453" s="575" t="s">
        <v>2296</v>
      </c>
      <c r="AA453" s="574" t="s">
        <v>1694</v>
      </c>
      <c r="AB453" s="574" t="s">
        <v>2314</v>
      </c>
      <c r="AC453" s="574" t="s">
        <v>2398</v>
      </c>
      <c r="AD453" s="574" t="s">
        <v>2399</v>
      </c>
      <c r="AE453" s="574" t="s">
        <v>1431</v>
      </c>
      <c r="AF453" s="574" t="s">
        <v>2399</v>
      </c>
      <c r="AG453" s="576">
        <v>61950</v>
      </c>
      <c r="AH453" s="576">
        <v>0</v>
      </c>
    </row>
    <row r="454" spans="1:34" customFormat="1" x14ac:dyDescent="0.25">
      <c r="A454" s="574" t="s">
        <v>2219</v>
      </c>
      <c r="B454" s="574" t="s">
        <v>2220</v>
      </c>
      <c r="C454" s="574" t="s">
        <v>2221</v>
      </c>
      <c r="D454" s="574" t="s">
        <v>2220</v>
      </c>
      <c r="E454" s="574" t="s">
        <v>2222</v>
      </c>
      <c r="F454" s="574" t="s">
        <v>2223</v>
      </c>
      <c r="G454" s="574" t="s">
        <v>2224</v>
      </c>
      <c r="H454" s="574" t="s">
        <v>2225</v>
      </c>
      <c r="I454" s="574" t="s">
        <v>2226</v>
      </c>
      <c r="J454" s="574" t="s">
        <v>2227</v>
      </c>
      <c r="K454" s="574" t="s">
        <v>2228</v>
      </c>
      <c r="L454" s="574" t="s">
        <v>2229</v>
      </c>
      <c r="M454" s="574" t="s">
        <v>2230</v>
      </c>
      <c r="N454" s="574" t="s">
        <v>2231</v>
      </c>
      <c r="O454" s="574" t="s">
        <v>2232</v>
      </c>
      <c r="P454" s="574" t="s">
        <v>2233</v>
      </c>
      <c r="Q454" s="574" t="s">
        <v>2234</v>
      </c>
      <c r="R454" s="574" t="s">
        <v>2225</v>
      </c>
      <c r="S454" s="574" t="s">
        <v>2875</v>
      </c>
      <c r="T454" s="574" t="s">
        <v>2876</v>
      </c>
      <c r="U454" s="574" t="s">
        <v>2883</v>
      </c>
      <c r="V454" s="574" t="s">
        <v>2238</v>
      </c>
      <c r="W454" s="574" t="s">
        <v>2239</v>
      </c>
      <c r="X454" s="574" t="s">
        <v>2441</v>
      </c>
      <c r="Y454" s="575" t="s">
        <v>2296</v>
      </c>
      <c r="Z454" s="575" t="s">
        <v>2296</v>
      </c>
      <c r="AA454" s="574" t="s">
        <v>1695</v>
      </c>
      <c r="AB454" s="574" t="s">
        <v>2337</v>
      </c>
      <c r="AC454" s="574" t="s">
        <v>2338</v>
      </c>
      <c r="AD454" s="574" t="s">
        <v>2339</v>
      </c>
      <c r="AE454" s="574" t="s">
        <v>1436</v>
      </c>
      <c r="AF454" s="574" t="s">
        <v>2339</v>
      </c>
      <c r="AG454" s="576">
        <v>1176714.4099999999</v>
      </c>
      <c r="AH454" s="576">
        <v>0</v>
      </c>
    </row>
    <row r="455" spans="1:34" customFormat="1" x14ac:dyDescent="0.25">
      <c r="A455" s="574" t="s">
        <v>2219</v>
      </c>
      <c r="B455" s="574" t="s">
        <v>2220</v>
      </c>
      <c r="C455" s="574" t="s">
        <v>2221</v>
      </c>
      <c r="D455" s="574" t="s">
        <v>2220</v>
      </c>
      <c r="E455" s="574" t="s">
        <v>2222</v>
      </c>
      <c r="F455" s="574" t="s">
        <v>2223</v>
      </c>
      <c r="G455" s="574" t="s">
        <v>2224</v>
      </c>
      <c r="H455" s="574" t="s">
        <v>2225</v>
      </c>
      <c r="I455" s="574" t="s">
        <v>2226</v>
      </c>
      <c r="J455" s="574" t="s">
        <v>2227</v>
      </c>
      <c r="K455" s="574" t="s">
        <v>2228</v>
      </c>
      <c r="L455" s="574" t="s">
        <v>2229</v>
      </c>
      <c r="M455" s="574" t="s">
        <v>2230</v>
      </c>
      <c r="N455" s="574" t="s">
        <v>2231</v>
      </c>
      <c r="O455" s="574" t="s">
        <v>2232</v>
      </c>
      <c r="P455" s="574" t="s">
        <v>2233</v>
      </c>
      <c r="Q455" s="574" t="s">
        <v>2234</v>
      </c>
      <c r="R455" s="574" t="s">
        <v>2225</v>
      </c>
      <c r="S455" s="574" t="s">
        <v>2875</v>
      </c>
      <c r="T455" s="574" t="s">
        <v>2876</v>
      </c>
      <c r="U455" s="574" t="s">
        <v>2884</v>
      </c>
      <c r="V455" s="574" t="s">
        <v>2238</v>
      </c>
      <c r="W455" s="574" t="s">
        <v>2239</v>
      </c>
      <c r="X455" s="574" t="s">
        <v>2384</v>
      </c>
      <c r="Y455" s="575" t="s">
        <v>2296</v>
      </c>
      <c r="Z455" s="575" t="s">
        <v>2296</v>
      </c>
      <c r="AA455" s="574" t="s">
        <v>1694</v>
      </c>
      <c r="AB455" s="574" t="s">
        <v>2314</v>
      </c>
      <c r="AC455" s="574" t="s">
        <v>2385</v>
      </c>
      <c r="AD455" s="574" t="s">
        <v>2386</v>
      </c>
      <c r="AE455" s="574" t="s">
        <v>2387</v>
      </c>
      <c r="AF455" s="574" t="s">
        <v>2386</v>
      </c>
      <c r="AG455" s="576">
        <v>219008</v>
      </c>
      <c r="AH455" s="576">
        <v>0</v>
      </c>
    </row>
    <row r="456" spans="1:34" customFormat="1" x14ac:dyDescent="0.25">
      <c r="A456" s="574" t="s">
        <v>2219</v>
      </c>
      <c r="B456" s="574" t="s">
        <v>2220</v>
      </c>
      <c r="C456" s="574" t="s">
        <v>2221</v>
      </c>
      <c r="D456" s="574" t="s">
        <v>2220</v>
      </c>
      <c r="E456" s="574" t="s">
        <v>2222</v>
      </c>
      <c r="F456" s="574" t="s">
        <v>2223</v>
      </c>
      <c r="G456" s="574" t="s">
        <v>2224</v>
      </c>
      <c r="H456" s="574" t="s">
        <v>2225</v>
      </c>
      <c r="I456" s="574" t="s">
        <v>2226</v>
      </c>
      <c r="J456" s="574" t="s">
        <v>2227</v>
      </c>
      <c r="K456" s="574" t="s">
        <v>2228</v>
      </c>
      <c r="L456" s="574" t="s">
        <v>2229</v>
      </c>
      <c r="M456" s="574" t="s">
        <v>2230</v>
      </c>
      <c r="N456" s="574" t="s">
        <v>2231</v>
      </c>
      <c r="O456" s="574" t="s">
        <v>2232</v>
      </c>
      <c r="P456" s="574" t="s">
        <v>2233</v>
      </c>
      <c r="Q456" s="574" t="s">
        <v>2234</v>
      </c>
      <c r="R456" s="574" t="s">
        <v>2225</v>
      </c>
      <c r="S456" s="574" t="s">
        <v>2875</v>
      </c>
      <c r="T456" s="574" t="s">
        <v>2876</v>
      </c>
      <c r="U456" s="574" t="s">
        <v>2885</v>
      </c>
      <c r="V456" s="574" t="s">
        <v>2238</v>
      </c>
      <c r="W456" s="574" t="s">
        <v>2239</v>
      </c>
      <c r="X456" s="574" t="s">
        <v>2445</v>
      </c>
      <c r="Y456" s="575" t="s">
        <v>2649</v>
      </c>
      <c r="Z456" s="575" t="s">
        <v>2649</v>
      </c>
      <c r="AA456" s="574" t="s">
        <v>1695</v>
      </c>
      <c r="AB456" s="574" t="s">
        <v>2337</v>
      </c>
      <c r="AC456" s="574" t="s">
        <v>2338</v>
      </c>
      <c r="AD456" s="574" t="s">
        <v>2339</v>
      </c>
      <c r="AE456" s="574" t="s">
        <v>1436</v>
      </c>
      <c r="AF456" s="574" t="s">
        <v>2339</v>
      </c>
      <c r="AG456" s="576">
        <v>1230928.8</v>
      </c>
      <c r="AH456" s="576">
        <v>0</v>
      </c>
    </row>
    <row r="457" spans="1:34" customFormat="1" x14ac:dyDescent="0.25">
      <c r="A457" s="574" t="s">
        <v>2219</v>
      </c>
      <c r="B457" s="574" t="s">
        <v>2220</v>
      </c>
      <c r="C457" s="574" t="s">
        <v>2221</v>
      </c>
      <c r="D457" s="574" t="s">
        <v>2220</v>
      </c>
      <c r="E457" s="574" t="s">
        <v>2222</v>
      </c>
      <c r="F457" s="574" t="s">
        <v>2223</v>
      </c>
      <c r="G457" s="574" t="s">
        <v>2224</v>
      </c>
      <c r="H457" s="574" t="s">
        <v>2225</v>
      </c>
      <c r="I457" s="574" t="s">
        <v>2226</v>
      </c>
      <c r="J457" s="574" t="s">
        <v>2227</v>
      </c>
      <c r="K457" s="574" t="s">
        <v>2228</v>
      </c>
      <c r="L457" s="574" t="s">
        <v>2229</v>
      </c>
      <c r="M457" s="574" t="s">
        <v>2230</v>
      </c>
      <c r="N457" s="574" t="s">
        <v>2231</v>
      </c>
      <c r="O457" s="574" t="s">
        <v>2232</v>
      </c>
      <c r="P457" s="574" t="s">
        <v>2233</v>
      </c>
      <c r="Q457" s="574" t="s">
        <v>2234</v>
      </c>
      <c r="R457" s="574" t="s">
        <v>2225</v>
      </c>
      <c r="S457" s="574" t="s">
        <v>2875</v>
      </c>
      <c r="T457" s="574" t="s">
        <v>2876</v>
      </c>
      <c r="U457" s="574" t="s">
        <v>2886</v>
      </c>
      <c r="V457" s="574" t="s">
        <v>2238</v>
      </c>
      <c r="W457" s="574" t="s">
        <v>2239</v>
      </c>
      <c r="X457" s="574" t="s">
        <v>2447</v>
      </c>
      <c r="Y457" s="575" t="s">
        <v>2649</v>
      </c>
      <c r="Z457" s="575" t="s">
        <v>2649</v>
      </c>
      <c r="AA457" s="574" t="s">
        <v>1695</v>
      </c>
      <c r="AB457" s="574" t="s">
        <v>2337</v>
      </c>
      <c r="AC457" s="574" t="s">
        <v>2338</v>
      </c>
      <c r="AD457" s="574" t="s">
        <v>2339</v>
      </c>
      <c r="AE457" s="574" t="s">
        <v>1436</v>
      </c>
      <c r="AF457" s="574" t="s">
        <v>2339</v>
      </c>
      <c r="AG457" s="576">
        <v>1132800</v>
      </c>
      <c r="AH457" s="576">
        <v>0</v>
      </c>
    </row>
    <row r="458" spans="1:34" customFormat="1" x14ac:dyDescent="0.25">
      <c r="A458" s="574" t="s">
        <v>2219</v>
      </c>
      <c r="B458" s="574" t="s">
        <v>2220</v>
      </c>
      <c r="C458" s="574" t="s">
        <v>2221</v>
      </c>
      <c r="D458" s="574" t="s">
        <v>2220</v>
      </c>
      <c r="E458" s="574" t="s">
        <v>2222</v>
      </c>
      <c r="F458" s="574" t="s">
        <v>2223</v>
      </c>
      <c r="G458" s="574" t="s">
        <v>2224</v>
      </c>
      <c r="H458" s="574" t="s">
        <v>2225</v>
      </c>
      <c r="I458" s="574" t="s">
        <v>2226</v>
      </c>
      <c r="J458" s="574" t="s">
        <v>2227</v>
      </c>
      <c r="K458" s="574" t="s">
        <v>2228</v>
      </c>
      <c r="L458" s="574" t="s">
        <v>2229</v>
      </c>
      <c r="M458" s="574" t="s">
        <v>2230</v>
      </c>
      <c r="N458" s="574" t="s">
        <v>2231</v>
      </c>
      <c r="O458" s="574" t="s">
        <v>2232</v>
      </c>
      <c r="P458" s="574" t="s">
        <v>2233</v>
      </c>
      <c r="Q458" s="574" t="s">
        <v>2234</v>
      </c>
      <c r="R458" s="574" t="s">
        <v>2225</v>
      </c>
      <c r="S458" s="574" t="s">
        <v>2875</v>
      </c>
      <c r="T458" s="574" t="s">
        <v>2876</v>
      </c>
      <c r="U458" s="574" t="s">
        <v>2887</v>
      </c>
      <c r="V458" s="574" t="s">
        <v>2238</v>
      </c>
      <c r="W458" s="574" t="s">
        <v>2239</v>
      </c>
      <c r="X458" s="574" t="s">
        <v>2719</v>
      </c>
      <c r="Y458" s="575" t="s">
        <v>2649</v>
      </c>
      <c r="Z458" s="575" t="s">
        <v>2649</v>
      </c>
      <c r="AA458" s="574" t="s">
        <v>1695</v>
      </c>
      <c r="AB458" s="574" t="s">
        <v>2337</v>
      </c>
      <c r="AC458" s="574" t="s">
        <v>2338</v>
      </c>
      <c r="AD458" s="574" t="s">
        <v>2339</v>
      </c>
      <c r="AE458" s="574" t="s">
        <v>1436</v>
      </c>
      <c r="AF458" s="574" t="s">
        <v>2339</v>
      </c>
      <c r="AG458" s="576">
        <v>32544.400000000001</v>
      </c>
      <c r="AH458" s="576">
        <v>0</v>
      </c>
    </row>
    <row r="459" spans="1:34" customFormat="1" x14ac:dyDescent="0.25">
      <c r="A459" s="574" t="s">
        <v>2219</v>
      </c>
      <c r="B459" s="574" t="s">
        <v>2220</v>
      </c>
      <c r="C459" s="574" t="s">
        <v>2221</v>
      </c>
      <c r="D459" s="574" t="s">
        <v>2220</v>
      </c>
      <c r="E459" s="574" t="s">
        <v>2222</v>
      </c>
      <c r="F459" s="574" t="s">
        <v>2223</v>
      </c>
      <c r="G459" s="574" t="s">
        <v>2224</v>
      </c>
      <c r="H459" s="574" t="s">
        <v>2225</v>
      </c>
      <c r="I459" s="574" t="s">
        <v>2226</v>
      </c>
      <c r="J459" s="574" t="s">
        <v>2227</v>
      </c>
      <c r="K459" s="574" t="s">
        <v>2228</v>
      </c>
      <c r="L459" s="574" t="s">
        <v>2229</v>
      </c>
      <c r="M459" s="574" t="s">
        <v>2230</v>
      </c>
      <c r="N459" s="574" t="s">
        <v>2231</v>
      </c>
      <c r="O459" s="574" t="s">
        <v>2232</v>
      </c>
      <c r="P459" s="574" t="s">
        <v>2233</v>
      </c>
      <c r="Q459" s="574" t="s">
        <v>2234</v>
      </c>
      <c r="R459" s="574" t="s">
        <v>2225</v>
      </c>
      <c r="S459" s="574" t="s">
        <v>2875</v>
      </c>
      <c r="T459" s="574" t="s">
        <v>2876</v>
      </c>
      <c r="U459" s="574" t="s">
        <v>2887</v>
      </c>
      <c r="V459" s="574" t="s">
        <v>2238</v>
      </c>
      <c r="W459" s="574" t="s">
        <v>2239</v>
      </c>
      <c r="X459" s="574" t="s">
        <v>2719</v>
      </c>
      <c r="Y459" s="575" t="s">
        <v>2649</v>
      </c>
      <c r="Z459" s="575" t="s">
        <v>2669</v>
      </c>
      <c r="AA459" s="574" t="s">
        <v>1695</v>
      </c>
      <c r="AB459" s="574" t="s">
        <v>2337</v>
      </c>
      <c r="AC459" s="574" t="s">
        <v>2338</v>
      </c>
      <c r="AD459" s="574" t="s">
        <v>2339</v>
      </c>
      <c r="AE459" s="574" t="s">
        <v>1436</v>
      </c>
      <c r="AF459" s="574" t="s">
        <v>2339</v>
      </c>
      <c r="AG459" s="576">
        <v>-32544.400000000001</v>
      </c>
      <c r="AH459" s="576">
        <v>0</v>
      </c>
    </row>
    <row r="460" spans="1:34" customFormat="1" x14ac:dyDescent="0.25">
      <c r="A460" s="574" t="s">
        <v>2219</v>
      </c>
      <c r="B460" s="574" t="s">
        <v>2220</v>
      </c>
      <c r="C460" s="574" t="s">
        <v>2221</v>
      </c>
      <c r="D460" s="574" t="s">
        <v>2220</v>
      </c>
      <c r="E460" s="574" t="s">
        <v>2222</v>
      </c>
      <c r="F460" s="574" t="s">
        <v>2223</v>
      </c>
      <c r="G460" s="574" t="s">
        <v>2224</v>
      </c>
      <c r="H460" s="574" t="s">
        <v>2225</v>
      </c>
      <c r="I460" s="574" t="s">
        <v>2226</v>
      </c>
      <c r="J460" s="574" t="s">
        <v>2227</v>
      </c>
      <c r="K460" s="574" t="s">
        <v>2228</v>
      </c>
      <c r="L460" s="574" t="s">
        <v>2229</v>
      </c>
      <c r="M460" s="574" t="s">
        <v>2230</v>
      </c>
      <c r="N460" s="574" t="s">
        <v>2231</v>
      </c>
      <c r="O460" s="574" t="s">
        <v>2232</v>
      </c>
      <c r="P460" s="574" t="s">
        <v>2233</v>
      </c>
      <c r="Q460" s="574" t="s">
        <v>2234</v>
      </c>
      <c r="R460" s="574" t="s">
        <v>2225</v>
      </c>
      <c r="S460" s="574" t="s">
        <v>2875</v>
      </c>
      <c r="T460" s="574" t="s">
        <v>2876</v>
      </c>
      <c r="U460" s="574" t="s">
        <v>2888</v>
      </c>
      <c r="V460" s="574" t="s">
        <v>2238</v>
      </c>
      <c r="W460" s="574" t="s">
        <v>2239</v>
      </c>
      <c r="X460" s="574" t="s">
        <v>2426</v>
      </c>
      <c r="Y460" s="575" t="s">
        <v>2649</v>
      </c>
      <c r="Z460" s="575" t="s">
        <v>2649</v>
      </c>
      <c r="AA460" s="574" t="s">
        <v>1694</v>
      </c>
      <c r="AB460" s="574" t="s">
        <v>2314</v>
      </c>
      <c r="AC460" s="574" t="s">
        <v>2315</v>
      </c>
      <c r="AD460" s="574" t="s">
        <v>2316</v>
      </c>
      <c r="AE460" s="574" t="s">
        <v>1470</v>
      </c>
      <c r="AF460" s="574" t="s">
        <v>2316</v>
      </c>
      <c r="AG460" s="576">
        <v>156350</v>
      </c>
      <c r="AH460" s="576">
        <v>0</v>
      </c>
    </row>
    <row r="461" spans="1:34" customFormat="1" x14ac:dyDescent="0.25">
      <c r="A461" s="574" t="s">
        <v>2219</v>
      </c>
      <c r="B461" s="574" t="s">
        <v>2220</v>
      </c>
      <c r="C461" s="574" t="s">
        <v>2221</v>
      </c>
      <c r="D461" s="574" t="s">
        <v>2220</v>
      </c>
      <c r="E461" s="574" t="s">
        <v>2222</v>
      </c>
      <c r="F461" s="574" t="s">
        <v>2223</v>
      </c>
      <c r="G461" s="574" t="s">
        <v>2224</v>
      </c>
      <c r="H461" s="574" t="s">
        <v>2225</v>
      </c>
      <c r="I461" s="574" t="s">
        <v>2226</v>
      </c>
      <c r="J461" s="574" t="s">
        <v>2227</v>
      </c>
      <c r="K461" s="574" t="s">
        <v>2228</v>
      </c>
      <c r="L461" s="574" t="s">
        <v>2229</v>
      </c>
      <c r="M461" s="574" t="s">
        <v>2230</v>
      </c>
      <c r="N461" s="574" t="s">
        <v>2231</v>
      </c>
      <c r="O461" s="574" t="s">
        <v>2232</v>
      </c>
      <c r="P461" s="574" t="s">
        <v>2233</v>
      </c>
      <c r="Q461" s="574" t="s">
        <v>2234</v>
      </c>
      <c r="R461" s="574" t="s">
        <v>2225</v>
      </c>
      <c r="S461" s="574" t="s">
        <v>2875</v>
      </c>
      <c r="T461" s="574" t="s">
        <v>2876</v>
      </c>
      <c r="U461" s="574" t="s">
        <v>2889</v>
      </c>
      <c r="V461" s="574" t="s">
        <v>2238</v>
      </c>
      <c r="W461" s="574" t="s">
        <v>2239</v>
      </c>
      <c r="X461" s="574" t="s">
        <v>2449</v>
      </c>
      <c r="Y461" s="575" t="s">
        <v>2649</v>
      </c>
      <c r="Z461" s="575" t="s">
        <v>2649</v>
      </c>
      <c r="AA461" s="574" t="s">
        <v>1695</v>
      </c>
      <c r="AB461" s="574" t="s">
        <v>2337</v>
      </c>
      <c r="AC461" s="574" t="s">
        <v>2338</v>
      </c>
      <c r="AD461" s="574" t="s">
        <v>2339</v>
      </c>
      <c r="AE461" s="574" t="s">
        <v>1436</v>
      </c>
      <c r="AF461" s="574" t="s">
        <v>2339</v>
      </c>
      <c r="AG461" s="576">
        <v>489346</v>
      </c>
      <c r="AH461" s="576">
        <v>0</v>
      </c>
    </row>
    <row r="462" spans="1:34" customFormat="1" x14ac:dyDescent="0.25">
      <c r="A462" s="574" t="s">
        <v>2219</v>
      </c>
      <c r="B462" s="574" t="s">
        <v>2220</v>
      </c>
      <c r="C462" s="574" t="s">
        <v>2221</v>
      </c>
      <c r="D462" s="574" t="s">
        <v>2220</v>
      </c>
      <c r="E462" s="574" t="s">
        <v>2222</v>
      </c>
      <c r="F462" s="574" t="s">
        <v>2223</v>
      </c>
      <c r="G462" s="574" t="s">
        <v>2224</v>
      </c>
      <c r="H462" s="574" t="s">
        <v>2225</v>
      </c>
      <c r="I462" s="574" t="s">
        <v>2226</v>
      </c>
      <c r="J462" s="574" t="s">
        <v>2227</v>
      </c>
      <c r="K462" s="574" t="s">
        <v>2228</v>
      </c>
      <c r="L462" s="574" t="s">
        <v>2229</v>
      </c>
      <c r="M462" s="574" t="s">
        <v>2230</v>
      </c>
      <c r="N462" s="574" t="s">
        <v>2231</v>
      </c>
      <c r="O462" s="574" t="s">
        <v>2232</v>
      </c>
      <c r="P462" s="574" t="s">
        <v>2233</v>
      </c>
      <c r="Q462" s="574" t="s">
        <v>2234</v>
      </c>
      <c r="R462" s="574" t="s">
        <v>2225</v>
      </c>
      <c r="S462" s="574" t="s">
        <v>2875</v>
      </c>
      <c r="T462" s="574" t="s">
        <v>2876</v>
      </c>
      <c r="U462" s="574" t="s">
        <v>2890</v>
      </c>
      <c r="V462" s="574" t="s">
        <v>2238</v>
      </c>
      <c r="W462" s="574" t="s">
        <v>2239</v>
      </c>
      <c r="X462" s="574" t="s">
        <v>2451</v>
      </c>
      <c r="Y462" s="575" t="s">
        <v>2346</v>
      </c>
      <c r="Z462" s="575" t="s">
        <v>2346</v>
      </c>
      <c r="AA462" s="574" t="s">
        <v>1694</v>
      </c>
      <c r="AB462" s="574" t="s">
        <v>2314</v>
      </c>
      <c r="AC462" s="574" t="s">
        <v>2398</v>
      </c>
      <c r="AD462" s="574" t="s">
        <v>2399</v>
      </c>
      <c r="AE462" s="574" t="s">
        <v>1431</v>
      </c>
      <c r="AF462" s="574" t="s">
        <v>2399</v>
      </c>
      <c r="AG462" s="576">
        <v>20650</v>
      </c>
      <c r="AH462" s="576">
        <v>0</v>
      </c>
    </row>
    <row r="463" spans="1:34" customFormat="1" x14ac:dyDescent="0.25">
      <c r="A463" s="574" t="s">
        <v>2219</v>
      </c>
      <c r="B463" s="574" t="s">
        <v>2220</v>
      </c>
      <c r="C463" s="574" t="s">
        <v>2221</v>
      </c>
      <c r="D463" s="574" t="s">
        <v>2220</v>
      </c>
      <c r="E463" s="574" t="s">
        <v>2222</v>
      </c>
      <c r="F463" s="574" t="s">
        <v>2223</v>
      </c>
      <c r="G463" s="574" t="s">
        <v>2224</v>
      </c>
      <c r="H463" s="574" t="s">
        <v>2225</v>
      </c>
      <c r="I463" s="574" t="s">
        <v>2226</v>
      </c>
      <c r="J463" s="574" t="s">
        <v>2227</v>
      </c>
      <c r="K463" s="574" t="s">
        <v>2228</v>
      </c>
      <c r="L463" s="574" t="s">
        <v>2229</v>
      </c>
      <c r="M463" s="574" t="s">
        <v>2230</v>
      </c>
      <c r="N463" s="574" t="s">
        <v>2231</v>
      </c>
      <c r="O463" s="574" t="s">
        <v>2232</v>
      </c>
      <c r="P463" s="574" t="s">
        <v>2233</v>
      </c>
      <c r="Q463" s="574" t="s">
        <v>2234</v>
      </c>
      <c r="R463" s="574" t="s">
        <v>2225</v>
      </c>
      <c r="S463" s="574" t="s">
        <v>2875</v>
      </c>
      <c r="T463" s="574" t="s">
        <v>2876</v>
      </c>
      <c r="U463" s="574" t="s">
        <v>2891</v>
      </c>
      <c r="V463" s="574" t="s">
        <v>2238</v>
      </c>
      <c r="W463" s="574" t="s">
        <v>2239</v>
      </c>
      <c r="X463" s="574" t="s">
        <v>2453</v>
      </c>
      <c r="Y463" s="575" t="s">
        <v>2346</v>
      </c>
      <c r="Z463" s="575" t="s">
        <v>2346</v>
      </c>
      <c r="AA463" s="574" t="s">
        <v>1694</v>
      </c>
      <c r="AB463" s="574" t="s">
        <v>2314</v>
      </c>
      <c r="AC463" s="574" t="s">
        <v>2315</v>
      </c>
      <c r="AD463" s="574" t="s">
        <v>2316</v>
      </c>
      <c r="AE463" s="574" t="s">
        <v>1470</v>
      </c>
      <c r="AF463" s="574" t="s">
        <v>2316</v>
      </c>
      <c r="AG463" s="576">
        <v>80719.08</v>
      </c>
      <c r="AH463" s="576">
        <v>0</v>
      </c>
    </row>
    <row r="464" spans="1:34" customFormat="1" x14ac:dyDescent="0.25">
      <c r="A464" s="574" t="s">
        <v>2219</v>
      </c>
      <c r="B464" s="574" t="s">
        <v>2220</v>
      </c>
      <c r="C464" s="574" t="s">
        <v>2221</v>
      </c>
      <c r="D464" s="574" t="s">
        <v>2220</v>
      </c>
      <c r="E464" s="574" t="s">
        <v>2222</v>
      </c>
      <c r="F464" s="574" t="s">
        <v>2223</v>
      </c>
      <c r="G464" s="574" t="s">
        <v>2224</v>
      </c>
      <c r="H464" s="574" t="s">
        <v>2225</v>
      </c>
      <c r="I464" s="574" t="s">
        <v>2226</v>
      </c>
      <c r="J464" s="574" t="s">
        <v>2227</v>
      </c>
      <c r="K464" s="574" t="s">
        <v>2228</v>
      </c>
      <c r="L464" s="574" t="s">
        <v>2229</v>
      </c>
      <c r="M464" s="574" t="s">
        <v>2230</v>
      </c>
      <c r="N464" s="574" t="s">
        <v>2231</v>
      </c>
      <c r="O464" s="574" t="s">
        <v>2232</v>
      </c>
      <c r="P464" s="574" t="s">
        <v>2233</v>
      </c>
      <c r="Q464" s="574" t="s">
        <v>2234</v>
      </c>
      <c r="R464" s="574" t="s">
        <v>2225</v>
      </c>
      <c r="S464" s="574" t="s">
        <v>2875</v>
      </c>
      <c r="T464" s="574" t="s">
        <v>2876</v>
      </c>
      <c r="U464" s="574" t="s">
        <v>2892</v>
      </c>
      <c r="V464" s="574" t="s">
        <v>2238</v>
      </c>
      <c r="W464" s="574" t="s">
        <v>2239</v>
      </c>
      <c r="X464" s="574" t="s">
        <v>2521</v>
      </c>
      <c r="Y464" s="575" t="s">
        <v>2669</v>
      </c>
      <c r="Z464" s="575" t="s">
        <v>2669</v>
      </c>
      <c r="AA464" s="574" t="s">
        <v>1695</v>
      </c>
      <c r="AB464" s="574" t="s">
        <v>2337</v>
      </c>
      <c r="AC464" s="574" t="s">
        <v>2338</v>
      </c>
      <c r="AD464" s="574" t="s">
        <v>2339</v>
      </c>
      <c r="AE464" s="574" t="s">
        <v>1436</v>
      </c>
      <c r="AF464" s="574" t="s">
        <v>2339</v>
      </c>
      <c r="AG464" s="576">
        <v>120836.72</v>
      </c>
      <c r="AH464" s="576">
        <v>0</v>
      </c>
    </row>
    <row r="465" spans="1:34" customFormat="1" x14ac:dyDescent="0.25">
      <c r="A465" s="574" t="s">
        <v>2219</v>
      </c>
      <c r="B465" s="574" t="s">
        <v>2220</v>
      </c>
      <c r="C465" s="574" t="s">
        <v>2221</v>
      </c>
      <c r="D465" s="574" t="s">
        <v>2220</v>
      </c>
      <c r="E465" s="574" t="s">
        <v>2222</v>
      </c>
      <c r="F465" s="574" t="s">
        <v>2223</v>
      </c>
      <c r="G465" s="574" t="s">
        <v>2224</v>
      </c>
      <c r="H465" s="574" t="s">
        <v>2225</v>
      </c>
      <c r="I465" s="574" t="s">
        <v>2226</v>
      </c>
      <c r="J465" s="574" t="s">
        <v>2227</v>
      </c>
      <c r="K465" s="574" t="s">
        <v>2228</v>
      </c>
      <c r="L465" s="574" t="s">
        <v>2229</v>
      </c>
      <c r="M465" s="574" t="s">
        <v>2230</v>
      </c>
      <c r="N465" s="574" t="s">
        <v>2231</v>
      </c>
      <c r="O465" s="574" t="s">
        <v>2232</v>
      </c>
      <c r="P465" s="574" t="s">
        <v>2233</v>
      </c>
      <c r="Q465" s="574" t="s">
        <v>2234</v>
      </c>
      <c r="R465" s="574" t="s">
        <v>2225</v>
      </c>
      <c r="S465" s="574" t="s">
        <v>2875</v>
      </c>
      <c r="T465" s="574" t="s">
        <v>2876</v>
      </c>
      <c r="U465" s="574" t="s">
        <v>2893</v>
      </c>
      <c r="V465" s="574" t="s">
        <v>2238</v>
      </c>
      <c r="W465" s="574" t="s">
        <v>2239</v>
      </c>
      <c r="X465" s="574" t="s">
        <v>2500</v>
      </c>
      <c r="Y465" s="575" t="s">
        <v>2669</v>
      </c>
      <c r="Z465" s="575" t="s">
        <v>2669</v>
      </c>
      <c r="AA465" s="574" t="s">
        <v>1695</v>
      </c>
      <c r="AB465" s="574" t="s">
        <v>2337</v>
      </c>
      <c r="AC465" s="574" t="s">
        <v>2338</v>
      </c>
      <c r="AD465" s="574" t="s">
        <v>2339</v>
      </c>
      <c r="AE465" s="574" t="s">
        <v>1436</v>
      </c>
      <c r="AF465" s="574" t="s">
        <v>2339</v>
      </c>
      <c r="AG465" s="576">
        <v>32544.400000000001</v>
      </c>
      <c r="AH465" s="576">
        <v>0</v>
      </c>
    </row>
    <row r="466" spans="1:34" customFormat="1" x14ac:dyDescent="0.25">
      <c r="A466" s="574" t="s">
        <v>2219</v>
      </c>
      <c r="B466" s="574" t="s">
        <v>2220</v>
      </c>
      <c r="C466" s="574" t="s">
        <v>2221</v>
      </c>
      <c r="D466" s="574" t="s">
        <v>2220</v>
      </c>
      <c r="E466" s="574" t="s">
        <v>2222</v>
      </c>
      <c r="F466" s="574" t="s">
        <v>2223</v>
      </c>
      <c r="G466" s="574" t="s">
        <v>2224</v>
      </c>
      <c r="H466" s="574" t="s">
        <v>2225</v>
      </c>
      <c r="I466" s="574" t="s">
        <v>2226</v>
      </c>
      <c r="J466" s="574" t="s">
        <v>2227</v>
      </c>
      <c r="K466" s="574" t="s">
        <v>2228</v>
      </c>
      <c r="L466" s="574" t="s">
        <v>2229</v>
      </c>
      <c r="M466" s="574" t="s">
        <v>2230</v>
      </c>
      <c r="N466" s="574" t="s">
        <v>2231</v>
      </c>
      <c r="O466" s="574" t="s">
        <v>2232</v>
      </c>
      <c r="P466" s="574" t="s">
        <v>2233</v>
      </c>
      <c r="Q466" s="574" t="s">
        <v>2234</v>
      </c>
      <c r="R466" s="574" t="s">
        <v>2225</v>
      </c>
      <c r="S466" s="574" t="s">
        <v>2875</v>
      </c>
      <c r="T466" s="574" t="s">
        <v>2876</v>
      </c>
      <c r="U466" s="574" t="s">
        <v>2894</v>
      </c>
      <c r="V466" s="574" t="s">
        <v>2238</v>
      </c>
      <c r="W466" s="574" t="s">
        <v>2239</v>
      </c>
      <c r="X466" s="574" t="s">
        <v>2509</v>
      </c>
      <c r="Y466" s="575" t="s">
        <v>2454</v>
      </c>
      <c r="Z466" s="575" t="s">
        <v>2454</v>
      </c>
      <c r="AA466" s="574" t="s">
        <v>1694</v>
      </c>
      <c r="AB466" s="574" t="s">
        <v>2314</v>
      </c>
      <c r="AC466" s="574" t="s">
        <v>2418</v>
      </c>
      <c r="AD466" s="574" t="s">
        <v>2419</v>
      </c>
      <c r="AE466" s="574" t="s">
        <v>2420</v>
      </c>
      <c r="AF466" s="574" t="s">
        <v>2421</v>
      </c>
      <c r="AG466" s="576">
        <v>182267.51999999999</v>
      </c>
      <c r="AH466" s="576">
        <v>0</v>
      </c>
    </row>
    <row r="467" spans="1:34" customFormat="1" x14ac:dyDescent="0.25">
      <c r="A467" s="574" t="s">
        <v>2219</v>
      </c>
      <c r="B467" s="574" t="s">
        <v>2220</v>
      </c>
      <c r="C467" s="574" t="s">
        <v>2221</v>
      </c>
      <c r="D467" s="574" t="s">
        <v>2220</v>
      </c>
      <c r="E467" s="574" t="s">
        <v>2222</v>
      </c>
      <c r="F467" s="574" t="s">
        <v>2223</v>
      </c>
      <c r="G467" s="574" t="s">
        <v>2224</v>
      </c>
      <c r="H467" s="574" t="s">
        <v>2225</v>
      </c>
      <c r="I467" s="574" t="s">
        <v>2226</v>
      </c>
      <c r="J467" s="574" t="s">
        <v>2227</v>
      </c>
      <c r="K467" s="574" t="s">
        <v>2228</v>
      </c>
      <c r="L467" s="574" t="s">
        <v>2229</v>
      </c>
      <c r="M467" s="574" t="s">
        <v>2230</v>
      </c>
      <c r="N467" s="574" t="s">
        <v>2231</v>
      </c>
      <c r="O467" s="574" t="s">
        <v>2232</v>
      </c>
      <c r="P467" s="574" t="s">
        <v>2233</v>
      </c>
      <c r="Q467" s="574" t="s">
        <v>2234</v>
      </c>
      <c r="R467" s="574" t="s">
        <v>2225</v>
      </c>
      <c r="S467" s="574" t="s">
        <v>2875</v>
      </c>
      <c r="T467" s="574" t="s">
        <v>2876</v>
      </c>
      <c r="U467" s="574" t="s">
        <v>2895</v>
      </c>
      <c r="V467" s="574" t="s">
        <v>2238</v>
      </c>
      <c r="W467" s="574" t="s">
        <v>2239</v>
      </c>
      <c r="X467" s="574" t="s">
        <v>2490</v>
      </c>
      <c r="Y467" s="575" t="s">
        <v>2454</v>
      </c>
      <c r="Z467" s="575" t="s">
        <v>2454</v>
      </c>
      <c r="AA467" s="574" t="s">
        <v>1696</v>
      </c>
      <c r="AB467" s="574" t="s">
        <v>2404</v>
      </c>
      <c r="AC467" s="574" t="s">
        <v>2405</v>
      </c>
      <c r="AD467" s="574" t="s">
        <v>2406</v>
      </c>
      <c r="AE467" s="574" t="s">
        <v>2407</v>
      </c>
      <c r="AF467" s="574" t="s">
        <v>2406</v>
      </c>
      <c r="AG467" s="576">
        <v>181720</v>
      </c>
      <c r="AH467" s="576">
        <v>0</v>
      </c>
    </row>
    <row r="468" spans="1:34" customFormat="1" x14ac:dyDescent="0.25">
      <c r="A468" s="574" t="s">
        <v>2219</v>
      </c>
      <c r="B468" s="574" t="s">
        <v>2220</v>
      </c>
      <c r="C468" s="574" t="s">
        <v>2221</v>
      </c>
      <c r="D468" s="574" t="s">
        <v>2220</v>
      </c>
      <c r="E468" s="574" t="s">
        <v>2222</v>
      </c>
      <c r="F468" s="574" t="s">
        <v>2223</v>
      </c>
      <c r="G468" s="574" t="s">
        <v>2224</v>
      </c>
      <c r="H468" s="574" t="s">
        <v>2225</v>
      </c>
      <c r="I468" s="574" t="s">
        <v>2226</v>
      </c>
      <c r="J468" s="574" t="s">
        <v>2227</v>
      </c>
      <c r="K468" s="574" t="s">
        <v>2228</v>
      </c>
      <c r="L468" s="574" t="s">
        <v>2229</v>
      </c>
      <c r="M468" s="574" t="s">
        <v>2230</v>
      </c>
      <c r="N468" s="574" t="s">
        <v>2231</v>
      </c>
      <c r="O468" s="574" t="s">
        <v>2232</v>
      </c>
      <c r="P468" s="574" t="s">
        <v>2233</v>
      </c>
      <c r="Q468" s="574" t="s">
        <v>2234</v>
      </c>
      <c r="R468" s="574" t="s">
        <v>2225</v>
      </c>
      <c r="S468" s="574" t="s">
        <v>2875</v>
      </c>
      <c r="T468" s="574" t="s">
        <v>2876</v>
      </c>
      <c r="U468" s="574" t="s">
        <v>2896</v>
      </c>
      <c r="V468" s="574" t="s">
        <v>2238</v>
      </c>
      <c r="W468" s="574" t="s">
        <v>2239</v>
      </c>
      <c r="X468" s="574" t="s">
        <v>2495</v>
      </c>
      <c r="Y468" s="575" t="s">
        <v>2457</v>
      </c>
      <c r="Z468" s="575" t="s">
        <v>2457</v>
      </c>
      <c r="AA468" s="574" t="s">
        <v>1695</v>
      </c>
      <c r="AB468" s="574" t="s">
        <v>2337</v>
      </c>
      <c r="AC468" s="574" t="s">
        <v>2338</v>
      </c>
      <c r="AD468" s="574" t="s">
        <v>2339</v>
      </c>
      <c r="AE468" s="574" t="s">
        <v>1436</v>
      </c>
      <c r="AF468" s="574" t="s">
        <v>2339</v>
      </c>
      <c r="AG468" s="576">
        <v>239693.4</v>
      </c>
      <c r="AH468" s="576">
        <v>0</v>
      </c>
    </row>
    <row r="469" spans="1:34" customFormat="1" x14ac:dyDescent="0.25">
      <c r="A469" s="574" t="s">
        <v>2219</v>
      </c>
      <c r="B469" s="574" t="s">
        <v>2220</v>
      </c>
      <c r="C469" s="574" t="s">
        <v>2221</v>
      </c>
      <c r="D469" s="574" t="s">
        <v>2220</v>
      </c>
      <c r="E469" s="574" t="s">
        <v>2222</v>
      </c>
      <c r="F469" s="574" t="s">
        <v>2223</v>
      </c>
      <c r="G469" s="574" t="s">
        <v>2224</v>
      </c>
      <c r="H469" s="574" t="s">
        <v>2225</v>
      </c>
      <c r="I469" s="574" t="s">
        <v>2226</v>
      </c>
      <c r="J469" s="574" t="s">
        <v>2227</v>
      </c>
      <c r="K469" s="574" t="s">
        <v>2228</v>
      </c>
      <c r="L469" s="574" t="s">
        <v>2229</v>
      </c>
      <c r="M469" s="574" t="s">
        <v>2230</v>
      </c>
      <c r="N469" s="574" t="s">
        <v>2231</v>
      </c>
      <c r="O469" s="574" t="s">
        <v>2232</v>
      </c>
      <c r="P469" s="574" t="s">
        <v>2233</v>
      </c>
      <c r="Q469" s="574" t="s">
        <v>2234</v>
      </c>
      <c r="R469" s="574" t="s">
        <v>2225</v>
      </c>
      <c r="S469" s="574" t="s">
        <v>2875</v>
      </c>
      <c r="T469" s="574" t="s">
        <v>2876</v>
      </c>
      <c r="U469" s="574" t="s">
        <v>2897</v>
      </c>
      <c r="V469" s="574" t="s">
        <v>2238</v>
      </c>
      <c r="W469" s="574" t="s">
        <v>2239</v>
      </c>
      <c r="X469" s="574" t="s">
        <v>2503</v>
      </c>
      <c r="Y469" s="575" t="s">
        <v>2471</v>
      </c>
      <c r="Z469" s="575" t="s">
        <v>2471</v>
      </c>
      <c r="AA469" s="574" t="s">
        <v>1695</v>
      </c>
      <c r="AB469" s="574" t="s">
        <v>2337</v>
      </c>
      <c r="AC469" s="574" t="s">
        <v>2338</v>
      </c>
      <c r="AD469" s="574" t="s">
        <v>2339</v>
      </c>
      <c r="AE469" s="574" t="s">
        <v>1436</v>
      </c>
      <c r="AF469" s="574" t="s">
        <v>2339</v>
      </c>
      <c r="AG469" s="576">
        <v>929250</v>
      </c>
      <c r="AH469" s="576">
        <v>0</v>
      </c>
    </row>
    <row r="470" spans="1:34" customFormat="1" x14ac:dyDescent="0.25">
      <c r="A470" s="574" t="s">
        <v>2219</v>
      </c>
      <c r="B470" s="574" t="s">
        <v>2220</v>
      </c>
      <c r="C470" s="574" t="s">
        <v>2221</v>
      </c>
      <c r="D470" s="574" t="s">
        <v>2220</v>
      </c>
      <c r="E470" s="574" t="s">
        <v>2222</v>
      </c>
      <c r="F470" s="574" t="s">
        <v>2223</v>
      </c>
      <c r="G470" s="574" t="s">
        <v>2224</v>
      </c>
      <c r="H470" s="574" t="s">
        <v>2225</v>
      </c>
      <c r="I470" s="574" t="s">
        <v>2226</v>
      </c>
      <c r="J470" s="574" t="s">
        <v>2227</v>
      </c>
      <c r="K470" s="574" t="s">
        <v>2228</v>
      </c>
      <c r="L470" s="574" t="s">
        <v>2229</v>
      </c>
      <c r="M470" s="574" t="s">
        <v>2230</v>
      </c>
      <c r="N470" s="574" t="s">
        <v>2231</v>
      </c>
      <c r="O470" s="574" t="s">
        <v>2232</v>
      </c>
      <c r="P470" s="574" t="s">
        <v>2233</v>
      </c>
      <c r="Q470" s="574" t="s">
        <v>2234</v>
      </c>
      <c r="R470" s="574" t="s">
        <v>2225</v>
      </c>
      <c r="S470" s="574" t="s">
        <v>2875</v>
      </c>
      <c r="T470" s="574" t="s">
        <v>2876</v>
      </c>
      <c r="U470" s="574" t="s">
        <v>2898</v>
      </c>
      <c r="V470" s="574" t="s">
        <v>2238</v>
      </c>
      <c r="W470" s="574" t="s">
        <v>2239</v>
      </c>
      <c r="X470" s="574" t="s">
        <v>2506</v>
      </c>
      <c r="Y470" s="575" t="s">
        <v>2471</v>
      </c>
      <c r="Z470" s="575" t="s">
        <v>2471</v>
      </c>
      <c r="AA470" s="574" t="s">
        <v>1695</v>
      </c>
      <c r="AB470" s="574" t="s">
        <v>2337</v>
      </c>
      <c r="AC470" s="574" t="s">
        <v>2338</v>
      </c>
      <c r="AD470" s="574" t="s">
        <v>2339</v>
      </c>
      <c r="AE470" s="574" t="s">
        <v>1436</v>
      </c>
      <c r="AF470" s="574" t="s">
        <v>2339</v>
      </c>
      <c r="AG470" s="576">
        <v>371700</v>
      </c>
      <c r="AH470" s="576">
        <v>0</v>
      </c>
    </row>
    <row r="471" spans="1:34" customFormat="1" x14ac:dyDescent="0.25">
      <c r="A471" s="574" t="s">
        <v>2219</v>
      </c>
      <c r="B471" s="574" t="s">
        <v>2220</v>
      </c>
      <c r="C471" s="574" t="s">
        <v>2221</v>
      </c>
      <c r="D471" s="574" t="s">
        <v>2220</v>
      </c>
      <c r="E471" s="574" t="s">
        <v>2222</v>
      </c>
      <c r="F471" s="574" t="s">
        <v>2223</v>
      </c>
      <c r="G471" s="574" t="s">
        <v>2224</v>
      </c>
      <c r="H471" s="574" t="s">
        <v>2225</v>
      </c>
      <c r="I471" s="574" t="s">
        <v>2226</v>
      </c>
      <c r="J471" s="574" t="s">
        <v>2227</v>
      </c>
      <c r="K471" s="574" t="s">
        <v>2228</v>
      </c>
      <c r="L471" s="574" t="s">
        <v>2229</v>
      </c>
      <c r="M471" s="574" t="s">
        <v>2230</v>
      </c>
      <c r="N471" s="574" t="s">
        <v>2231</v>
      </c>
      <c r="O471" s="574" t="s">
        <v>2232</v>
      </c>
      <c r="P471" s="574" t="s">
        <v>2233</v>
      </c>
      <c r="Q471" s="574" t="s">
        <v>2234</v>
      </c>
      <c r="R471" s="574" t="s">
        <v>2225</v>
      </c>
      <c r="S471" s="574" t="s">
        <v>2875</v>
      </c>
      <c r="T471" s="574" t="s">
        <v>2876</v>
      </c>
      <c r="U471" s="574" t="s">
        <v>2899</v>
      </c>
      <c r="V471" s="574" t="s">
        <v>2238</v>
      </c>
      <c r="W471" s="574" t="s">
        <v>2239</v>
      </c>
      <c r="X471" s="574" t="s">
        <v>2527</v>
      </c>
      <c r="Y471" s="575" t="s">
        <v>2501</v>
      </c>
      <c r="Z471" s="575" t="s">
        <v>2501</v>
      </c>
      <c r="AA471" s="574" t="s">
        <v>1694</v>
      </c>
      <c r="AB471" s="574" t="s">
        <v>2314</v>
      </c>
      <c r="AC471" s="574" t="s">
        <v>2315</v>
      </c>
      <c r="AD471" s="574" t="s">
        <v>2316</v>
      </c>
      <c r="AE471" s="574" t="s">
        <v>1470</v>
      </c>
      <c r="AF471" s="574" t="s">
        <v>2316</v>
      </c>
      <c r="AG471" s="576">
        <v>94400</v>
      </c>
      <c r="AH471" s="576">
        <v>0</v>
      </c>
    </row>
    <row r="472" spans="1:34" customFormat="1" x14ac:dyDescent="0.25">
      <c r="A472" s="574" t="s">
        <v>2219</v>
      </c>
      <c r="B472" s="574" t="s">
        <v>2220</v>
      </c>
      <c r="C472" s="574" t="s">
        <v>2221</v>
      </c>
      <c r="D472" s="574" t="s">
        <v>2220</v>
      </c>
      <c r="E472" s="574" t="s">
        <v>2222</v>
      </c>
      <c r="F472" s="574" t="s">
        <v>2223</v>
      </c>
      <c r="G472" s="574" t="s">
        <v>2224</v>
      </c>
      <c r="H472" s="574" t="s">
        <v>2225</v>
      </c>
      <c r="I472" s="574" t="s">
        <v>2226</v>
      </c>
      <c r="J472" s="574" t="s">
        <v>2227</v>
      </c>
      <c r="K472" s="574" t="s">
        <v>2228</v>
      </c>
      <c r="L472" s="574" t="s">
        <v>2229</v>
      </c>
      <c r="M472" s="574" t="s">
        <v>2230</v>
      </c>
      <c r="N472" s="574" t="s">
        <v>2231</v>
      </c>
      <c r="O472" s="574" t="s">
        <v>2232</v>
      </c>
      <c r="P472" s="574" t="s">
        <v>2233</v>
      </c>
      <c r="Q472" s="574" t="s">
        <v>2234</v>
      </c>
      <c r="R472" s="574" t="s">
        <v>2225</v>
      </c>
      <c r="S472" s="574" t="s">
        <v>2875</v>
      </c>
      <c r="T472" s="574" t="s">
        <v>2876</v>
      </c>
      <c r="U472" s="574" t="s">
        <v>2900</v>
      </c>
      <c r="V472" s="574" t="s">
        <v>2238</v>
      </c>
      <c r="W472" s="574" t="s">
        <v>2239</v>
      </c>
      <c r="X472" s="574" t="s">
        <v>2874</v>
      </c>
      <c r="Y472" s="575" t="s">
        <v>2672</v>
      </c>
      <c r="Z472" s="575" t="s">
        <v>2672</v>
      </c>
      <c r="AA472" s="574" t="s">
        <v>1695</v>
      </c>
      <c r="AB472" s="574" t="s">
        <v>2337</v>
      </c>
      <c r="AC472" s="574" t="s">
        <v>2544</v>
      </c>
      <c r="AD472" s="574" t="s">
        <v>2545</v>
      </c>
      <c r="AE472" s="574" t="s">
        <v>2546</v>
      </c>
      <c r="AF472" s="574" t="s">
        <v>2545</v>
      </c>
      <c r="AG472" s="576">
        <v>1031320</v>
      </c>
      <c r="AH472" s="576">
        <v>0</v>
      </c>
    </row>
    <row r="473" spans="1:34" customFormat="1" x14ac:dyDescent="0.25">
      <c r="A473" s="574" t="s">
        <v>2219</v>
      </c>
      <c r="B473" s="574" t="s">
        <v>2220</v>
      </c>
      <c r="C473" s="574" t="s">
        <v>2221</v>
      </c>
      <c r="D473" s="574" t="s">
        <v>2220</v>
      </c>
      <c r="E473" s="574" t="s">
        <v>2222</v>
      </c>
      <c r="F473" s="574" t="s">
        <v>2223</v>
      </c>
      <c r="G473" s="574" t="s">
        <v>2224</v>
      </c>
      <c r="H473" s="574" t="s">
        <v>2225</v>
      </c>
      <c r="I473" s="574" t="s">
        <v>2226</v>
      </c>
      <c r="J473" s="574" t="s">
        <v>2227</v>
      </c>
      <c r="K473" s="574" t="s">
        <v>2228</v>
      </c>
      <c r="L473" s="574" t="s">
        <v>2229</v>
      </c>
      <c r="M473" s="574" t="s">
        <v>2230</v>
      </c>
      <c r="N473" s="574" t="s">
        <v>2231</v>
      </c>
      <c r="O473" s="574" t="s">
        <v>2232</v>
      </c>
      <c r="P473" s="574" t="s">
        <v>2233</v>
      </c>
      <c r="Q473" s="574" t="s">
        <v>2234</v>
      </c>
      <c r="R473" s="574" t="s">
        <v>2225</v>
      </c>
      <c r="S473" s="574" t="s">
        <v>2875</v>
      </c>
      <c r="T473" s="574" t="s">
        <v>2876</v>
      </c>
      <c r="U473" s="574" t="s">
        <v>2900</v>
      </c>
      <c r="V473" s="574" t="s">
        <v>2238</v>
      </c>
      <c r="W473" s="574" t="s">
        <v>2239</v>
      </c>
      <c r="X473" s="574" t="s">
        <v>2874</v>
      </c>
      <c r="Y473" s="575" t="s">
        <v>2672</v>
      </c>
      <c r="Z473" s="575" t="s">
        <v>2736</v>
      </c>
      <c r="AA473" s="574" t="s">
        <v>1695</v>
      </c>
      <c r="AB473" s="574" t="s">
        <v>2337</v>
      </c>
      <c r="AC473" s="574" t="s">
        <v>2544</v>
      </c>
      <c r="AD473" s="574" t="s">
        <v>2545</v>
      </c>
      <c r="AE473" s="574" t="s">
        <v>2546</v>
      </c>
      <c r="AF473" s="574" t="s">
        <v>2545</v>
      </c>
      <c r="AG473" s="576">
        <v>-1031320</v>
      </c>
      <c r="AH473" s="576">
        <v>0</v>
      </c>
    </row>
    <row r="474" spans="1:34" customFormat="1" x14ac:dyDescent="0.25">
      <c r="A474" s="574" t="s">
        <v>2219</v>
      </c>
      <c r="B474" s="574" t="s">
        <v>2220</v>
      </c>
      <c r="C474" s="574" t="s">
        <v>2221</v>
      </c>
      <c r="D474" s="574" t="s">
        <v>2220</v>
      </c>
      <c r="E474" s="574" t="s">
        <v>2222</v>
      </c>
      <c r="F474" s="574" t="s">
        <v>2223</v>
      </c>
      <c r="G474" s="574" t="s">
        <v>2224</v>
      </c>
      <c r="H474" s="574" t="s">
        <v>2225</v>
      </c>
      <c r="I474" s="574" t="s">
        <v>2226</v>
      </c>
      <c r="J474" s="574" t="s">
        <v>2227</v>
      </c>
      <c r="K474" s="574" t="s">
        <v>2228</v>
      </c>
      <c r="L474" s="574" t="s">
        <v>2229</v>
      </c>
      <c r="M474" s="574" t="s">
        <v>2230</v>
      </c>
      <c r="N474" s="574" t="s">
        <v>2231</v>
      </c>
      <c r="O474" s="574" t="s">
        <v>2232</v>
      </c>
      <c r="P474" s="574" t="s">
        <v>2233</v>
      </c>
      <c r="Q474" s="574" t="s">
        <v>2234</v>
      </c>
      <c r="R474" s="574" t="s">
        <v>2225</v>
      </c>
      <c r="S474" s="574" t="s">
        <v>2875</v>
      </c>
      <c r="T474" s="574" t="s">
        <v>2876</v>
      </c>
      <c r="U474" s="574" t="s">
        <v>2901</v>
      </c>
      <c r="V474" s="574" t="s">
        <v>2238</v>
      </c>
      <c r="W474" s="574" t="s">
        <v>2239</v>
      </c>
      <c r="X474" s="574" t="s">
        <v>2540</v>
      </c>
      <c r="Y474" s="575" t="s">
        <v>2672</v>
      </c>
      <c r="Z474" s="575" t="s">
        <v>2672</v>
      </c>
      <c r="AA474" s="574" t="s">
        <v>1695</v>
      </c>
      <c r="AB474" s="574" t="s">
        <v>2337</v>
      </c>
      <c r="AC474" s="574" t="s">
        <v>2338</v>
      </c>
      <c r="AD474" s="574" t="s">
        <v>2339</v>
      </c>
      <c r="AE474" s="574" t="s">
        <v>1436</v>
      </c>
      <c r="AF474" s="574" t="s">
        <v>2339</v>
      </c>
      <c r="AG474" s="576">
        <v>609673.18000000005</v>
      </c>
      <c r="AH474" s="576">
        <v>0</v>
      </c>
    </row>
    <row r="475" spans="1:34" customFormat="1" x14ac:dyDescent="0.25">
      <c r="A475" s="574" t="s">
        <v>2219</v>
      </c>
      <c r="B475" s="574" t="s">
        <v>2220</v>
      </c>
      <c r="C475" s="574" t="s">
        <v>2221</v>
      </c>
      <c r="D475" s="574" t="s">
        <v>2220</v>
      </c>
      <c r="E475" s="574" t="s">
        <v>2222</v>
      </c>
      <c r="F475" s="574" t="s">
        <v>2223</v>
      </c>
      <c r="G475" s="574" t="s">
        <v>2224</v>
      </c>
      <c r="H475" s="574" t="s">
        <v>2225</v>
      </c>
      <c r="I475" s="574" t="s">
        <v>2226</v>
      </c>
      <c r="J475" s="574" t="s">
        <v>2227</v>
      </c>
      <c r="K475" s="574" t="s">
        <v>2228</v>
      </c>
      <c r="L475" s="574" t="s">
        <v>2229</v>
      </c>
      <c r="M475" s="574" t="s">
        <v>2230</v>
      </c>
      <c r="N475" s="574" t="s">
        <v>2231</v>
      </c>
      <c r="O475" s="574" t="s">
        <v>2232</v>
      </c>
      <c r="P475" s="574" t="s">
        <v>2233</v>
      </c>
      <c r="Q475" s="574" t="s">
        <v>2234</v>
      </c>
      <c r="R475" s="574" t="s">
        <v>2225</v>
      </c>
      <c r="S475" s="574" t="s">
        <v>2875</v>
      </c>
      <c r="T475" s="574" t="s">
        <v>2876</v>
      </c>
      <c r="U475" s="574" t="s">
        <v>2902</v>
      </c>
      <c r="V475" s="574" t="s">
        <v>2238</v>
      </c>
      <c r="W475" s="574" t="s">
        <v>2239</v>
      </c>
      <c r="X475" s="574" t="s">
        <v>2595</v>
      </c>
      <c r="Y475" s="575" t="s">
        <v>2507</v>
      </c>
      <c r="Z475" s="575" t="s">
        <v>2507</v>
      </c>
      <c r="AA475" s="574" t="s">
        <v>1694</v>
      </c>
      <c r="AB475" s="574" t="s">
        <v>2314</v>
      </c>
      <c r="AC475" s="574" t="s">
        <v>2315</v>
      </c>
      <c r="AD475" s="574" t="s">
        <v>2316</v>
      </c>
      <c r="AE475" s="574" t="s">
        <v>1470</v>
      </c>
      <c r="AF475" s="574" t="s">
        <v>2316</v>
      </c>
      <c r="AG475" s="576">
        <v>243906</v>
      </c>
      <c r="AH475" s="576">
        <v>0</v>
      </c>
    </row>
    <row r="476" spans="1:34" customFormat="1" x14ac:dyDescent="0.25">
      <c r="A476" s="574" t="s">
        <v>2219</v>
      </c>
      <c r="B476" s="574" t="s">
        <v>2220</v>
      </c>
      <c r="C476" s="574" t="s">
        <v>2221</v>
      </c>
      <c r="D476" s="574" t="s">
        <v>2220</v>
      </c>
      <c r="E476" s="574" t="s">
        <v>2222</v>
      </c>
      <c r="F476" s="574" t="s">
        <v>2223</v>
      </c>
      <c r="G476" s="574" t="s">
        <v>2224</v>
      </c>
      <c r="H476" s="574" t="s">
        <v>2225</v>
      </c>
      <c r="I476" s="574" t="s">
        <v>2226</v>
      </c>
      <c r="J476" s="574" t="s">
        <v>2227</v>
      </c>
      <c r="K476" s="574" t="s">
        <v>2228</v>
      </c>
      <c r="L476" s="574" t="s">
        <v>2229</v>
      </c>
      <c r="M476" s="574" t="s">
        <v>2230</v>
      </c>
      <c r="N476" s="574" t="s">
        <v>2231</v>
      </c>
      <c r="O476" s="574" t="s">
        <v>2232</v>
      </c>
      <c r="P476" s="574" t="s">
        <v>2233</v>
      </c>
      <c r="Q476" s="574" t="s">
        <v>2234</v>
      </c>
      <c r="R476" s="574" t="s">
        <v>2225</v>
      </c>
      <c r="S476" s="574" t="s">
        <v>2875</v>
      </c>
      <c r="T476" s="574" t="s">
        <v>2876</v>
      </c>
      <c r="U476" s="574" t="s">
        <v>2902</v>
      </c>
      <c r="V476" s="574" t="s">
        <v>2238</v>
      </c>
      <c r="W476" s="574" t="s">
        <v>2239</v>
      </c>
      <c r="X476" s="574" t="s">
        <v>2595</v>
      </c>
      <c r="Y476" s="575" t="s">
        <v>2507</v>
      </c>
      <c r="Z476" s="575" t="s">
        <v>2507</v>
      </c>
      <c r="AA476" s="574" t="s">
        <v>1694</v>
      </c>
      <c r="AB476" s="574" t="s">
        <v>2314</v>
      </c>
      <c r="AC476" s="574" t="s">
        <v>2385</v>
      </c>
      <c r="AD476" s="574" t="s">
        <v>2386</v>
      </c>
      <c r="AE476" s="574" t="s">
        <v>2387</v>
      </c>
      <c r="AF476" s="574" t="s">
        <v>2386</v>
      </c>
      <c r="AG476" s="576">
        <v>153282</v>
      </c>
      <c r="AH476" s="576">
        <v>0</v>
      </c>
    </row>
    <row r="477" spans="1:34" customFormat="1" x14ac:dyDescent="0.25">
      <c r="A477" s="574" t="s">
        <v>2219</v>
      </c>
      <c r="B477" s="574" t="s">
        <v>2220</v>
      </c>
      <c r="C477" s="574" t="s">
        <v>2221</v>
      </c>
      <c r="D477" s="574" t="s">
        <v>2220</v>
      </c>
      <c r="E477" s="574" t="s">
        <v>2222</v>
      </c>
      <c r="F477" s="574" t="s">
        <v>2223</v>
      </c>
      <c r="G477" s="574" t="s">
        <v>2224</v>
      </c>
      <c r="H477" s="574" t="s">
        <v>2225</v>
      </c>
      <c r="I477" s="574" t="s">
        <v>2226</v>
      </c>
      <c r="J477" s="574" t="s">
        <v>2227</v>
      </c>
      <c r="K477" s="574" t="s">
        <v>2228</v>
      </c>
      <c r="L477" s="574" t="s">
        <v>2229</v>
      </c>
      <c r="M477" s="574" t="s">
        <v>2230</v>
      </c>
      <c r="N477" s="574" t="s">
        <v>2231</v>
      </c>
      <c r="O477" s="574" t="s">
        <v>2232</v>
      </c>
      <c r="P477" s="574" t="s">
        <v>2233</v>
      </c>
      <c r="Q477" s="574" t="s">
        <v>2234</v>
      </c>
      <c r="R477" s="574" t="s">
        <v>2225</v>
      </c>
      <c r="S477" s="574" t="s">
        <v>2875</v>
      </c>
      <c r="T477" s="574" t="s">
        <v>2876</v>
      </c>
      <c r="U477" s="574" t="s">
        <v>2903</v>
      </c>
      <c r="V477" s="574" t="s">
        <v>2238</v>
      </c>
      <c r="W477" s="574" t="s">
        <v>2239</v>
      </c>
      <c r="X477" s="574" t="s">
        <v>2542</v>
      </c>
      <c r="Y477" s="575" t="s">
        <v>2673</v>
      </c>
      <c r="Z477" s="575" t="s">
        <v>2673</v>
      </c>
      <c r="AA477" s="574" t="s">
        <v>1695</v>
      </c>
      <c r="AB477" s="574" t="s">
        <v>2337</v>
      </c>
      <c r="AC477" s="574" t="s">
        <v>2544</v>
      </c>
      <c r="AD477" s="574" t="s">
        <v>2545</v>
      </c>
      <c r="AE477" s="574" t="s">
        <v>2546</v>
      </c>
      <c r="AF477" s="574" t="s">
        <v>2545</v>
      </c>
      <c r="AG477" s="576">
        <v>94341</v>
      </c>
      <c r="AH477" s="576">
        <v>0</v>
      </c>
    </row>
    <row r="478" spans="1:34" customFormat="1" x14ac:dyDescent="0.25">
      <c r="A478" s="574" t="s">
        <v>2219</v>
      </c>
      <c r="B478" s="574" t="s">
        <v>2220</v>
      </c>
      <c r="C478" s="574" t="s">
        <v>2221</v>
      </c>
      <c r="D478" s="574" t="s">
        <v>2220</v>
      </c>
      <c r="E478" s="574" t="s">
        <v>2222</v>
      </c>
      <c r="F478" s="574" t="s">
        <v>2223</v>
      </c>
      <c r="G478" s="574" t="s">
        <v>2224</v>
      </c>
      <c r="H478" s="574" t="s">
        <v>2225</v>
      </c>
      <c r="I478" s="574" t="s">
        <v>2226</v>
      </c>
      <c r="J478" s="574" t="s">
        <v>2227</v>
      </c>
      <c r="K478" s="574" t="s">
        <v>2228</v>
      </c>
      <c r="L478" s="574" t="s">
        <v>2229</v>
      </c>
      <c r="M478" s="574" t="s">
        <v>2230</v>
      </c>
      <c r="N478" s="574" t="s">
        <v>2231</v>
      </c>
      <c r="O478" s="574" t="s">
        <v>2232</v>
      </c>
      <c r="P478" s="574" t="s">
        <v>2233</v>
      </c>
      <c r="Q478" s="574" t="s">
        <v>2234</v>
      </c>
      <c r="R478" s="574" t="s">
        <v>2225</v>
      </c>
      <c r="S478" s="574" t="s">
        <v>2875</v>
      </c>
      <c r="T478" s="574" t="s">
        <v>2876</v>
      </c>
      <c r="U478" s="574" t="s">
        <v>2904</v>
      </c>
      <c r="V478" s="574" t="s">
        <v>2238</v>
      </c>
      <c r="W478" s="574" t="s">
        <v>2239</v>
      </c>
      <c r="X478" s="574" t="s">
        <v>2550</v>
      </c>
      <c r="Y478" s="575" t="s">
        <v>2674</v>
      </c>
      <c r="Z478" s="575" t="s">
        <v>2674</v>
      </c>
      <c r="AA478" s="574" t="s">
        <v>1695</v>
      </c>
      <c r="AB478" s="574" t="s">
        <v>2337</v>
      </c>
      <c r="AC478" s="574" t="s">
        <v>2338</v>
      </c>
      <c r="AD478" s="574" t="s">
        <v>2339</v>
      </c>
      <c r="AE478" s="574" t="s">
        <v>1436</v>
      </c>
      <c r="AF478" s="574" t="s">
        <v>2339</v>
      </c>
      <c r="AG478" s="576">
        <v>454300</v>
      </c>
      <c r="AH478" s="576">
        <v>0</v>
      </c>
    </row>
    <row r="479" spans="1:34" customFormat="1" x14ac:dyDescent="0.25">
      <c r="A479" s="574" t="s">
        <v>2219</v>
      </c>
      <c r="B479" s="574" t="s">
        <v>2220</v>
      </c>
      <c r="C479" s="574" t="s">
        <v>2221</v>
      </c>
      <c r="D479" s="574" t="s">
        <v>2220</v>
      </c>
      <c r="E479" s="574" t="s">
        <v>2222</v>
      </c>
      <c r="F479" s="574" t="s">
        <v>2223</v>
      </c>
      <c r="G479" s="574" t="s">
        <v>2224</v>
      </c>
      <c r="H479" s="574" t="s">
        <v>2225</v>
      </c>
      <c r="I479" s="574" t="s">
        <v>2226</v>
      </c>
      <c r="J479" s="574" t="s">
        <v>2227</v>
      </c>
      <c r="K479" s="574" t="s">
        <v>2228</v>
      </c>
      <c r="L479" s="574" t="s">
        <v>2229</v>
      </c>
      <c r="M479" s="574" t="s">
        <v>2230</v>
      </c>
      <c r="N479" s="574" t="s">
        <v>2231</v>
      </c>
      <c r="O479" s="574" t="s">
        <v>2232</v>
      </c>
      <c r="P479" s="574" t="s">
        <v>2233</v>
      </c>
      <c r="Q479" s="574" t="s">
        <v>2234</v>
      </c>
      <c r="R479" s="574" t="s">
        <v>2225</v>
      </c>
      <c r="S479" s="574" t="s">
        <v>2875</v>
      </c>
      <c r="T479" s="574" t="s">
        <v>2876</v>
      </c>
      <c r="U479" s="574" t="s">
        <v>2904</v>
      </c>
      <c r="V479" s="574" t="s">
        <v>2238</v>
      </c>
      <c r="W479" s="574" t="s">
        <v>2239</v>
      </c>
      <c r="X479" s="574" t="s">
        <v>2550</v>
      </c>
      <c r="Y479" s="575" t="s">
        <v>2674</v>
      </c>
      <c r="Z479" s="575" t="s">
        <v>2674</v>
      </c>
      <c r="AA479" s="574" t="s">
        <v>1695</v>
      </c>
      <c r="AB479" s="574" t="s">
        <v>2337</v>
      </c>
      <c r="AC479" s="574" t="s">
        <v>2544</v>
      </c>
      <c r="AD479" s="574" t="s">
        <v>2545</v>
      </c>
      <c r="AE479" s="574" t="s">
        <v>2546</v>
      </c>
      <c r="AF479" s="574" t="s">
        <v>2545</v>
      </c>
      <c r="AG479" s="576">
        <v>23010</v>
      </c>
      <c r="AH479" s="576">
        <v>0</v>
      </c>
    </row>
    <row r="480" spans="1:34" customFormat="1" x14ac:dyDescent="0.25">
      <c r="A480" s="574" t="s">
        <v>2219</v>
      </c>
      <c r="B480" s="574" t="s">
        <v>2220</v>
      </c>
      <c r="C480" s="574" t="s">
        <v>2221</v>
      </c>
      <c r="D480" s="574" t="s">
        <v>2220</v>
      </c>
      <c r="E480" s="574" t="s">
        <v>2222</v>
      </c>
      <c r="F480" s="574" t="s">
        <v>2223</v>
      </c>
      <c r="G480" s="574" t="s">
        <v>2224</v>
      </c>
      <c r="H480" s="574" t="s">
        <v>2225</v>
      </c>
      <c r="I480" s="574" t="s">
        <v>2226</v>
      </c>
      <c r="J480" s="574" t="s">
        <v>2227</v>
      </c>
      <c r="K480" s="574" t="s">
        <v>2228</v>
      </c>
      <c r="L480" s="574" t="s">
        <v>2229</v>
      </c>
      <c r="M480" s="574" t="s">
        <v>2230</v>
      </c>
      <c r="N480" s="574" t="s">
        <v>2231</v>
      </c>
      <c r="O480" s="574" t="s">
        <v>2232</v>
      </c>
      <c r="P480" s="574" t="s">
        <v>2233</v>
      </c>
      <c r="Q480" s="574" t="s">
        <v>2234</v>
      </c>
      <c r="R480" s="574" t="s">
        <v>2225</v>
      </c>
      <c r="S480" s="574" t="s">
        <v>2875</v>
      </c>
      <c r="T480" s="574" t="s">
        <v>2876</v>
      </c>
      <c r="U480" s="574" t="s">
        <v>2905</v>
      </c>
      <c r="V480" s="574" t="s">
        <v>2238</v>
      </c>
      <c r="W480" s="574" t="s">
        <v>2239</v>
      </c>
      <c r="X480" s="574" t="s">
        <v>2548</v>
      </c>
      <c r="Y480" s="575" t="s">
        <v>2674</v>
      </c>
      <c r="Z480" s="575" t="s">
        <v>2674</v>
      </c>
      <c r="AA480" s="574" t="s">
        <v>1693</v>
      </c>
      <c r="AB480" s="574" t="s">
        <v>2319</v>
      </c>
      <c r="AC480" s="574" t="s">
        <v>2402</v>
      </c>
      <c r="AD480" s="574" t="s">
        <v>2403</v>
      </c>
      <c r="AE480" s="574" t="s">
        <v>1486</v>
      </c>
      <c r="AF480" s="574" t="s">
        <v>2403</v>
      </c>
      <c r="AG480" s="576">
        <v>1911.6</v>
      </c>
      <c r="AH480" s="576">
        <v>0</v>
      </c>
    </row>
    <row r="481" spans="1:34" customFormat="1" x14ac:dyDescent="0.25">
      <c r="A481" s="574" t="s">
        <v>2219</v>
      </c>
      <c r="B481" s="574" t="s">
        <v>2220</v>
      </c>
      <c r="C481" s="574" t="s">
        <v>2221</v>
      </c>
      <c r="D481" s="574" t="s">
        <v>2220</v>
      </c>
      <c r="E481" s="574" t="s">
        <v>2222</v>
      </c>
      <c r="F481" s="574" t="s">
        <v>2223</v>
      </c>
      <c r="G481" s="574" t="s">
        <v>2224</v>
      </c>
      <c r="H481" s="574" t="s">
        <v>2225</v>
      </c>
      <c r="I481" s="574" t="s">
        <v>2226</v>
      </c>
      <c r="J481" s="574" t="s">
        <v>2227</v>
      </c>
      <c r="K481" s="574" t="s">
        <v>2228</v>
      </c>
      <c r="L481" s="574" t="s">
        <v>2229</v>
      </c>
      <c r="M481" s="574" t="s">
        <v>2230</v>
      </c>
      <c r="N481" s="574" t="s">
        <v>2231</v>
      </c>
      <c r="O481" s="574" t="s">
        <v>2232</v>
      </c>
      <c r="P481" s="574" t="s">
        <v>2233</v>
      </c>
      <c r="Q481" s="574" t="s">
        <v>2234</v>
      </c>
      <c r="R481" s="574" t="s">
        <v>2225</v>
      </c>
      <c r="S481" s="574" t="s">
        <v>2875</v>
      </c>
      <c r="T481" s="574" t="s">
        <v>2876</v>
      </c>
      <c r="U481" s="574" t="s">
        <v>2905</v>
      </c>
      <c r="V481" s="574" t="s">
        <v>2238</v>
      </c>
      <c r="W481" s="574" t="s">
        <v>2239</v>
      </c>
      <c r="X481" s="574" t="s">
        <v>2548</v>
      </c>
      <c r="Y481" s="575" t="s">
        <v>2674</v>
      </c>
      <c r="Z481" s="575" t="s">
        <v>2674</v>
      </c>
      <c r="AA481" s="574" t="s">
        <v>1694</v>
      </c>
      <c r="AB481" s="574" t="s">
        <v>2314</v>
      </c>
      <c r="AC481" s="574" t="s">
        <v>2315</v>
      </c>
      <c r="AD481" s="574" t="s">
        <v>2316</v>
      </c>
      <c r="AE481" s="574" t="s">
        <v>1470</v>
      </c>
      <c r="AF481" s="574" t="s">
        <v>2316</v>
      </c>
      <c r="AG481" s="576">
        <v>126000.4</v>
      </c>
      <c r="AH481" s="576">
        <v>0</v>
      </c>
    </row>
    <row r="482" spans="1:34" customFormat="1" x14ac:dyDescent="0.25">
      <c r="A482" s="574" t="s">
        <v>2219</v>
      </c>
      <c r="B482" s="574" t="s">
        <v>2220</v>
      </c>
      <c r="C482" s="574" t="s">
        <v>2221</v>
      </c>
      <c r="D482" s="574" t="s">
        <v>2220</v>
      </c>
      <c r="E482" s="574" t="s">
        <v>2222</v>
      </c>
      <c r="F482" s="574" t="s">
        <v>2223</v>
      </c>
      <c r="G482" s="574" t="s">
        <v>2224</v>
      </c>
      <c r="H482" s="574" t="s">
        <v>2225</v>
      </c>
      <c r="I482" s="574" t="s">
        <v>2226</v>
      </c>
      <c r="J482" s="574" t="s">
        <v>2227</v>
      </c>
      <c r="K482" s="574" t="s">
        <v>2228</v>
      </c>
      <c r="L482" s="574" t="s">
        <v>2229</v>
      </c>
      <c r="M482" s="574" t="s">
        <v>2230</v>
      </c>
      <c r="N482" s="574" t="s">
        <v>2231</v>
      </c>
      <c r="O482" s="574" t="s">
        <v>2232</v>
      </c>
      <c r="P482" s="574" t="s">
        <v>2233</v>
      </c>
      <c r="Q482" s="574" t="s">
        <v>2234</v>
      </c>
      <c r="R482" s="574" t="s">
        <v>2225</v>
      </c>
      <c r="S482" s="574" t="s">
        <v>2875</v>
      </c>
      <c r="T482" s="574" t="s">
        <v>2876</v>
      </c>
      <c r="U482" s="574" t="s">
        <v>2905</v>
      </c>
      <c r="V482" s="574" t="s">
        <v>2238</v>
      </c>
      <c r="W482" s="574" t="s">
        <v>2239</v>
      </c>
      <c r="X482" s="574" t="s">
        <v>2548</v>
      </c>
      <c r="Y482" s="575" t="s">
        <v>2674</v>
      </c>
      <c r="Z482" s="575" t="s">
        <v>2674</v>
      </c>
      <c r="AA482" s="574" t="s">
        <v>1694</v>
      </c>
      <c r="AB482" s="574" t="s">
        <v>2314</v>
      </c>
      <c r="AC482" s="574" t="s">
        <v>2398</v>
      </c>
      <c r="AD482" s="574" t="s">
        <v>2399</v>
      </c>
      <c r="AE482" s="574" t="s">
        <v>1431</v>
      </c>
      <c r="AF482" s="574" t="s">
        <v>2399</v>
      </c>
      <c r="AG482" s="576">
        <v>92004.6</v>
      </c>
      <c r="AH482" s="576">
        <v>0</v>
      </c>
    </row>
    <row r="483" spans="1:34" customFormat="1" x14ac:dyDescent="0.25">
      <c r="A483" s="574" t="s">
        <v>2219</v>
      </c>
      <c r="B483" s="574" t="s">
        <v>2220</v>
      </c>
      <c r="C483" s="574" t="s">
        <v>2221</v>
      </c>
      <c r="D483" s="574" t="s">
        <v>2220</v>
      </c>
      <c r="E483" s="574" t="s">
        <v>2222</v>
      </c>
      <c r="F483" s="574" t="s">
        <v>2223</v>
      </c>
      <c r="G483" s="574" t="s">
        <v>2224</v>
      </c>
      <c r="H483" s="574" t="s">
        <v>2225</v>
      </c>
      <c r="I483" s="574" t="s">
        <v>2226</v>
      </c>
      <c r="J483" s="574" t="s">
        <v>2227</v>
      </c>
      <c r="K483" s="574" t="s">
        <v>2228</v>
      </c>
      <c r="L483" s="574" t="s">
        <v>2229</v>
      </c>
      <c r="M483" s="574" t="s">
        <v>2230</v>
      </c>
      <c r="N483" s="574" t="s">
        <v>2231</v>
      </c>
      <c r="O483" s="574" t="s">
        <v>2232</v>
      </c>
      <c r="P483" s="574" t="s">
        <v>2233</v>
      </c>
      <c r="Q483" s="574" t="s">
        <v>2234</v>
      </c>
      <c r="R483" s="574" t="s">
        <v>2225</v>
      </c>
      <c r="S483" s="574" t="s">
        <v>2875</v>
      </c>
      <c r="T483" s="574" t="s">
        <v>2876</v>
      </c>
      <c r="U483" s="574" t="s">
        <v>2905</v>
      </c>
      <c r="V483" s="574" t="s">
        <v>2238</v>
      </c>
      <c r="W483" s="574" t="s">
        <v>2239</v>
      </c>
      <c r="X483" s="574" t="s">
        <v>2548</v>
      </c>
      <c r="Y483" s="575" t="s">
        <v>2674</v>
      </c>
      <c r="Z483" s="575" t="s">
        <v>2674</v>
      </c>
      <c r="AA483" s="574" t="s">
        <v>1694</v>
      </c>
      <c r="AB483" s="574" t="s">
        <v>2314</v>
      </c>
      <c r="AC483" s="574" t="s">
        <v>2418</v>
      </c>
      <c r="AD483" s="574" t="s">
        <v>2419</v>
      </c>
      <c r="AE483" s="574" t="s">
        <v>2420</v>
      </c>
      <c r="AF483" s="574" t="s">
        <v>2421</v>
      </c>
      <c r="AG483" s="576">
        <v>16620.3</v>
      </c>
      <c r="AH483" s="576">
        <v>0</v>
      </c>
    </row>
    <row r="484" spans="1:34" customFormat="1" x14ac:dyDescent="0.25">
      <c r="A484" s="574" t="s">
        <v>2219</v>
      </c>
      <c r="B484" s="574" t="s">
        <v>2220</v>
      </c>
      <c r="C484" s="574" t="s">
        <v>2221</v>
      </c>
      <c r="D484" s="574" t="s">
        <v>2220</v>
      </c>
      <c r="E484" s="574" t="s">
        <v>2222</v>
      </c>
      <c r="F484" s="574" t="s">
        <v>2223</v>
      </c>
      <c r="G484" s="574" t="s">
        <v>2224</v>
      </c>
      <c r="H484" s="574" t="s">
        <v>2225</v>
      </c>
      <c r="I484" s="574" t="s">
        <v>2226</v>
      </c>
      <c r="J484" s="574" t="s">
        <v>2227</v>
      </c>
      <c r="K484" s="574" t="s">
        <v>2228</v>
      </c>
      <c r="L484" s="574" t="s">
        <v>2229</v>
      </c>
      <c r="M484" s="574" t="s">
        <v>2230</v>
      </c>
      <c r="N484" s="574" t="s">
        <v>2231</v>
      </c>
      <c r="O484" s="574" t="s">
        <v>2232</v>
      </c>
      <c r="P484" s="574" t="s">
        <v>2233</v>
      </c>
      <c r="Q484" s="574" t="s">
        <v>2234</v>
      </c>
      <c r="R484" s="574" t="s">
        <v>2225</v>
      </c>
      <c r="S484" s="574" t="s">
        <v>2875</v>
      </c>
      <c r="T484" s="574" t="s">
        <v>2876</v>
      </c>
      <c r="U484" s="574" t="s">
        <v>2906</v>
      </c>
      <c r="V484" s="574" t="s">
        <v>2238</v>
      </c>
      <c r="W484" s="574" t="s">
        <v>2239</v>
      </c>
      <c r="X484" s="574" t="s">
        <v>2581</v>
      </c>
      <c r="Y484" s="575" t="s">
        <v>2736</v>
      </c>
      <c r="Z484" s="575" t="s">
        <v>2736</v>
      </c>
      <c r="AA484" s="574" t="s">
        <v>1695</v>
      </c>
      <c r="AB484" s="574" t="s">
        <v>2337</v>
      </c>
      <c r="AC484" s="574" t="s">
        <v>2544</v>
      </c>
      <c r="AD484" s="574" t="s">
        <v>2545</v>
      </c>
      <c r="AE484" s="574" t="s">
        <v>2546</v>
      </c>
      <c r="AF484" s="574" t="s">
        <v>2545</v>
      </c>
      <c r="AG484" s="576">
        <v>1468274</v>
      </c>
      <c r="AH484" s="576">
        <v>0</v>
      </c>
    </row>
    <row r="485" spans="1:34" customFormat="1" x14ac:dyDescent="0.25">
      <c r="A485" s="574" t="s">
        <v>2219</v>
      </c>
      <c r="B485" s="574" t="s">
        <v>2220</v>
      </c>
      <c r="C485" s="574" t="s">
        <v>2221</v>
      </c>
      <c r="D485" s="574" t="s">
        <v>2220</v>
      </c>
      <c r="E485" s="574" t="s">
        <v>2222</v>
      </c>
      <c r="F485" s="574" t="s">
        <v>2223</v>
      </c>
      <c r="G485" s="574" t="s">
        <v>2224</v>
      </c>
      <c r="H485" s="574" t="s">
        <v>2225</v>
      </c>
      <c r="I485" s="574" t="s">
        <v>2226</v>
      </c>
      <c r="J485" s="574" t="s">
        <v>2227</v>
      </c>
      <c r="K485" s="574" t="s">
        <v>2228</v>
      </c>
      <c r="L485" s="574" t="s">
        <v>2229</v>
      </c>
      <c r="M485" s="574" t="s">
        <v>2230</v>
      </c>
      <c r="N485" s="574" t="s">
        <v>2231</v>
      </c>
      <c r="O485" s="574" t="s">
        <v>2232</v>
      </c>
      <c r="P485" s="574" t="s">
        <v>2233</v>
      </c>
      <c r="Q485" s="574" t="s">
        <v>2234</v>
      </c>
      <c r="R485" s="574" t="s">
        <v>2225</v>
      </c>
      <c r="S485" s="574" t="s">
        <v>2875</v>
      </c>
      <c r="T485" s="574" t="s">
        <v>2876</v>
      </c>
      <c r="U485" s="574" t="s">
        <v>2907</v>
      </c>
      <c r="V485" s="574" t="s">
        <v>2238</v>
      </c>
      <c r="W485" s="574" t="s">
        <v>2239</v>
      </c>
      <c r="X485" s="574" t="s">
        <v>2555</v>
      </c>
      <c r="Y485" s="575" t="s">
        <v>2512</v>
      </c>
      <c r="Z485" s="575" t="s">
        <v>2512</v>
      </c>
      <c r="AA485" s="574" t="s">
        <v>1696</v>
      </c>
      <c r="AB485" s="574" t="s">
        <v>2404</v>
      </c>
      <c r="AC485" s="574" t="s">
        <v>2405</v>
      </c>
      <c r="AD485" s="574" t="s">
        <v>2406</v>
      </c>
      <c r="AE485" s="574" t="s">
        <v>2407</v>
      </c>
      <c r="AF485" s="574" t="s">
        <v>2406</v>
      </c>
      <c r="AG485" s="576">
        <v>14750</v>
      </c>
      <c r="AH485" s="576">
        <v>0</v>
      </c>
    </row>
    <row r="486" spans="1:34" customFormat="1" x14ac:dyDescent="0.25">
      <c r="A486" s="574" t="s">
        <v>2219</v>
      </c>
      <c r="B486" s="574" t="s">
        <v>2220</v>
      </c>
      <c r="C486" s="574" t="s">
        <v>2221</v>
      </c>
      <c r="D486" s="574" t="s">
        <v>2220</v>
      </c>
      <c r="E486" s="574" t="s">
        <v>2222</v>
      </c>
      <c r="F486" s="574" t="s">
        <v>2223</v>
      </c>
      <c r="G486" s="574" t="s">
        <v>2224</v>
      </c>
      <c r="H486" s="574" t="s">
        <v>2225</v>
      </c>
      <c r="I486" s="574" t="s">
        <v>2226</v>
      </c>
      <c r="J486" s="574" t="s">
        <v>2227</v>
      </c>
      <c r="K486" s="574" t="s">
        <v>2228</v>
      </c>
      <c r="L486" s="574" t="s">
        <v>2229</v>
      </c>
      <c r="M486" s="574" t="s">
        <v>2230</v>
      </c>
      <c r="N486" s="574" t="s">
        <v>2231</v>
      </c>
      <c r="O486" s="574" t="s">
        <v>2232</v>
      </c>
      <c r="P486" s="574" t="s">
        <v>2233</v>
      </c>
      <c r="Q486" s="574" t="s">
        <v>2234</v>
      </c>
      <c r="R486" s="574" t="s">
        <v>2225</v>
      </c>
      <c r="S486" s="574" t="s">
        <v>2875</v>
      </c>
      <c r="T486" s="574" t="s">
        <v>2876</v>
      </c>
      <c r="U486" s="574" t="s">
        <v>2908</v>
      </c>
      <c r="V486" s="574" t="s">
        <v>2238</v>
      </c>
      <c r="W486" s="574" t="s">
        <v>2239</v>
      </c>
      <c r="X486" s="574" t="s">
        <v>2557</v>
      </c>
      <c r="Y486" s="575" t="s">
        <v>2512</v>
      </c>
      <c r="Z486" s="575" t="s">
        <v>2512</v>
      </c>
      <c r="AA486" s="574" t="s">
        <v>1695</v>
      </c>
      <c r="AB486" s="574" t="s">
        <v>2337</v>
      </c>
      <c r="AC486" s="574" t="s">
        <v>2338</v>
      </c>
      <c r="AD486" s="574" t="s">
        <v>2339</v>
      </c>
      <c r="AE486" s="574" t="s">
        <v>1436</v>
      </c>
      <c r="AF486" s="574" t="s">
        <v>2339</v>
      </c>
      <c r="AG486" s="576">
        <v>115886.79</v>
      </c>
      <c r="AH486" s="576">
        <v>0</v>
      </c>
    </row>
    <row r="487" spans="1:34" customFormat="1" x14ac:dyDescent="0.25">
      <c r="A487" s="574" t="s">
        <v>2219</v>
      </c>
      <c r="B487" s="574" t="s">
        <v>2220</v>
      </c>
      <c r="C487" s="574" t="s">
        <v>2221</v>
      </c>
      <c r="D487" s="574" t="s">
        <v>2220</v>
      </c>
      <c r="E487" s="574" t="s">
        <v>2222</v>
      </c>
      <c r="F487" s="574" t="s">
        <v>2223</v>
      </c>
      <c r="G487" s="574" t="s">
        <v>2224</v>
      </c>
      <c r="H487" s="574" t="s">
        <v>2225</v>
      </c>
      <c r="I487" s="574" t="s">
        <v>2226</v>
      </c>
      <c r="J487" s="574" t="s">
        <v>2227</v>
      </c>
      <c r="K487" s="574" t="s">
        <v>2228</v>
      </c>
      <c r="L487" s="574" t="s">
        <v>2229</v>
      </c>
      <c r="M487" s="574" t="s">
        <v>2230</v>
      </c>
      <c r="N487" s="574" t="s">
        <v>2231</v>
      </c>
      <c r="O487" s="574" t="s">
        <v>2232</v>
      </c>
      <c r="P487" s="574" t="s">
        <v>2233</v>
      </c>
      <c r="Q487" s="574" t="s">
        <v>2234</v>
      </c>
      <c r="R487" s="574" t="s">
        <v>2225</v>
      </c>
      <c r="S487" s="574" t="s">
        <v>2875</v>
      </c>
      <c r="T487" s="574" t="s">
        <v>2876</v>
      </c>
      <c r="U487" s="574" t="s">
        <v>2909</v>
      </c>
      <c r="V487" s="574" t="s">
        <v>2238</v>
      </c>
      <c r="W487" s="574" t="s">
        <v>2239</v>
      </c>
      <c r="X487" s="574" t="s">
        <v>2590</v>
      </c>
      <c r="Y487" s="575" t="s">
        <v>2553</v>
      </c>
      <c r="Z487" s="575" t="s">
        <v>2553</v>
      </c>
      <c r="AA487" s="574" t="s">
        <v>1695</v>
      </c>
      <c r="AB487" s="574" t="s">
        <v>2337</v>
      </c>
      <c r="AC487" s="574" t="s">
        <v>2544</v>
      </c>
      <c r="AD487" s="574" t="s">
        <v>2545</v>
      </c>
      <c r="AE487" s="574" t="s">
        <v>2546</v>
      </c>
      <c r="AF487" s="574" t="s">
        <v>2545</v>
      </c>
      <c r="AG487" s="576">
        <v>1031320</v>
      </c>
      <c r="AH487" s="576">
        <v>0</v>
      </c>
    </row>
    <row r="488" spans="1:34" customFormat="1" x14ac:dyDescent="0.25">
      <c r="A488" s="574" t="s">
        <v>2219</v>
      </c>
      <c r="B488" s="574" t="s">
        <v>2220</v>
      </c>
      <c r="C488" s="574" t="s">
        <v>2221</v>
      </c>
      <c r="D488" s="574" t="s">
        <v>2220</v>
      </c>
      <c r="E488" s="574" t="s">
        <v>2222</v>
      </c>
      <c r="F488" s="574" t="s">
        <v>2223</v>
      </c>
      <c r="G488" s="574" t="s">
        <v>2224</v>
      </c>
      <c r="H488" s="574" t="s">
        <v>2225</v>
      </c>
      <c r="I488" s="574" t="s">
        <v>2226</v>
      </c>
      <c r="J488" s="574" t="s">
        <v>2227</v>
      </c>
      <c r="K488" s="574" t="s">
        <v>2228</v>
      </c>
      <c r="L488" s="574" t="s">
        <v>2229</v>
      </c>
      <c r="M488" s="574" t="s">
        <v>2230</v>
      </c>
      <c r="N488" s="574" t="s">
        <v>2231</v>
      </c>
      <c r="O488" s="574" t="s">
        <v>2232</v>
      </c>
      <c r="P488" s="574" t="s">
        <v>2233</v>
      </c>
      <c r="Q488" s="574" t="s">
        <v>2234</v>
      </c>
      <c r="R488" s="574" t="s">
        <v>2225</v>
      </c>
      <c r="S488" s="574" t="s">
        <v>2875</v>
      </c>
      <c r="T488" s="574" t="s">
        <v>2876</v>
      </c>
      <c r="U488" s="574" t="s">
        <v>2910</v>
      </c>
      <c r="V488" s="574" t="s">
        <v>2238</v>
      </c>
      <c r="W488" s="574" t="s">
        <v>2239</v>
      </c>
      <c r="X488" s="574" t="s">
        <v>2588</v>
      </c>
      <c r="Y488" s="575" t="s">
        <v>2553</v>
      </c>
      <c r="Z488" s="575" t="s">
        <v>2553</v>
      </c>
      <c r="AA488" s="574" t="s">
        <v>1695</v>
      </c>
      <c r="AB488" s="574" t="s">
        <v>2337</v>
      </c>
      <c r="AC488" s="574" t="s">
        <v>2338</v>
      </c>
      <c r="AD488" s="574" t="s">
        <v>2339</v>
      </c>
      <c r="AE488" s="574" t="s">
        <v>1436</v>
      </c>
      <c r="AF488" s="574" t="s">
        <v>2339</v>
      </c>
      <c r="AG488" s="576">
        <v>1227200</v>
      </c>
      <c r="AH488" s="576">
        <v>0</v>
      </c>
    </row>
    <row r="489" spans="1:34" customFormat="1" x14ac:dyDescent="0.25">
      <c r="A489" s="574" t="s">
        <v>2219</v>
      </c>
      <c r="B489" s="574" t="s">
        <v>2220</v>
      </c>
      <c r="C489" s="574" t="s">
        <v>2221</v>
      </c>
      <c r="D489" s="574" t="s">
        <v>2220</v>
      </c>
      <c r="E489" s="574" t="s">
        <v>2222</v>
      </c>
      <c r="F489" s="574" t="s">
        <v>2223</v>
      </c>
      <c r="G489" s="574" t="s">
        <v>2224</v>
      </c>
      <c r="H489" s="574" t="s">
        <v>2225</v>
      </c>
      <c r="I489" s="574" t="s">
        <v>2226</v>
      </c>
      <c r="J489" s="574" t="s">
        <v>2227</v>
      </c>
      <c r="K489" s="574" t="s">
        <v>2228</v>
      </c>
      <c r="L489" s="574" t="s">
        <v>2229</v>
      </c>
      <c r="M489" s="574" t="s">
        <v>2230</v>
      </c>
      <c r="N489" s="574" t="s">
        <v>2231</v>
      </c>
      <c r="O489" s="574" t="s">
        <v>2232</v>
      </c>
      <c r="P489" s="574" t="s">
        <v>2233</v>
      </c>
      <c r="Q489" s="574" t="s">
        <v>2234</v>
      </c>
      <c r="R489" s="574" t="s">
        <v>2225</v>
      </c>
      <c r="S489" s="574" t="s">
        <v>2875</v>
      </c>
      <c r="T489" s="574" t="s">
        <v>2876</v>
      </c>
      <c r="U489" s="574" t="s">
        <v>2911</v>
      </c>
      <c r="V489" s="574" t="s">
        <v>2238</v>
      </c>
      <c r="W489" s="574" t="s">
        <v>2239</v>
      </c>
      <c r="X489" s="574" t="s">
        <v>2623</v>
      </c>
      <c r="Y489" s="575" t="s">
        <v>2571</v>
      </c>
      <c r="Z489" s="575" t="s">
        <v>2571</v>
      </c>
      <c r="AA489" s="574" t="s">
        <v>1694</v>
      </c>
      <c r="AB489" s="574" t="s">
        <v>2314</v>
      </c>
      <c r="AC489" s="574" t="s">
        <v>2398</v>
      </c>
      <c r="AD489" s="574" t="s">
        <v>2399</v>
      </c>
      <c r="AE489" s="574" t="s">
        <v>1431</v>
      </c>
      <c r="AF489" s="574" t="s">
        <v>2399</v>
      </c>
      <c r="AG489" s="576">
        <v>149956.29999999999</v>
      </c>
      <c r="AH489" s="576">
        <v>0</v>
      </c>
    </row>
    <row r="490" spans="1:34" customFormat="1" x14ac:dyDescent="0.25">
      <c r="A490" s="574" t="s">
        <v>2219</v>
      </c>
      <c r="B490" s="574" t="s">
        <v>2220</v>
      </c>
      <c r="C490" s="574" t="s">
        <v>2221</v>
      </c>
      <c r="D490" s="574" t="s">
        <v>2220</v>
      </c>
      <c r="E490" s="574" t="s">
        <v>2222</v>
      </c>
      <c r="F490" s="574" t="s">
        <v>2223</v>
      </c>
      <c r="G490" s="574" t="s">
        <v>2224</v>
      </c>
      <c r="H490" s="574" t="s">
        <v>2225</v>
      </c>
      <c r="I490" s="574" t="s">
        <v>2226</v>
      </c>
      <c r="J490" s="574" t="s">
        <v>2227</v>
      </c>
      <c r="K490" s="574" t="s">
        <v>2228</v>
      </c>
      <c r="L490" s="574" t="s">
        <v>2229</v>
      </c>
      <c r="M490" s="574" t="s">
        <v>2230</v>
      </c>
      <c r="N490" s="574" t="s">
        <v>2231</v>
      </c>
      <c r="O490" s="574" t="s">
        <v>2232</v>
      </c>
      <c r="P490" s="574" t="s">
        <v>2233</v>
      </c>
      <c r="Q490" s="574" t="s">
        <v>2234</v>
      </c>
      <c r="R490" s="574" t="s">
        <v>2225</v>
      </c>
      <c r="S490" s="574" t="s">
        <v>2875</v>
      </c>
      <c r="T490" s="574" t="s">
        <v>2876</v>
      </c>
      <c r="U490" s="574" t="s">
        <v>2912</v>
      </c>
      <c r="V490" s="574" t="s">
        <v>2238</v>
      </c>
      <c r="W490" s="574" t="s">
        <v>2239</v>
      </c>
      <c r="X490" s="574" t="s">
        <v>2681</v>
      </c>
      <c r="Y490" s="575" t="s">
        <v>2680</v>
      </c>
      <c r="Z490" s="575" t="s">
        <v>2680</v>
      </c>
      <c r="AA490" s="574" t="s">
        <v>1694</v>
      </c>
      <c r="AB490" s="574" t="s">
        <v>2314</v>
      </c>
      <c r="AC490" s="574" t="s">
        <v>2315</v>
      </c>
      <c r="AD490" s="574" t="s">
        <v>2316</v>
      </c>
      <c r="AE490" s="574" t="s">
        <v>1470</v>
      </c>
      <c r="AF490" s="574" t="s">
        <v>2316</v>
      </c>
      <c r="AG490" s="576">
        <v>15222</v>
      </c>
      <c r="AH490" s="576">
        <v>0</v>
      </c>
    </row>
    <row r="491" spans="1:34" customFormat="1" x14ac:dyDescent="0.25">
      <c r="A491" s="574" t="s">
        <v>2219</v>
      </c>
      <c r="B491" s="574" t="s">
        <v>2220</v>
      </c>
      <c r="C491" s="574" t="s">
        <v>2221</v>
      </c>
      <c r="D491" s="574" t="s">
        <v>2220</v>
      </c>
      <c r="E491" s="574" t="s">
        <v>2222</v>
      </c>
      <c r="F491" s="574" t="s">
        <v>2223</v>
      </c>
      <c r="G491" s="574" t="s">
        <v>2224</v>
      </c>
      <c r="H491" s="574" t="s">
        <v>2225</v>
      </c>
      <c r="I491" s="574" t="s">
        <v>2226</v>
      </c>
      <c r="J491" s="574" t="s">
        <v>2227</v>
      </c>
      <c r="K491" s="574" t="s">
        <v>2228</v>
      </c>
      <c r="L491" s="574" t="s">
        <v>2229</v>
      </c>
      <c r="M491" s="574" t="s">
        <v>2230</v>
      </c>
      <c r="N491" s="574" t="s">
        <v>2231</v>
      </c>
      <c r="O491" s="574" t="s">
        <v>2232</v>
      </c>
      <c r="P491" s="574" t="s">
        <v>2233</v>
      </c>
      <c r="Q491" s="574" t="s">
        <v>2234</v>
      </c>
      <c r="R491" s="574" t="s">
        <v>2225</v>
      </c>
      <c r="S491" s="574" t="s">
        <v>2875</v>
      </c>
      <c r="T491" s="574" t="s">
        <v>2876</v>
      </c>
      <c r="U491" s="574" t="s">
        <v>2913</v>
      </c>
      <c r="V491" s="574" t="s">
        <v>2238</v>
      </c>
      <c r="W491" s="574" t="s">
        <v>2239</v>
      </c>
      <c r="X491" s="574" t="s">
        <v>2682</v>
      </c>
      <c r="Y491" s="575" t="s">
        <v>2680</v>
      </c>
      <c r="Z491" s="575" t="s">
        <v>2680</v>
      </c>
      <c r="AA491" s="574" t="s">
        <v>1694</v>
      </c>
      <c r="AB491" s="574" t="s">
        <v>2314</v>
      </c>
      <c r="AC491" s="574" t="s">
        <v>2398</v>
      </c>
      <c r="AD491" s="574" t="s">
        <v>2399</v>
      </c>
      <c r="AE491" s="574" t="s">
        <v>1431</v>
      </c>
      <c r="AF491" s="574" t="s">
        <v>2399</v>
      </c>
      <c r="AG491" s="576">
        <v>211459.92</v>
      </c>
      <c r="AH491" s="576">
        <v>0</v>
      </c>
    </row>
    <row r="492" spans="1:34" customFormat="1" x14ac:dyDescent="0.25">
      <c r="A492" s="574" t="s">
        <v>2219</v>
      </c>
      <c r="B492" s="574" t="s">
        <v>2220</v>
      </c>
      <c r="C492" s="574" t="s">
        <v>2221</v>
      </c>
      <c r="D492" s="574" t="s">
        <v>2220</v>
      </c>
      <c r="E492" s="574" t="s">
        <v>2222</v>
      </c>
      <c r="F492" s="574" t="s">
        <v>2223</v>
      </c>
      <c r="G492" s="574" t="s">
        <v>2224</v>
      </c>
      <c r="H492" s="574" t="s">
        <v>2225</v>
      </c>
      <c r="I492" s="574" t="s">
        <v>2226</v>
      </c>
      <c r="J492" s="574" t="s">
        <v>2227</v>
      </c>
      <c r="K492" s="574" t="s">
        <v>2228</v>
      </c>
      <c r="L492" s="574" t="s">
        <v>2229</v>
      </c>
      <c r="M492" s="574" t="s">
        <v>2230</v>
      </c>
      <c r="N492" s="574" t="s">
        <v>2231</v>
      </c>
      <c r="O492" s="574" t="s">
        <v>2232</v>
      </c>
      <c r="P492" s="574" t="s">
        <v>2233</v>
      </c>
      <c r="Q492" s="574" t="s">
        <v>2234</v>
      </c>
      <c r="R492" s="574" t="s">
        <v>2225</v>
      </c>
      <c r="S492" s="574" t="s">
        <v>2875</v>
      </c>
      <c r="T492" s="574" t="s">
        <v>2876</v>
      </c>
      <c r="U492" s="574" t="s">
        <v>2914</v>
      </c>
      <c r="V492" s="574" t="s">
        <v>2238</v>
      </c>
      <c r="W492" s="574" t="s">
        <v>2239</v>
      </c>
      <c r="X492" s="574" t="s">
        <v>2684</v>
      </c>
      <c r="Y492" s="575" t="s">
        <v>2680</v>
      </c>
      <c r="Z492" s="575" t="s">
        <v>2680</v>
      </c>
      <c r="AA492" s="574" t="s">
        <v>1694</v>
      </c>
      <c r="AB492" s="574" t="s">
        <v>2314</v>
      </c>
      <c r="AC492" s="574" t="s">
        <v>2315</v>
      </c>
      <c r="AD492" s="574" t="s">
        <v>2316</v>
      </c>
      <c r="AE492" s="574" t="s">
        <v>1470</v>
      </c>
      <c r="AF492" s="574" t="s">
        <v>2316</v>
      </c>
      <c r="AG492" s="576">
        <v>140847.16</v>
      </c>
      <c r="AH492" s="576">
        <v>0</v>
      </c>
    </row>
    <row r="493" spans="1:34" customFormat="1" x14ac:dyDescent="0.25">
      <c r="A493" s="574" t="s">
        <v>2219</v>
      </c>
      <c r="B493" s="574" t="s">
        <v>2220</v>
      </c>
      <c r="C493" s="574" t="s">
        <v>2221</v>
      </c>
      <c r="D493" s="574" t="s">
        <v>2220</v>
      </c>
      <c r="E493" s="574" t="s">
        <v>2222</v>
      </c>
      <c r="F493" s="574" t="s">
        <v>2223</v>
      </c>
      <c r="G493" s="574" t="s">
        <v>2224</v>
      </c>
      <c r="H493" s="574" t="s">
        <v>2225</v>
      </c>
      <c r="I493" s="574" t="s">
        <v>2226</v>
      </c>
      <c r="J493" s="574" t="s">
        <v>2227</v>
      </c>
      <c r="K493" s="574" t="s">
        <v>2228</v>
      </c>
      <c r="L493" s="574" t="s">
        <v>2229</v>
      </c>
      <c r="M493" s="574" t="s">
        <v>2230</v>
      </c>
      <c r="N493" s="574" t="s">
        <v>2231</v>
      </c>
      <c r="O493" s="574" t="s">
        <v>2232</v>
      </c>
      <c r="P493" s="574" t="s">
        <v>2233</v>
      </c>
      <c r="Q493" s="574" t="s">
        <v>2234</v>
      </c>
      <c r="R493" s="574" t="s">
        <v>2225</v>
      </c>
      <c r="S493" s="574" t="s">
        <v>2875</v>
      </c>
      <c r="T493" s="574" t="s">
        <v>2876</v>
      </c>
      <c r="U493" s="574" t="s">
        <v>2914</v>
      </c>
      <c r="V493" s="574" t="s">
        <v>2238</v>
      </c>
      <c r="W493" s="574" t="s">
        <v>2239</v>
      </c>
      <c r="X493" s="574" t="s">
        <v>2684</v>
      </c>
      <c r="Y493" s="575" t="s">
        <v>2680</v>
      </c>
      <c r="Z493" s="575" t="s">
        <v>2680</v>
      </c>
      <c r="AA493" s="574" t="s">
        <v>1694</v>
      </c>
      <c r="AB493" s="574" t="s">
        <v>2314</v>
      </c>
      <c r="AC493" s="574" t="s">
        <v>2398</v>
      </c>
      <c r="AD493" s="574" t="s">
        <v>2399</v>
      </c>
      <c r="AE493" s="574" t="s">
        <v>1431</v>
      </c>
      <c r="AF493" s="574" t="s">
        <v>2399</v>
      </c>
      <c r="AG493" s="576">
        <v>5966.32</v>
      </c>
      <c r="AH493" s="576">
        <v>0</v>
      </c>
    </row>
    <row r="494" spans="1:34" customFormat="1" x14ac:dyDescent="0.25">
      <c r="A494" s="574" t="s">
        <v>2219</v>
      </c>
      <c r="B494" s="574" t="s">
        <v>2220</v>
      </c>
      <c r="C494" s="574" t="s">
        <v>2221</v>
      </c>
      <c r="D494" s="574" t="s">
        <v>2220</v>
      </c>
      <c r="E494" s="574" t="s">
        <v>2222</v>
      </c>
      <c r="F494" s="574" t="s">
        <v>2223</v>
      </c>
      <c r="G494" s="574" t="s">
        <v>2224</v>
      </c>
      <c r="H494" s="574" t="s">
        <v>2225</v>
      </c>
      <c r="I494" s="574" t="s">
        <v>2226</v>
      </c>
      <c r="J494" s="574" t="s">
        <v>2227</v>
      </c>
      <c r="K494" s="574" t="s">
        <v>2228</v>
      </c>
      <c r="L494" s="574" t="s">
        <v>2229</v>
      </c>
      <c r="M494" s="574" t="s">
        <v>2230</v>
      </c>
      <c r="N494" s="574" t="s">
        <v>2231</v>
      </c>
      <c r="O494" s="574" t="s">
        <v>2232</v>
      </c>
      <c r="P494" s="574" t="s">
        <v>2233</v>
      </c>
      <c r="Q494" s="574" t="s">
        <v>2234</v>
      </c>
      <c r="R494" s="574" t="s">
        <v>2225</v>
      </c>
      <c r="S494" s="574" t="s">
        <v>2875</v>
      </c>
      <c r="T494" s="574" t="s">
        <v>2876</v>
      </c>
      <c r="U494" s="574" t="s">
        <v>2915</v>
      </c>
      <c r="V494" s="574" t="s">
        <v>2238</v>
      </c>
      <c r="W494" s="574" t="s">
        <v>2239</v>
      </c>
      <c r="X494" s="574" t="s">
        <v>2685</v>
      </c>
      <c r="Y494" s="575" t="s">
        <v>2680</v>
      </c>
      <c r="Z494" s="575" t="s">
        <v>2680</v>
      </c>
      <c r="AA494" s="574" t="s">
        <v>1694</v>
      </c>
      <c r="AB494" s="574" t="s">
        <v>2314</v>
      </c>
      <c r="AC494" s="574" t="s">
        <v>2315</v>
      </c>
      <c r="AD494" s="574" t="s">
        <v>2316</v>
      </c>
      <c r="AE494" s="574" t="s">
        <v>1470</v>
      </c>
      <c r="AF494" s="574" t="s">
        <v>2316</v>
      </c>
      <c r="AG494" s="576">
        <v>55414.61</v>
      </c>
      <c r="AH494" s="576">
        <v>0</v>
      </c>
    </row>
    <row r="495" spans="1:34" customFormat="1" x14ac:dyDescent="0.25">
      <c r="A495" s="574" t="s">
        <v>2219</v>
      </c>
      <c r="B495" s="574" t="s">
        <v>2220</v>
      </c>
      <c r="C495" s="574" t="s">
        <v>2221</v>
      </c>
      <c r="D495" s="574" t="s">
        <v>2220</v>
      </c>
      <c r="E495" s="574" t="s">
        <v>2222</v>
      </c>
      <c r="F495" s="574" t="s">
        <v>2223</v>
      </c>
      <c r="G495" s="574" t="s">
        <v>2224</v>
      </c>
      <c r="H495" s="574" t="s">
        <v>2225</v>
      </c>
      <c r="I495" s="574" t="s">
        <v>2226</v>
      </c>
      <c r="J495" s="574" t="s">
        <v>2227</v>
      </c>
      <c r="K495" s="574" t="s">
        <v>2228</v>
      </c>
      <c r="L495" s="574" t="s">
        <v>2229</v>
      </c>
      <c r="M495" s="574" t="s">
        <v>2230</v>
      </c>
      <c r="N495" s="574" t="s">
        <v>2231</v>
      </c>
      <c r="O495" s="574" t="s">
        <v>2232</v>
      </c>
      <c r="P495" s="574" t="s">
        <v>2233</v>
      </c>
      <c r="Q495" s="574" t="s">
        <v>2234</v>
      </c>
      <c r="R495" s="574" t="s">
        <v>2225</v>
      </c>
      <c r="S495" s="574" t="s">
        <v>2875</v>
      </c>
      <c r="T495" s="574" t="s">
        <v>2876</v>
      </c>
      <c r="U495" s="574" t="s">
        <v>2915</v>
      </c>
      <c r="V495" s="574" t="s">
        <v>2238</v>
      </c>
      <c r="W495" s="574" t="s">
        <v>2239</v>
      </c>
      <c r="X495" s="574" t="s">
        <v>2685</v>
      </c>
      <c r="Y495" s="575" t="s">
        <v>2680</v>
      </c>
      <c r="Z495" s="575" t="s">
        <v>2680</v>
      </c>
      <c r="AA495" s="574" t="s">
        <v>2686</v>
      </c>
      <c r="AB495" s="574" t="s">
        <v>2687</v>
      </c>
      <c r="AC495" s="574" t="s">
        <v>2688</v>
      </c>
      <c r="AD495" s="574" t="s">
        <v>2689</v>
      </c>
      <c r="AE495" s="574" t="s">
        <v>2690</v>
      </c>
      <c r="AF495" s="574" t="s">
        <v>2689</v>
      </c>
      <c r="AG495" s="576">
        <v>5310</v>
      </c>
      <c r="AH495" s="576">
        <v>0</v>
      </c>
    </row>
    <row r="496" spans="1:34" customFormat="1" x14ac:dyDescent="0.25">
      <c r="A496" s="574" t="s">
        <v>2219</v>
      </c>
      <c r="B496" s="574" t="s">
        <v>2220</v>
      </c>
      <c r="C496" s="574" t="s">
        <v>2221</v>
      </c>
      <c r="D496" s="574" t="s">
        <v>2220</v>
      </c>
      <c r="E496" s="574" t="s">
        <v>2222</v>
      </c>
      <c r="F496" s="574" t="s">
        <v>2223</v>
      </c>
      <c r="G496" s="574" t="s">
        <v>2224</v>
      </c>
      <c r="H496" s="574" t="s">
        <v>2225</v>
      </c>
      <c r="I496" s="574" t="s">
        <v>2226</v>
      </c>
      <c r="J496" s="574" t="s">
        <v>2227</v>
      </c>
      <c r="K496" s="574" t="s">
        <v>2228</v>
      </c>
      <c r="L496" s="574" t="s">
        <v>2229</v>
      </c>
      <c r="M496" s="574" t="s">
        <v>2230</v>
      </c>
      <c r="N496" s="574" t="s">
        <v>2231</v>
      </c>
      <c r="O496" s="574" t="s">
        <v>2232</v>
      </c>
      <c r="P496" s="574" t="s">
        <v>2233</v>
      </c>
      <c r="Q496" s="574" t="s">
        <v>2234</v>
      </c>
      <c r="R496" s="574" t="s">
        <v>2225</v>
      </c>
      <c r="S496" s="574" t="s">
        <v>2875</v>
      </c>
      <c r="T496" s="574" t="s">
        <v>2876</v>
      </c>
      <c r="U496" s="574" t="s">
        <v>2916</v>
      </c>
      <c r="V496" s="574" t="s">
        <v>2238</v>
      </c>
      <c r="W496" s="574" t="s">
        <v>2239</v>
      </c>
      <c r="X496" s="574" t="s">
        <v>2691</v>
      </c>
      <c r="Y496" s="575" t="s">
        <v>2680</v>
      </c>
      <c r="Z496" s="575" t="s">
        <v>2680</v>
      </c>
      <c r="AA496" s="574" t="s">
        <v>1693</v>
      </c>
      <c r="AB496" s="574" t="s">
        <v>2319</v>
      </c>
      <c r="AC496" s="574" t="s">
        <v>2652</v>
      </c>
      <c r="AD496" s="574" t="s">
        <v>2653</v>
      </c>
      <c r="AE496" s="574" t="s">
        <v>2654</v>
      </c>
      <c r="AF496" s="574" t="s">
        <v>2655</v>
      </c>
      <c r="AG496" s="576">
        <v>5070.76</v>
      </c>
      <c r="AH496" s="576">
        <v>0</v>
      </c>
    </row>
    <row r="497" spans="1:34" customFormat="1" x14ac:dyDescent="0.25">
      <c r="A497" s="574" t="s">
        <v>2219</v>
      </c>
      <c r="B497" s="574" t="s">
        <v>2220</v>
      </c>
      <c r="C497" s="574" t="s">
        <v>2221</v>
      </c>
      <c r="D497" s="574" t="s">
        <v>2220</v>
      </c>
      <c r="E497" s="574" t="s">
        <v>2222</v>
      </c>
      <c r="F497" s="574" t="s">
        <v>2223</v>
      </c>
      <c r="G497" s="574" t="s">
        <v>2224</v>
      </c>
      <c r="H497" s="574" t="s">
        <v>2225</v>
      </c>
      <c r="I497" s="574" t="s">
        <v>2226</v>
      </c>
      <c r="J497" s="574" t="s">
        <v>2227</v>
      </c>
      <c r="K497" s="574" t="s">
        <v>2228</v>
      </c>
      <c r="L497" s="574" t="s">
        <v>2229</v>
      </c>
      <c r="M497" s="574" t="s">
        <v>2230</v>
      </c>
      <c r="N497" s="574" t="s">
        <v>2231</v>
      </c>
      <c r="O497" s="574" t="s">
        <v>2232</v>
      </c>
      <c r="P497" s="574" t="s">
        <v>2233</v>
      </c>
      <c r="Q497" s="574" t="s">
        <v>2234</v>
      </c>
      <c r="R497" s="574" t="s">
        <v>2225</v>
      </c>
      <c r="S497" s="574" t="s">
        <v>2875</v>
      </c>
      <c r="T497" s="574" t="s">
        <v>2876</v>
      </c>
      <c r="U497" s="574" t="s">
        <v>2916</v>
      </c>
      <c r="V497" s="574" t="s">
        <v>2238</v>
      </c>
      <c r="W497" s="574" t="s">
        <v>2239</v>
      </c>
      <c r="X497" s="574" t="s">
        <v>2691</v>
      </c>
      <c r="Y497" s="575" t="s">
        <v>2680</v>
      </c>
      <c r="Z497" s="575" t="s">
        <v>2680</v>
      </c>
      <c r="AA497" s="574" t="s">
        <v>1694</v>
      </c>
      <c r="AB497" s="574" t="s">
        <v>2314</v>
      </c>
      <c r="AC497" s="574" t="s">
        <v>2315</v>
      </c>
      <c r="AD497" s="574" t="s">
        <v>2316</v>
      </c>
      <c r="AE497" s="574" t="s">
        <v>1470</v>
      </c>
      <c r="AF497" s="574" t="s">
        <v>2316</v>
      </c>
      <c r="AG497" s="576">
        <v>108258.6</v>
      </c>
      <c r="AH497" s="576">
        <v>0</v>
      </c>
    </row>
    <row r="498" spans="1:34" customFormat="1" x14ac:dyDescent="0.25">
      <c r="A498" s="574" t="s">
        <v>2219</v>
      </c>
      <c r="B498" s="574" t="s">
        <v>2220</v>
      </c>
      <c r="C498" s="574" t="s">
        <v>2221</v>
      </c>
      <c r="D498" s="574" t="s">
        <v>2220</v>
      </c>
      <c r="E498" s="574" t="s">
        <v>2222</v>
      </c>
      <c r="F498" s="574" t="s">
        <v>2223</v>
      </c>
      <c r="G498" s="574" t="s">
        <v>2224</v>
      </c>
      <c r="H498" s="574" t="s">
        <v>2225</v>
      </c>
      <c r="I498" s="574" t="s">
        <v>2226</v>
      </c>
      <c r="J498" s="574" t="s">
        <v>2227</v>
      </c>
      <c r="K498" s="574" t="s">
        <v>2228</v>
      </c>
      <c r="L498" s="574" t="s">
        <v>2229</v>
      </c>
      <c r="M498" s="574" t="s">
        <v>2230</v>
      </c>
      <c r="N498" s="574" t="s">
        <v>2231</v>
      </c>
      <c r="O498" s="574" t="s">
        <v>2232</v>
      </c>
      <c r="P498" s="574" t="s">
        <v>2233</v>
      </c>
      <c r="Q498" s="574" t="s">
        <v>2234</v>
      </c>
      <c r="R498" s="574" t="s">
        <v>2225</v>
      </c>
      <c r="S498" s="574" t="s">
        <v>2875</v>
      </c>
      <c r="T498" s="574" t="s">
        <v>2876</v>
      </c>
      <c r="U498" s="574" t="s">
        <v>2916</v>
      </c>
      <c r="V498" s="574" t="s">
        <v>2238</v>
      </c>
      <c r="W498" s="574" t="s">
        <v>2239</v>
      </c>
      <c r="X498" s="574" t="s">
        <v>2691</v>
      </c>
      <c r="Y498" s="575" t="s">
        <v>2680</v>
      </c>
      <c r="Z498" s="575" t="s">
        <v>2680</v>
      </c>
      <c r="AA498" s="574" t="s">
        <v>1694</v>
      </c>
      <c r="AB498" s="574" t="s">
        <v>2314</v>
      </c>
      <c r="AC498" s="574" t="s">
        <v>2398</v>
      </c>
      <c r="AD498" s="574" t="s">
        <v>2399</v>
      </c>
      <c r="AE498" s="574" t="s">
        <v>1431</v>
      </c>
      <c r="AF498" s="574" t="s">
        <v>2399</v>
      </c>
      <c r="AG498" s="576">
        <v>27159.97</v>
      </c>
      <c r="AH498" s="576">
        <v>0</v>
      </c>
    </row>
    <row r="499" spans="1:34" customFormat="1" x14ac:dyDescent="0.25">
      <c r="A499" s="574" t="s">
        <v>2219</v>
      </c>
      <c r="B499" s="574" t="s">
        <v>2220</v>
      </c>
      <c r="C499" s="574" t="s">
        <v>2221</v>
      </c>
      <c r="D499" s="574" t="s">
        <v>2220</v>
      </c>
      <c r="E499" s="574" t="s">
        <v>2222</v>
      </c>
      <c r="F499" s="574" t="s">
        <v>2223</v>
      </c>
      <c r="G499" s="574" t="s">
        <v>2224</v>
      </c>
      <c r="H499" s="574" t="s">
        <v>2225</v>
      </c>
      <c r="I499" s="574" t="s">
        <v>2226</v>
      </c>
      <c r="J499" s="574" t="s">
        <v>2227</v>
      </c>
      <c r="K499" s="574" t="s">
        <v>2228</v>
      </c>
      <c r="L499" s="574" t="s">
        <v>2229</v>
      </c>
      <c r="M499" s="574" t="s">
        <v>2230</v>
      </c>
      <c r="N499" s="574" t="s">
        <v>2231</v>
      </c>
      <c r="O499" s="574" t="s">
        <v>2232</v>
      </c>
      <c r="P499" s="574" t="s">
        <v>2233</v>
      </c>
      <c r="Q499" s="574" t="s">
        <v>2234</v>
      </c>
      <c r="R499" s="574" t="s">
        <v>2225</v>
      </c>
      <c r="S499" s="574" t="s">
        <v>2875</v>
      </c>
      <c r="T499" s="574" t="s">
        <v>2876</v>
      </c>
      <c r="U499" s="574" t="s">
        <v>2916</v>
      </c>
      <c r="V499" s="574" t="s">
        <v>2238</v>
      </c>
      <c r="W499" s="574" t="s">
        <v>2239</v>
      </c>
      <c r="X499" s="574" t="s">
        <v>2691</v>
      </c>
      <c r="Y499" s="575" t="s">
        <v>2680</v>
      </c>
      <c r="Z499" s="575" t="s">
        <v>2680</v>
      </c>
      <c r="AA499" s="574" t="s">
        <v>2656</v>
      </c>
      <c r="AB499" s="574" t="s">
        <v>2657</v>
      </c>
      <c r="AC499" s="574" t="s">
        <v>2658</v>
      </c>
      <c r="AD499" s="574" t="s">
        <v>2659</v>
      </c>
      <c r="AE499" s="574" t="s">
        <v>2660</v>
      </c>
      <c r="AF499" s="574" t="s">
        <v>2661</v>
      </c>
      <c r="AG499" s="576">
        <v>52307.69</v>
      </c>
      <c r="AH499" s="576">
        <v>0</v>
      </c>
    </row>
    <row r="500" spans="1:34" customFormat="1" x14ac:dyDescent="0.25">
      <c r="A500" s="574" t="s">
        <v>2219</v>
      </c>
      <c r="B500" s="574" t="s">
        <v>2220</v>
      </c>
      <c r="C500" s="574" t="s">
        <v>2221</v>
      </c>
      <c r="D500" s="574" t="s">
        <v>2220</v>
      </c>
      <c r="E500" s="574" t="s">
        <v>2222</v>
      </c>
      <c r="F500" s="574" t="s">
        <v>2223</v>
      </c>
      <c r="G500" s="574" t="s">
        <v>2224</v>
      </c>
      <c r="H500" s="574" t="s">
        <v>2225</v>
      </c>
      <c r="I500" s="574" t="s">
        <v>2226</v>
      </c>
      <c r="J500" s="574" t="s">
        <v>2227</v>
      </c>
      <c r="K500" s="574" t="s">
        <v>2228</v>
      </c>
      <c r="L500" s="574" t="s">
        <v>2229</v>
      </c>
      <c r="M500" s="574" t="s">
        <v>2230</v>
      </c>
      <c r="N500" s="574" t="s">
        <v>2231</v>
      </c>
      <c r="O500" s="574" t="s">
        <v>2232</v>
      </c>
      <c r="P500" s="574" t="s">
        <v>2233</v>
      </c>
      <c r="Q500" s="574" t="s">
        <v>2234</v>
      </c>
      <c r="R500" s="574" t="s">
        <v>2225</v>
      </c>
      <c r="S500" s="574" t="s">
        <v>2875</v>
      </c>
      <c r="T500" s="574" t="s">
        <v>2876</v>
      </c>
      <c r="U500" s="574" t="s">
        <v>2917</v>
      </c>
      <c r="V500" s="574" t="s">
        <v>2238</v>
      </c>
      <c r="W500" s="574" t="s">
        <v>2239</v>
      </c>
      <c r="X500" s="574" t="s">
        <v>2647</v>
      </c>
      <c r="Y500" s="575" t="s">
        <v>2680</v>
      </c>
      <c r="Z500" s="575" t="s">
        <v>2680</v>
      </c>
      <c r="AA500" s="574" t="s">
        <v>1694</v>
      </c>
      <c r="AB500" s="574" t="s">
        <v>2314</v>
      </c>
      <c r="AC500" s="574" t="s">
        <v>2315</v>
      </c>
      <c r="AD500" s="574" t="s">
        <v>2316</v>
      </c>
      <c r="AE500" s="574" t="s">
        <v>1470</v>
      </c>
      <c r="AF500" s="574" t="s">
        <v>2316</v>
      </c>
      <c r="AG500" s="576">
        <v>49721.73</v>
      </c>
      <c r="AH500" s="576">
        <v>0</v>
      </c>
    </row>
    <row r="501" spans="1:34" customFormat="1" x14ac:dyDescent="0.25">
      <c r="A501" s="574" t="s">
        <v>2219</v>
      </c>
      <c r="B501" s="574" t="s">
        <v>2220</v>
      </c>
      <c r="C501" s="574" t="s">
        <v>2221</v>
      </c>
      <c r="D501" s="574" t="s">
        <v>2220</v>
      </c>
      <c r="E501" s="574" t="s">
        <v>2222</v>
      </c>
      <c r="F501" s="574" t="s">
        <v>2223</v>
      </c>
      <c r="G501" s="574" t="s">
        <v>2224</v>
      </c>
      <c r="H501" s="574" t="s">
        <v>2225</v>
      </c>
      <c r="I501" s="574" t="s">
        <v>2226</v>
      </c>
      <c r="J501" s="574" t="s">
        <v>2227</v>
      </c>
      <c r="K501" s="574" t="s">
        <v>2228</v>
      </c>
      <c r="L501" s="574" t="s">
        <v>2229</v>
      </c>
      <c r="M501" s="574" t="s">
        <v>2230</v>
      </c>
      <c r="N501" s="574" t="s">
        <v>2231</v>
      </c>
      <c r="O501" s="574" t="s">
        <v>2232</v>
      </c>
      <c r="P501" s="574" t="s">
        <v>2233</v>
      </c>
      <c r="Q501" s="574" t="s">
        <v>2234</v>
      </c>
      <c r="R501" s="574" t="s">
        <v>2225</v>
      </c>
      <c r="S501" s="574" t="s">
        <v>2875</v>
      </c>
      <c r="T501" s="574" t="s">
        <v>2876</v>
      </c>
      <c r="U501" s="574" t="s">
        <v>2918</v>
      </c>
      <c r="V501" s="574" t="s">
        <v>2238</v>
      </c>
      <c r="W501" s="574" t="s">
        <v>2239</v>
      </c>
      <c r="X501" s="574" t="s">
        <v>2692</v>
      </c>
      <c r="Y501" s="575" t="s">
        <v>2680</v>
      </c>
      <c r="Z501" s="575" t="s">
        <v>2680</v>
      </c>
      <c r="AA501" s="574" t="s">
        <v>1693</v>
      </c>
      <c r="AB501" s="574" t="s">
        <v>2319</v>
      </c>
      <c r="AC501" s="574" t="s">
        <v>2652</v>
      </c>
      <c r="AD501" s="574" t="s">
        <v>2653</v>
      </c>
      <c r="AE501" s="574" t="s">
        <v>2654</v>
      </c>
      <c r="AF501" s="574" t="s">
        <v>2655</v>
      </c>
      <c r="AG501" s="576">
        <v>1686.15</v>
      </c>
      <c r="AH501" s="576">
        <v>0</v>
      </c>
    </row>
    <row r="502" spans="1:34" customFormat="1" x14ac:dyDescent="0.25">
      <c r="A502" s="574" t="s">
        <v>2219</v>
      </c>
      <c r="B502" s="574" t="s">
        <v>2220</v>
      </c>
      <c r="C502" s="574" t="s">
        <v>2221</v>
      </c>
      <c r="D502" s="574" t="s">
        <v>2220</v>
      </c>
      <c r="E502" s="574" t="s">
        <v>2222</v>
      </c>
      <c r="F502" s="574" t="s">
        <v>2223</v>
      </c>
      <c r="G502" s="574" t="s">
        <v>2224</v>
      </c>
      <c r="H502" s="574" t="s">
        <v>2225</v>
      </c>
      <c r="I502" s="574" t="s">
        <v>2226</v>
      </c>
      <c r="J502" s="574" t="s">
        <v>2227</v>
      </c>
      <c r="K502" s="574" t="s">
        <v>2228</v>
      </c>
      <c r="L502" s="574" t="s">
        <v>2229</v>
      </c>
      <c r="M502" s="574" t="s">
        <v>2230</v>
      </c>
      <c r="N502" s="574" t="s">
        <v>2231</v>
      </c>
      <c r="O502" s="574" t="s">
        <v>2232</v>
      </c>
      <c r="P502" s="574" t="s">
        <v>2233</v>
      </c>
      <c r="Q502" s="574" t="s">
        <v>2234</v>
      </c>
      <c r="R502" s="574" t="s">
        <v>2225</v>
      </c>
      <c r="S502" s="574" t="s">
        <v>2875</v>
      </c>
      <c r="T502" s="574" t="s">
        <v>2876</v>
      </c>
      <c r="U502" s="574" t="s">
        <v>2918</v>
      </c>
      <c r="V502" s="574" t="s">
        <v>2238</v>
      </c>
      <c r="W502" s="574" t="s">
        <v>2239</v>
      </c>
      <c r="X502" s="574" t="s">
        <v>2692</v>
      </c>
      <c r="Y502" s="575" t="s">
        <v>2680</v>
      </c>
      <c r="Z502" s="575" t="s">
        <v>2680</v>
      </c>
      <c r="AA502" s="574" t="s">
        <v>1694</v>
      </c>
      <c r="AB502" s="574" t="s">
        <v>2314</v>
      </c>
      <c r="AC502" s="574" t="s">
        <v>2315</v>
      </c>
      <c r="AD502" s="574" t="s">
        <v>2316</v>
      </c>
      <c r="AE502" s="574" t="s">
        <v>1470</v>
      </c>
      <c r="AF502" s="574" t="s">
        <v>2316</v>
      </c>
      <c r="AG502" s="576">
        <v>230079.11</v>
      </c>
      <c r="AH502" s="576">
        <v>0</v>
      </c>
    </row>
    <row r="503" spans="1:34" customFormat="1" x14ac:dyDescent="0.25">
      <c r="A503" s="574" t="s">
        <v>2219</v>
      </c>
      <c r="B503" s="574" t="s">
        <v>2220</v>
      </c>
      <c r="C503" s="574" t="s">
        <v>2221</v>
      </c>
      <c r="D503" s="574" t="s">
        <v>2220</v>
      </c>
      <c r="E503" s="574" t="s">
        <v>2222</v>
      </c>
      <c r="F503" s="574" t="s">
        <v>2223</v>
      </c>
      <c r="G503" s="574" t="s">
        <v>2224</v>
      </c>
      <c r="H503" s="574" t="s">
        <v>2225</v>
      </c>
      <c r="I503" s="574" t="s">
        <v>2226</v>
      </c>
      <c r="J503" s="574" t="s">
        <v>2227</v>
      </c>
      <c r="K503" s="574" t="s">
        <v>2228</v>
      </c>
      <c r="L503" s="574" t="s">
        <v>2229</v>
      </c>
      <c r="M503" s="574" t="s">
        <v>2230</v>
      </c>
      <c r="N503" s="574" t="s">
        <v>2231</v>
      </c>
      <c r="O503" s="574" t="s">
        <v>2232</v>
      </c>
      <c r="P503" s="574" t="s">
        <v>2233</v>
      </c>
      <c r="Q503" s="574" t="s">
        <v>2234</v>
      </c>
      <c r="R503" s="574" t="s">
        <v>2225</v>
      </c>
      <c r="S503" s="574" t="s">
        <v>2875</v>
      </c>
      <c r="T503" s="574" t="s">
        <v>2876</v>
      </c>
      <c r="U503" s="574" t="s">
        <v>2919</v>
      </c>
      <c r="V503" s="574" t="s">
        <v>2238</v>
      </c>
      <c r="W503" s="574" t="s">
        <v>2239</v>
      </c>
      <c r="X503" s="574" t="s">
        <v>2693</v>
      </c>
      <c r="Y503" s="575" t="s">
        <v>2680</v>
      </c>
      <c r="Z503" s="575" t="s">
        <v>2680</v>
      </c>
      <c r="AA503" s="574" t="s">
        <v>1694</v>
      </c>
      <c r="AB503" s="574" t="s">
        <v>2314</v>
      </c>
      <c r="AC503" s="574" t="s">
        <v>2315</v>
      </c>
      <c r="AD503" s="574" t="s">
        <v>2316</v>
      </c>
      <c r="AE503" s="574" t="s">
        <v>1470</v>
      </c>
      <c r="AF503" s="574" t="s">
        <v>2316</v>
      </c>
      <c r="AG503" s="576">
        <v>57702</v>
      </c>
      <c r="AH503" s="576">
        <v>0</v>
      </c>
    </row>
    <row r="504" spans="1:34" customFormat="1" x14ac:dyDescent="0.25">
      <c r="A504" s="574" t="s">
        <v>2219</v>
      </c>
      <c r="B504" s="574" t="s">
        <v>2220</v>
      </c>
      <c r="C504" s="574" t="s">
        <v>2221</v>
      </c>
      <c r="D504" s="574" t="s">
        <v>2220</v>
      </c>
      <c r="E504" s="574" t="s">
        <v>2222</v>
      </c>
      <c r="F504" s="574" t="s">
        <v>2223</v>
      </c>
      <c r="G504" s="574" t="s">
        <v>2224</v>
      </c>
      <c r="H504" s="574" t="s">
        <v>2225</v>
      </c>
      <c r="I504" s="574" t="s">
        <v>2226</v>
      </c>
      <c r="J504" s="574" t="s">
        <v>2227</v>
      </c>
      <c r="K504" s="574" t="s">
        <v>2228</v>
      </c>
      <c r="L504" s="574" t="s">
        <v>2229</v>
      </c>
      <c r="M504" s="574" t="s">
        <v>2230</v>
      </c>
      <c r="N504" s="574" t="s">
        <v>2231</v>
      </c>
      <c r="O504" s="574" t="s">
        <v>2232</v>
      </c>
      <c r="P504" s="574" t="s">
        <v>2233</v>
      </c>
      <c r="Q504" s="574" t="s">
        <v>2234</v>
      </c>
      <c r="R504" s="574" t="s">
        <v>2225</v>
      </c>
      <c r="S504" s="574" t="s">
        <v>2875</v>
      </c>
      <c r="T504" s="574" t="s">
        <v>2876</v>
      </c>
      <c r="U504" s="574" t="s">
        <v>2920</v>
      </c>
      <c r="V504" s="574" t="s">
        <v>2238</v>
      </c>
      <c r="W504" s="574" t="s">
        <v>2239</v>
      </c>
      <c r="X504" s="574" t="s">
        <v>2694</v>
      </c>
      <c r="Y504" s="575" t="s">
        <v>2680</v>
      </c>
      <c r="Z504" s="575" t="s">
        <v>2680</v>
      </c>
      <c r="AA504" s="574" t="s">
        <v>1694</v>
      </c>
      <c r="AB504" s="574" t="s">
        <v>2314</v>
      </c>
      <c r="AC504" s="574" t="s">
        <v>2398</v>
      </c>
      <c r="AD504" s="574" t="s">
        <v>2399</v>
      </c>
      <c r="AE504" s="574" t="s">
        <v>1431</v>
      </c>
      <c r="AF504" s="574" t="s">
        <v>2399</v>
      </c>
      <c r="AG504" s="576">
        <v>49453.8</v>
      </c>
      <c r="AH504" s="576">
        <v>0</v>
      </c>
    </row>
    <row r="505" spans="1:34" customFormat="1" x14ac:dyDescent="0.25">
      <c r="A505" s="574" t="s">
        <v>2219</v>
      </c>
      <c r="B505" s="574" t="s">
        <v>2220</v>
      </c>
      <c r="C505" s="574" t="s">
        <v>2221</v>
      </c>
      <c r="D505" s="574" t="s">
        <v>2220</v>
      </c>
      <c r="E505" s="574" t="s">
        <v>2222</v>
      </c>
      <c r="F505" s="574" t="s">
        <v>2223</v>
      </c>
      <c r="G505" s="574" t="s">
        <v>2224</v>
      </c>
      <c r="H505" s="574" t="s">
        <v>2225</v>
      </c>
      <c r="I505" s="574" t="s">
        <v>2226</v>
      </c>
      <c r="J505" s="574" t="s">
        <v>2227</v>
      </c>
      <c r="K505" s="574" t="s">
        <v>2228</v>
      </c>
      <c r="L505" s="574" t="s">
        <v>2229</v>
      </c>
      <c r="M505" s="574" t="s">
        <v>2230</v>
      </c>
      <c r="N505" s="574" t="s">
        <v>2231</v>
      </c>
      <c r="O505" s="574" t="s">
        <v>2232</v>
      </c>
      <c r="P505" s="574" t="s">
        <v>2233</v>
      </c>
      <c r="Q505" s="574" t="s">
        <v>2234</v>
      </c>
      <c r="R505" s="574" t="s">
        <v>2225</v>
      </c>
      <c r="S505" s="574" t="s">
        <v>2875</v>
      </c>
      <c r="T505" s="574" t="s">
        <v>2876</v>
      </c>
      <c r="U505" s="574" t="s">
        <v>2921</v>
      </c>
      <c r="V505" s="574" t="s">
        <v>2238</v>
      </c>
      <c r="W505" s="574" t="s">
        <v>2239</v>
      </c>
      <c r="X505" s="574" t="s">
        <v>2695</v>
      </c>
      <c r="Y505" s="575" t="s">
        <v>2680</v>
      </c>
      <c r="Z505" s="575" t="s">
        <v>2680</v>
      </c>
      <c r="AA505" s="574" t="s">
        <v>1694</v>
      </c>
      <c r="AB505" s="574" t="s">
        <v>2314</v>
      </c>
      <c r="AC505" s="574" t="s">
        <v>2315</v>
      </c>
      <c r="AD505" s="574" t="s">
        <v>2316</v>
      </c>
      <c r="AE505" s="574" t="s">
        <v>1470</v>
      </c>
      <c r="AF505" s="574" t="s">
        <v>2316</v>
      </c>
      <c r="AG505" s="576">
        <v>61140.99</v>
      </c>
      <c r="AH505" s="576">
        <v>0</v>
      </c>
    </row>
    <row r="506" spans="1:34" customFormat="1" x14ac:dyDescent="0.25">
      <c r="A506" s="574" t="s">
        <v>2219</v>
      </c>
      <c r="B506" s="574" t="s">
        <v>2220</v>
      </c>
      <c r="C506" s="574" t="s">
        <v>2221</v>
      </c>
      <c r="D506" s="574" t="s">
        <v>2220</v>
      </c>
      <c r="E506" s="574" t="s">
        <v>2222</v>
      </c>
      <c r="F506" s="574" t="s">
        <v>2223</v>
      </c>
      <c r="G506" s="574" t="s">
        <v>2224</v>
      </c>
      <c r="H506" s="574" t="s">
        <v>2225</v>
      </c>
      <c r="I506" s="574" t="s">
        <v>2226</v>
      </c>
      <c r="J506" s="574" t="s">
        <v>2227</v>
      </c>
      <c r="K506" s="574" t="s">
        <v>2228</v>
      </c>
      <c r="L506" s="574" t="s">
        <v>2229</v>
      </c>
      <c r="M506" s="574" t="s">
        <v>2230</v>
      </c>
      <c r="N506" s="574" t="s">
        <v>2231</v>
      </c>
      <c r="O506" s="574" t="s">
        <v>2232</v>
      </c>
      <c r="P506" s="574" t="s">
        <v>2233</v>
      </c>
      <c r="Q506" s="574" t="s">
        <v>2234</v>
      </c>
      <c r="R506" s="574" t="s">
        <v>2225</v>
      </c>
      <c r="S506" s="574" t="s">
        <v>2875</v>
      </c>
      <c r="T506" s="574" t="s">
        <v>2876</v>
      </c>
      <c r="U506" s="574" t="s">
        <v>2922</v>
      </c>
      <c r="V506" s="574" t="s">
        <v>2238</v>
      </c>
      <c r="W506" s="574" t="s">
        <v>2239</v>
      </c>
      <c r="X506" s="574" t="s">
        <v>2696</v>
      </c>
      <c r="Y506" s="575" t="s">
        <v>2680</v>
      </c>
      <c r="Z506" s="575" t="s">
        <v>2680</v>
      </c>
      <c r="AA506" s="574" t="s">
        <v>1695</v>
      </c>
      <c r="AB506" s="574" t="s">
        <v>2337</v>
      </c>
      <c r="AC506" s="574" t="s">
        <v>2697</v>
      </c>
      <c r="AD506" s="574" t="s">
        <v>2698</v>
      </c>
      <c r="AE506" s="574" t="s">
        <v>1440</v>
      </c>
      <c r="AF506" s="574" t="s">
        <v>2699</v>
      </c>
      <c r="AG506" s="576">
        <v>194657.52</v>
      </c>
      <c r="AH506" s="576">
        <v>0</v>
      </c>
    </row>
    <row r="507" spans="1:34" customFormat="1" x14ac:dyDescent="0.25">
      <c r="A507" s="574" t="s">
        <v>2219</v>
      </c>
      <c r="B507" s="574" t="s">
        <v>2220</v>
      </c>
      <c r="C507" s="574" t="s">
        <v>2221</v>
      </c>
      <c r="D507" s="574" t="s">
        <v>2220</v>
      </c>
      <c r="E507" s="574" t="s">
        <v>2222</v>
      </c>
      <c r="F507" s="574" t="s">
        <v>2223</v>
      </c>
      <c r="G507" s="574" t="s">
        <v>2224</v>
      </c>
      <c r="H507" s="574" t="s">
        <v>2225</v>
      </c>
      <c r="I507" s="574" t="s">
        <v>2226</v>
      </c>
      <c r="J507" s="574" t="s">
        <v>2227</v>
      </c>
      <c r="K507" s="574" t="s">
        <v>2228</v>
      </c>
      <c r="L507" s="574" t="s">
        <v>2229</v>
      </c>
      <c r="M507" s="574" t="s">
        <v>2230</v>
      </c>
      <c r="N507" s="574" t="s">
        <v>2231</v>
      </c>
      <c r="O507" s="574" t="s">
        <v>2232</v>
      </c>
      <c r="P507" s="574" t="s">
        <v>2233</v>
      </c>
      <c r="Q507" s="574" t="s">
        <v>2234</v>
      </c>
      <c r="R507" s="574" t="s">
        <v>2225</v>
      </c>
      <c r="S507" s="574" t="s">
        <v>2875</v>
      </c>
      <c r="T507" s="574" t="s">
        <v>2876</v>
      </c>
      <c r="U507" s="574" t="s">
        <v>2923</v>
      </c>
      <c r="V507" s="574" t="s">
        <v>2238</v>
      </c>
      <c r="W507" s="574" t="s">
        <v>2239</v>
      </c>
      <c r="X507" s="574" t="s">
        <v>2700</v>
      </c>
      <c r="Y507" s="575" t="s">
        <v>2680</v>
      </c>
      <c r="Z507" s="575" t="s">
        <v>2680</v>
      </c>
      <c r="AA507" s="574" t="s">
        <v>1694</v>
      </c>
      <c r="AB507" s="574" t="s">
        <v>2314</v>
      </c>
      <c r="AC507" s="574" t="s">
        <v>2315</v>
      </c>
      <c r="AD507" s="574" t="s">
        <v>2316</v>
      </c>
      <c r="AE507" s="574" t="s">
        <v>1470</v>
      </c>
      <c r="AF507" s="574" t="s">
        <v>2316</v>
      </c>
      <c r="AG507" s="576">
        <v>51212</v>
      </c>
      <c r="AH507" s="576">
        <v>0</v>
      </c>
    </row>
    <row r="508" spans="1:34" customFormat="1" x14ac:dyDescent="0.25">
      <c r="A508" s="574" t="s">
        <v>2219</v>
      </c>
      <c r="B508" s="574" t="s">
        <v>2220</v>
      </c>
      <c r="C508" s="574" t="s">
        <v>2221</v>
      </c>
      <c r="D508" s="574" t="s">
        <v>2220</v>
      </c>
      <c r="E508" s="574" t="s">
        <v>2222</v>
      </c>
      <c r="F508" s="574" t="s">
        <v>2223</v>
      </c>
      <c r="G508" s="574" t="s">
        <v>2224</v>
      </c>
      <c r="H508" s="574" t="s">
        <v>2225</v>
      </c>
      <c r="I508" s="574" t="s">
        <v>2226</v>
      </c>
      <c r="J508" s="574" t="s">
        <v>2227</v>
      </c>
      <c r="K508" s="574" t="s">
        <v>2228</v>
      </c>
      <c r="L508" s="574" t="s">
        <v>2229</v>
      </c>
      <c r="M508" s="574" t="s">
        <v>2230</v>
      </c>
      <c r="N508" s="574" t="s">
        <v>2231</v>
      </c>
      <c r="O508" s="574" t="s">
        <v>2232</v>
      </c>
      <c r="P508" s="574" t="s">
        <v>2233</v>
      </c>
      <c r="Q508" s="574" t="s">
        <v>2234</v>
      </c>
      <c r="R508" s="574" t="s">
        <v>2225</v>
      </c>
      <c r="S508" s="574" t="s">
        <v>2875</v>
      </c>
      <c r="T508" s="574" t="s">
        <v>2876</v>
      </c>
      <c r="U508" s="574" t="s">
        <v>2923</v>
      </c>
      <c r="V508" s="574" t="s">
        <v>2238</v>
      </c>
      <c r="W508" s="574" t="s">
        <v>2239</v>
      </c>
      <c r="X508" s="574" t="s">
        <v>2700</v>
      </c>
      <c r="Y508" s="575" t="s">
        <v>2680</v>
      </c>
      <c r="Z508" s="575" t="s">
        <v>2680</v>
      </c>
      <c r="AA508" s="574" t="s">
        <v>1696</v>
      </c>
      <c r="AB508" s="574" t="s">
        <v>2404</v>
      </c>
      <c r="AC508" s="574" t="s">
        <v>2701</v>
      </c>
      <c r="AD508" s="574" t="s">
        <v>2702</v>
      </c>
      <c r="AE508" s="574" t="s">
        <v>2703</v>
      </c>
      <c r="AF508" s="574" t="s">
        <v>2702</v>
      </c>
      <c r="AG508" s="576">
        <v>157062.72</v>
      </c>
      <c r="AH508" s="576">
        <v>0</v>
      </c>
    </row>
    <row r="509" spans="1:34" customFormat="1" x14ac:dyDescent="0.25">
      <c r="A509" s="574" t="s">
        <v>2219</v>
      </c>
      <c r="B509" s="574" t="s">
        <v>2220</v>
      </c>
      <c r="C509" s="574" t="s">
        <v>2221</v>
      </c>
      <c r="D509" s="574" t="s">
        <v>2220</v>
      </c>
      <c r="E509" s="574" t="s">
        <v>2222</v>
      </c>
      <c r="F509" s="574" t="s">
        <v>2223</v>
      </c>
      <c r="G509" s="574" t="s">
        <v>2224</v>
      </c>
      <c r="H509" s="574" t="s">
        <v>2225</v>
      </c>
      <c r="I509" s="574" t="s">
        <v>2226</v>
      </c>
      <c r="J509" s="574" t="s">
        <v>2227</v>
      </c>
      <c r="K509" s="574" t="s">
        <v>2228</v>
      </c>
      <c r="L509" s="574" t="s">
        <v>2229</v>
      </c>
      <c r="M509" s="574" t="s">
        <v>2230</v>
      </c>
      <c r="N509" s="574" t="s">
        <v>2231</v>
      </c>
      <c r="O509" s="574" t="s">
        <v>2232</v>
      </c>
      <c r="P509" s="574" t="s">
        <v>2233</v>
      </c>
      <c r="Q509" s="574" t="s">
        <v>2234</v>
      </c>
      <c r="R509" s="574" t="s">
        <v>2225</v>
      </c>
      <c r="S509" s="574" t="s">
        <v>2875</v>
      </c>
      <c r="T509" s="574" t="s">
        <v>2876</v>
      </c>
      <c r="U509" s="574" t="s">
        <v>2924</v>
      </c>
      <c r="V509" s="574" t="s">
        <v>2238</v>
      </c>
      <c r="W509" s="574" t="s">
        <v>2239</v>
      </c>
      <c r="X509" s="574" t="s">
        <v>2704</v>
      </c>
      <c r="Y509" s="575" t="s">
        <v>2680</v>
      </c>
      <c r="Z509" s="575" t="s">
        <v>2680</v>
      </c>
      <c r="AA509" s="574" t="s">
        <v>1696</v>
      </c>
      <c r="AB509" s="574" t="s">
        <v>2404</v>
      </c>
      <c r="AC509" s="574" t="s">
        <v>2405</v>
      </c>
      <c r="AD509" s="574" t="s">
        <v>2406</v>
      </c>
      <c r="AE509" s="574" t="s">
        <v>2407</v>
      </c>
      <c r="AF509" s="574" t="s">
        <v>2406</v>
      </c>
      <c r="AG509" s="576">
        <v>77880</v>
      </c>
      <c r="AH509" s="576">
        <v>0</v>
      </c>
    </row>
    <row r="510" spans="1:34" customFormat="1" x14ac:dyDescent="0.25">
      <c r="A510" s="574" t="s">
        <v>2219</v>
      </c>
      <c r="B510" s="574" t="s">
        <v>2220</v>
      </c>
      <c r="C510" s="574" t="s">
        <v>2221</v>
      </c>
      <c r="D510" s="574" t="s">
        <v>2220</v>
      </c>
      <c r="E510" s="574" t="s">
        <v>2222</v>
      </c>
      <c r="F510" s="574" t="s">
        <v>2223</v>
      </c>
      <c r="G510" s="574" t="s">
        <v>2224</v>
      </c>
      <c r="H510" s="574" t="s">
        <v>2225</v>
      </c>
      <c r="I510" s="574" t="s">
        <v>2226</v>
      </c>
      <c r="J510" s="574" t="s">
        <v>2227</v>
      </c>
      <c r="K510" s="574" t="s">
        <v>2228</v>
      </c>
      <c r="L510" s="574" t="s">
        <v>2229</v>
      </c>
      <c r="M510" s="574" t="s">
        <v>2230</v>
      </c>
      <c r="N510" s="574" t="s">
        <v>2231</v>
      </c>
      <c r="O510" s="574" t="s">
        <v>2232</v>
      </c>
      <c r="P510" s="574" t="s">
        <v>2233</v>
      </c>
      <c r="Q510" s="574" t="s">
        <v>2234</v>
      </c>
      <c r="R510" s="574" t="s">
        <v>2225</v>
      </c>
      <c r="S510" s="574" t="s">
        <v>2875</v>
      </c>
      <c r="T510" s="574" t="s">
        <v>2876</v>
      </c>
      <c r="U510" s="574" t="s">
        <v>2925</v>
      </c>
      <c r="V510" s="574" t="s">
        <v>2238</v>
      </c>
      <c r="W510" s="574" t="s">
        <v>2239</v>
      </c>
      <c r="X510" s="574" t="s">
        <v>2707</v>
      </c>
      <c r="Y510" s="575" t="s">
        <v>2596</v>
      </c>
      <c r="Z510" s="575" t="s">
        <v>2596</v>
      </c>
      <c r="AA510" s="574" t="s">
        <v>1694</v>
      </c>
      <c r="AB510" s="574" t="s">
        <v>2314</v>
      </c>
      <c r="AC510" s="574" t="s">
        <v>2315</v>
      </c>
      <c r="AD510" s="574" t="s">
        <v>2316</v>
      </c>
      <c r="AE510" s="574" t="s">
        <v>1470</v>
      </c>
      <c r="AF510" s="574" t="s">
        <v>2316</v>
      </c>
      <c r="AG510" s="576">
        <v>26028.68</v>
      </c>
      <c r="AH510" s="576">
        <v>0</v>
      </c>
    </row>
    <row r="511" spans="1:34" customFormat="1" x14ac:dyDescent="0.25">
      <c r="A511" s="574" t="s">
        <v>2219</v>
      </c>
      <c r="B511" s="574" t="s">
        <v>2220</v>
      </c>
      <c r="C511" s="574" t="s">
        <v>2221</v>
      </c>
      <c r="D511" s="574" t="s">
        <v>2220</v>
      </c>
      <c r="E511" s="574" t="s">
        <v>2222</v>
      </c>
      <c r="F511" s="574" t="s">
        <v>2223</v>
      </c>
      <c r="G511" s="574" t="s">
        <v>2224</v>
      </c>
      <c r="H511" s="574" t="s">
        <v>2225</v>
      </c>
      <c r="I511" s="574" t="s">
        <v>2226</v>
      </c>
      <c r="J511" s="574" t="s">
        <v>2227</v>
      </c>
      <c r="K511" s="574" t="s">
        <v>2228</v>
      </c>
      <c r="L511" s="574" t="s">
        <v>2229</v>
      </c>
      <c r="M511" s="574" t="s">
        <v>2230</v>
      </c>
      <c r="N511" s="574" t="s">
        <v>2231</v>
      </c>
      <c r="O511" s="574" t="s">
        <v>2232</v>
      </c>
      <c r="P511" s="574" t="s">
        <v>2233</v>
      </c>
      <c r="Q511" s="574" t="s">
        <v>2234</v>
      </c>
      <c r="R511" s="574" t="s">
        <v>2225</v>
      </c>
      <c r="S511" s="574" t="s">
        <v>2875</v>
      </c>
      <c r="T511" s="574" t="s">
        <v>2876</v>
      </c>
      <c r="U511" s="574" t="s">
        <v>2926</v>
      </c>
      <c r="V511" s="574" t="s">
        <v>2238</v>
      </c>
      <c r="W511" s="574" t="s">
        <v>2239</v>
      </c>
      <c r="X511" s="574" t="s">
        <v>2708</v>
      </c>
      <c r="Y511" s="575" t="s">
        <v>2596</v>
      </c>
      <c r="Z511" s="575" t="s">
        <v>2596</v>
      </c>
      <c r="AA511" s="574" t="s">
        <v>1694</v>
      </c>
      <c r="AB511" s="574" t="s">
        <v>2314</v>
      </c>
      <c r="AC511" s="574" t="s">
        <v>2385</v>
      </c>
      <c r="AD511" s="574" t="s">
        <v>2386</v>
      </c>
      <c r="AE511" s="574" t="s">
        <v>2387</v>
      </c>
      <c r="AF511" s="574" t="s">
        <v>2386</v>
      </c>
      <c r="AG511" s="576">
        <v>77880</v>
      </c>
      <c r="AH511" s="576">
        <v>0</v>
      </c>
    </row>
    <row r="512" spans="1:34" customFormat="1" x14ac:dyDescent="0.25">
      <c r="A512" s="574" t="s">
        <v>2219</v>
      </c>
      <c r="B512" s="574" t="s">
        <v>2220</v>
      </c>
      <c r="C512" s="574" t="s">
        <v>2221</v>
      </c>
      <c r="D512" s="574" t="s">
        <v>2220</v>
      </c>
      <c r="E512" s="574" t="s">
        <v>2222</v>
      </c>
      <c r="F512" s="574" t="s">
        <v>2223</v>
      </c>
      <c r="G512" s="574" t="s">
        <v>2224</v>
      </c>
      <c r="H512" s="574" t="s">
        <v>2225</v>
      </c>
      <c r="I512" s="574" t="s">
        <v>2226</v>
      </c>
      <c r="J512" s="574" t="s">
        <v>2227</v>
      </c>
      <c r="K512" s="574" t="s">
        <v>2228</v>
      </c>
      <c r="L512" s="574" t="s">
        <v>2229</v>
      </c>
      <c r="M512" s="574" t="s">
        <v>2230</v>
      </c>
      <c r="N512" s="574" t="s">
        <v>2231</v>
      </c>
      <c r="O512" s="574" t="s">
        <v>2232</v>
      </c>
      <c r="P512" s="574" t="s">
        <v>2233</v>
      </c>
      <c r="Q512" s="574" t="s">
        <v>2234</v>
      </c>
      <c r="R512" s="574" t="s">
        <v>2225</v>
      </c>
      <c r="S512" s="574" t="s">
        <v>2875</v>
      </c>
      <c r="T512" s="574" t="s">
        <v>2876</v>
      </c>
      <c r="U512" s="574" t="s">
        <v>2927</v>
      </c>
      <c r="V512" s="574" t="s">
        <v>2238</v>
      </c>
      <c r="W512" s="574" t="s">
        <v>2239</v>
      </c>
      <c r="X512" s="574" t="s">
        <v>2709</v>
      </c>
      <c r="Y512" s="575" t="s">
        <v>2634</v>
      </c>
      <c r="Z512" s="575" t="s">
        <v>2634</v>
      </c>
      <c r="AA512" s="574" t="s">
        <v>1695</v>
      </c>
      <c r="AB512" s="574" t="s">
        <v>2337</v>
      </c>
      <c r="AC512" s="574" t="s">
        <v>2544</v>
      </c>
      <c r="AD512" s="574" t="s">
        <v>2545</v>
      </c>
      <c r="AE512" s="574" t="s">
        <v>2546</v>
      </c>
      <c r="AF512" s="574" t="s">
        <v>2545</v>
      </c>
      <c r="AG512" s="576">
        <v>24544</v>
      </c>
      <c r="AH512" s="576">
        <v>0</v>
      </c>
    </row>
    <row r="513" spans="1:34" customFormat="1" x14ac:dyDescent="0.25">
      <c r="A513" s="574" t="s">
        <v>2219</v>
      </c>
      <c r="B513" s="574" t="s">
        <v>2220</v>
      </c>
      <c r="C513" s="574" t="s">
        <v>2221</v>
      </c>
      <c r="D513" s="574" t="s">
        <v>2220</v>
      </c>
      <c r="E513" s="574" t="s">
        <v>2222</v>
      </c>
      <c r="F513" s="574" t="s">
        <v>2223</v>
      </c>
      <c r="G513" s="574" t="s">
        <v>2224</v>
      </c>
      <c r="H513" s="574" t="s">
        <v>2225</v>
      </c>
      <c r="I513" s="574" t="s">
        <v>2226</v>
      </c>
      <c r="J513" s="574" t="s">
        <v>2227</v>
      </c>
      <c r="K513" s="574" t="s">
        <v>2228</v>
      </c>
      <c r="L513" s="574" t="s">
        <v>2229</v>
      </c>
      <c r="M513" s="574" t="s">
        <v>2230</v>
      </c>
      <c r="N513" s="574" t="s">
        <v>2231</v>
      </c>
      <c r="O513" s="574" t="s">
        <v>2232</v>
      </c>
      <c r="P513" s="574" t="s">
        <v>2233</v>
      </c>
      <c r="Q513" s="574" t="s">
        <v>2234</v>
      </c>
      <c r="R513" s="574" t="s">
        <v>2225</v>
      </c>
      <c r="S513" s="574" t="s">
        <v>2875</v>
      </c>
      <c r="T513" s="574" t="s">
        <v>2876</v>
      </c>
      <c r="U513" s="574" t="s">
        <v>2928</v>
      </c>
      <c r="V513" s="574" t="s">
        <v>2238</v>
      </c>
      <c r="W513" s="574" t="s">
        <v>2239</v>
      </c>
      <c r="X513" s="574" t="s">
        <v>2710</v>
      </c>
      <c r="Y513" s="575" t="s">
        <v>2634</v>
      </c>
      <c r="Z513" s="575" t="s">
        <v>2634</v>
      </c>
      <c r="AA513" s="574" t="s">
        <v>1695</v>
      </c>
      <c r="AB513" s="574" t="s">
        <v>2337</v>
      </c>
      <c r="AC513" s="574" t="s">
        <v>2544</v>
      </c>
      <c r="AD513" s="574" t="s">
        <v>2545</v>
      </c>
      <c r="AE513" s="574" t="s">
        <v>2546</v>
      </c>
      <c r="AF513" s="574" t="s">
        <v>2545</v>
      </c>
      <c r="AG513" s="576">
        <v>67496</v>
      </c>
      <c r="AH513" s="576">
        <v>0</v>
      </c>
    </row>
    <row r="514" spans="1:34" customFormat="1" x14ac:dyDescent="0.25">
      <c r="A514" s="574" t="s">
        <v>2219</v>
      </c>
      <c r="B514" s="574" t="s">
        <v>2220</v>
      </c>
      <c r="C514" s="574" t="s">
        <v>2221</v>
      </c>
      <c r="D514" s="574" t="s">
        <v>2220</v>
      </c>
      <c r="E514" s="574" t="s">
        <v>2222</v>
      </c>
      <c r="F514" s="574" t="s">
        <v>2223</v>
      </c>
      <c r="G514" s="574" t="s">
        <v>2224</v>
      </c>
      <c r="H514" s="574" t="s">
        <v>2225</v>
      </c>
      <c r="I514" s="574" t="s">
        <v>2226</v>
      </c>
      <c r="J514" s="574" t="s">
        <v>2227</v>
      </c>
      <c r="K514" s="574" t="s">
        <v>2228</v>
      </c>
      <c r="L514" s="574" t="s">
        <v>2229</v>
      </c>
      <c r="M514" s="574" t="s">
        <v>2230</v>
      </c>
      <c r="N514" s="574" t="s">
        <v>2231</v>
      </c>
      <c r="O514" s="574" t="s">
        <v>2232</v>
      </c>
      <c r="P514" s="574" t="s">
        <v>2233</v>
      </c>
      <c r="Q514" s="574" t="s">
        <v>2234</v>
      </c>
      <c r="R514" s="574" t="s">
        <v>2225</v>
      </c>
      <c r="S514" s="574" t="s">
        <v>2875</v>
      </c>
      <c r="T514" s="574" t="s">
        <v>2876</v>
      </c>
      <c r="U514" s="574" t="s">
        <v>2929</v>
      </c>
      <c r="V514" s="574" t="s">
        <v>2238</v>
      </c>
      <c r="W514" s="574" t="s">
        <v>2239</v>
      </c>
      <c r="X514" s="574" t="s">
        <v>2711</v>
      </c>
      <c r="Y514" s="575" t="s">
        <v>2634</v>
      </c>
      <c r="Z514" s="575" t="s">
        <v>2634</v>
      </c>
      <c r="AA514" s="574" t="s">
        <v>1695</v>
      </c>
      <c r="AB514" s="574" t="s">
        <v>2337</v>
      </c>
      <c r="AC514" s="574" t="s">
        <v>2338</v>
      </c>
      <c r="AD514" s="574" t="s">
        <v>2339</v>
      </c>
      <c r="AE514" s="574" t="s">
        <v>1436</v>
      </c>
      <c r="AF514" s="574" t="s">
        <v>2339</v>
      </c>
      <c r="AG514" s="576">
        <v>108855</v>
      </c>
      <c r="AH514" s="576">
        <v>0</v>
      </c>
    </row>
    <row r="515" spans="1:34" customFormat="1" x14ac:dyDescent="0.25">
      <c r="A515" s="574" t="s">
        <v>2219</v>
      </c>
      <c r="B515" s="574" t="s">
        <v>2220</v>
      </c>
      <c r="C515" s="574" t="s">
        <v>2221</v>
      </c>
      <c r="D515" s="574" t="s">
        <v>2220</v>
      </c>
      <c r="E515" s="574" t="s">
        <v>2222</v>
      </c>
      <c r="F515" s="574" t="s">
        <v>2223</v>
      </c>
      <c r="G515" s="574" t="s">
        <v>2224</v>
      </c>
      <c r="H515" s="574" t="s">
        <v>2225</v>
      </c>
      <c r="I515" s="574" t="s">
        <v>2226</v>
      </c>
      <c r="J515" s="574" t="s">
        <v>2227</v>
      </c>
      <c r="K515" s="574" t="s">
        <v>2228</v>
      </c>
      <c r="L515" s="574" t="s">
        <v>2229</v>
      </c>
      <c r="M515" s="574" t="s">
        <v>2230</v>
      </c>
      <c r="N515" s="574" t="s">
        <v>2231</v>
      </c>
      <c r="O515" s="574" t="s">
        <v>2232</v>
      </c>
      <c r="P515" s="574" t="s">
        <v>2233</v>
      </c>
      <c r="Q515" s="574" t="s">
        <v>2234</v>
      </c>
      <c r="R515" s="574" t="s">
        <v>2225</v>
      </c>
      <c r="S515" s="574" t="s">
        <v>2875</v>
      </c>
      <c r="T515" s="574" t="s">
        <v>2876</v>
      </c>
      <c r="U515" s="574" t="s">
        <v>2930</v>
      </c>
      <c r="V515" s="574" t="s">
        <v>2238</v>
      </c>
      <c r="W515" s="574" t="s">
        <v>2239</v>
      </c>
      <c r="X515" s="574" t="s">
        <v>2712</v>
      </c>
      <c r="Y515" s="575" t="s">
        <v>2634</v>
      </c>
      <c r="Z515" s="575" t="s">
        <v>2634</v>
      </c>
      <c r="AA515" s="574" t="s">
        <v>1695</v>
      </c>
      <c r="AB515" s="574" t="s">
        <v>2337</v>
      </c>
      <c r="AC515" s="574" t="s">
        <v>2697</v>
      </c>
      <c r="AD515" s="574" t="s">
        <v>2698</v>
      </c>
      <c r="AE515" s="574" t="s">
        <v>1440</v>
      </c>
      <c r="AF515" s="574" t="s">
        <v>2699</v>
      </c>
      <c r="AG515" s="576">
        <v>212227.72</v>
      </c>
      <c r="AH515" s="576">
        <v>0</v>
      </c>
    </row>
    <row r="516" spans="1:34" customFormat="1" x14ac:dyDescent="0.25">
      <c r="A516" s="574" t="s">
        <v>2219</v>
      </c>
      <c r="B516" s="574" t="s">
        <v>2220</v>
      </c>
      <c r="C516" s="574" t="s">
        <v>2221</v>
      </c>
      <c r="D516" s="574" t="s">
        <v>2220</v>
      </c>
      <c r="E516" s="574" t="s">
        <v>2222</v>
      </c>
      <c r="F516" s="574" t="s">
        <v>2223</v>
      </c>
      <c r="G516" s="574" t="s">
        <v>2224</v>
      </c>
      <c r="H516" s="574" t="s">
        <v>2225</v>
      </c>
      <c r="I516" s="574" t="s">
        <v>2226</v>
      </c>
      <c r="J516" s="574" t="s">
        <v>2227</v>
      </c>
      <c r="K516" s="574" t="s">
        <v>2228</v>
      </c>
      <c r="L516" s="574" t="s">
        <v>2229</v>
      </c>
      <c r="M516" s="574" t="s">
        <v>2230</v>
      </c>
      <c r="N516" s="574" t="s">
        <v>2231</v>
      </c>
      <c r="O516" s="574" t="s">
        <v>2232</v>
      </c>
      <c r="P516" s="574" t="s">
        <v>2233</v>
      </c>
      <c r="Q516" s="574" t="s">
        <v>2234</v>
      </c>
      <c r="R516" s="574" t="s">
        <v>2225</v>
      </c>
      <c r="S516" s="574" t="s">
        <v>2875</v>
      </c>
      <c r="T516" s="574" t="s">
        <v>2876</v>
      </c>
      <c r="U516" s="574" t="s">
        <v>2931</v>
      </c>
      <c r="V516" s="574" t="s">
        <v>2238</v>
      </c>
      <c r="W516" s="574" t="s">
        <v>2239</v>
      </c>
      <c r="X516" s="574" t="s">
        <v>2714</v>
      </c>
      <c r="Y516" s="575" t="s">
        <v>2641</v>
      </c>
      <c r="Z516" s="575" t="s">
        <v>2641</v>
      </c>
      <c r="AA516" s="574" t="s">
        <v>1695</v>
      </c>
      <c r="AB516" s="574" t="s">
        <v>2337</v>
      </c>
      <c r="AC516" s="574" t="s">
        <v>2338</v>
      </c>
      <c r="AD516" s="574" t="s">
        <v>2339</v>
      </c>
      <c r="AE516" s="574" t="s">
        <v>1436</v>
      </c>
      <c r="AF516" s="574" t="s">
        <v>2339</v>
      </c>
      <c r="AG516" s="576">
        <v>1500000.66</v>
      </c>
      <c r="AH516" s="576">
        <v>0</v>
      </c>
    </row>
    <row r="517" spans="1:34" customFormat="1" x14ac:dyDescent="0.25">
      <c r="A517" s="574" t="s">
        <v>2219</v>
      </c>
      <c r="B517" s="574" t="s">
        <v>2220</v>
      </c>
      <c r="C517" s="574" t="s">
        <v>2221</v>
      </c>
      <c r="D517" s="574" t="s">
        <v>2220</v>
      </c>
      <c r="E517" s="574" t="s">
        <v>2222</v>
      </c>
      <c r="F517" s="574" t="s">
        <v>2223</v>
      </c>
      <c r="G517" s="574" t="s">
        <v>2224</v>
      </c>
      <c r="H517" s="574" t="s">
        <v>2225</v>
      </c>
      <c r="I517" s="574" t="s">
        <v>2226</v>
      </c>
      <c r="J517" s="574" t="s">
        <v>2227</v>
      </c>
      <c r="K517" s="574" t="s">
        <v>2228</v>
      </c>
      <c r="L517" s="574" t="s">
        <v>2229</v>
      </c>
      <c r="M517" s="574" t="s">
        <v>2230</v>
      </c>
      <c r="N517" s="574" t="s">
        <v>2231</v>
      </c>
      <c r="O517" s="574" t="s">
        <v>2759</v>
      </c>
      <c r="P517" s="574" t="s">
        <v>2932</v>
      </c>
      <c r="Q517" s="574" t="s">
        <v>2234</v>
      </c>
      <c r="R517" s="574" t="s">
        <v>2225</v>
      </c>
      <c r="S517" s="574" t="s">
        <v>2235</v>
      </c>
      <c r="T517" s="574" t="s">
        <v>2236</v>
      </c>
      <c r="U517" s="574" t="s">
        <v>2370</v>
      </c>
      <c r="V517" s="574" t="s">
        <v>2238</v>
      </c>
      <c r="W517" s="574" t="s">
        <v>2239</v>
      </c>
      <c r="X517" s="574" t="s">
        <v>2371</v>
      </c>
      <c r="Y517" s="575" t="s">
        <v>2372</v>
      </c>
      <c r="Z517" s="575" t="s">
        <v>2372</v>
      </c>
      <c r="AA517" s="574" t="s">
        <v>1684</v>
      </c>
      <c r="AB517" s="574" t="s">
        <v>2933</v>
      </c>
      <c r="AC517" s="574" t="s">
        <v>2934</v>
      </c>
      <c r="AD517" s="574" t="s">
        <v>137</v>
      </c>
      <c r="AE517" s="574" t="s">
        <v>1461</v>
      </c>
      <c r="AF517" s="574" t="s">
        <v>137</v>
      </c>
      <c r="AG517" s="576">
        <v>0</v>
      </c>
      <c r="AH517" s="576">
        <v>34791.839999999997</v>
      </c>
    </row>
    <row r="518" spans="1:34" customFormat="1" x14ac:dyDescent="0.25">
      <c r="A518" s="574" t="s">
        <v>2219</v>
      </c>
      <c r="B518" s="574" t="s">
        <v>2220</v>
      </c>
      <c r="C518" s="574" t="s">
        <v>2221</v>
      </c>
      <c r="D518" s="574" t="s">
        <v>2220</v>
      </c>
      <c r="E518" s="574" t="s">
        <v>2222</v>
      </c>
      <c r="F518" s="574" t="s">
        <v>2223</v>
      </c>
      <c r="G518" s="574" t="s">
        <v>2224</v>
      </c>
      <c r="H518" s="574" t="s">
        <v>2225</v>
      </c>
      <c r="I518" s="574" t="s">
        <v>2226</v>
      </c>
      <c r="J518" s="574" t="s">
        <v>2227</v>
      </c>
      <c r="K518" s="574" t="s">
        <v>2228</v>
      </c>
      <c r="L518" s="574" t="s">
        <v>2229</v>
      </c>
      <c r="M518" s="574" t="s">
        <v>2230</v>
      </c>
      <c r="N518" s="574" t="s">
        <v>2231</v>
      </c>
      <c r="O518" s="574" t="s">
        <v>2759</v>
      </c>
      <c r="P518" s="574" t="s">
        <v>2932</v>
      </c>
      <c r="Q518" s="574" t="s">
        <v>2234</v>
      </c>
      <c r="R518" s="574" t="s">
        <v>2225</v>
      </c>
      <c r="S518" s="574" t="s">
        <v>2235</v>
      </c>
      <c r="T518" s="574" t="s">
        <v>2236</v>
      </c>
      <c r="U518" s="574" t="s">
        <v>2370</v>
      </c>
      <c r="V518" s="574" t="s">
        <v>2238</v>
      </c>
      <c r="W518" s="574" t="s">
        <v>2239</v>
      </c>
      <c r="X518" s="574" t="s">
        <v>2371</v>
      </c>
      <c r="Y518" s="575" t="s">
        <v>2372</v>
      </c>
      <c r="Z518" s="575" t="s">
        <v>2372</v>
      </c>
      <c r="AA518" s="574" t="s">
        <v>1685</v>
      </c>
      <c r="AB518" s="574" t="s">
        <v>2935</v>
      </c>
      <c r="AC518" s="574" t="s">
        <v>2936</v>
      </c>
      <c r="AD518" s="574" t="s">
        <v>2937</v>
      </c>
      <c r="AE518" s="574" t="s">
        <v>2938</v>
      </c>
      <c r="AF518" s="574" t="s">
        <v>2939</v>
      </c>
      <c r="AG518" s="576">
        <v>0</v>
      </c>
      <c r="AH518" s="576">
        <v>16089.95</v>
      </c>
    </row>
    <row r="519" spans="1:34" customFormat="1" x14ac:dyDescent="0.25">
      <c r="A519" s="574" t="s">
        <v>2219</v>
      </c>
      <c r="B519" s="574" t="s">
        <v>2220</v>
      </c>
      <c r="C519" s="574" t="s">
        <v>2221</v>
      </c>
      <c r="D519" s="574" t="s">
        <v>2220</v>
      </c>
      <c r="E519" s="574" t="s">
        <v>2222</v>
      </c>
      <c r="F519" s="574" t="s">
        <v>2223</v>
      </c>
      <c r="G519" s="574" t="s">
        <v>2224</v>
      </c>
      <c r="H519" s="574" t="s">
        <v>2225</v>
      </c>
      <c r="I519" s="574" t="s">
        <v>2226</v>
      </c>
      <c r="J519" s="574" t="s">
        <v>2227</v>
      </c>
      <c r="K519" s="574" t="s">
        <v>2228</v>
      </c>
      <c r="L519" s="574" t="s">
        <v>2229</v>
      </c>
      <c r="M519" s="574" t="s">
        <v>2230</v>
      </c>
      <c r="N519" s="574" t="s">
        <v>2231</v>
      </c>
      <c r="O519" s="574" t="s">
        <v>2759</v>
      </c>
      <c r="P519" s="574" t="s">
        <v>2932</v>
      </c>
      <c r="Q519" s="574" t="s">
        <v>2234</v>
      </c>
      <c r="R519" s="574" t="s">
        <v>2225</v>
      </c>
      <c r="S519" s="574" t="s">
        <v>2235</v>
      </c>
      <c r="T519" s="574" t="s">
        <v>2236</v>
      </c>
      <c r="U519" s="574" t="s">
        <v>2940</v>
      </c>
      <c r="V519" s="574" t="s">
        <v>2238</v>
      </c>
      <c r="W519" s="574" t="s">
        <v>2239</v>
      </c>
      <c r="X519" s="574" t="s">
        <v>2941</v>
      </c>
      <c r="Y519" s="575" t="s">
        <v>2424</v>
      </c>
      <c r="Z519" s="575" t="s">
        <v>2424</v>
      </c>
      <c r="AA519" s="574" t="s">
        <v>2942</v>
      </c>
      <c r="AB519" s="574" t="s">
        <v>2943</v>
      </c>
      <c r="AC519" s="574" t="s">
        <v>2944</v>
      </c>
      <c r="AD519" s="574" t="s">
        <v>2945</v>
      </c>
      <c r="AE519" s="574" t="s">
        <v>2946</v>
      </c>
      <c r="AF519" s="574" t="s">
        <v>2945</v>
      </c>
      <c r="AG519" s="576">
        <v>0</v>
      </c>
      <c r="AH519" s="576">
        <v>105315</v>
      </c>
    </row>
    <row r="520" spans="1:34" customFormat="1" x14ac:dyDescent="0.25">
      <c r="A520" s="574" t="s">
        <v>2219</v>
      </c>
      <c r="B520" s="574" t="s">
        <v>2220</v>
      </c>
      <c r="C520" s="574" t="s">
        <v>2221</v>
      </c>
      <c r="D520" s="574" t="s">
        <v>2220</v>
      </c>
      <c r="E520" s="574" t="s">
        <v>2222</v>
      </c>
      <c r="F520" s="574" t="s">
        <v>2223</v>
      </c>
      <c r="G520" s="574" t="s">
        <v>2224</v>
      </c>
      <c r="H520" s="574" t="s">
        <v>2225</v>
      </c>
      <c r="I520" s="574" t="s">
        <v>2226</v>
      </c>
      <c r="J520" s="574" t="s">
        <v>2227</v>
      </c>
      <c r="K520" s="574" t="s">
        <v>2228</v>
      </c>
      <c r="L520" s="574" t="s">
        <v>2229</v>
      </c>
      <c r="M520" s="574" t="s">
        <v>2230</v>
      </c>
      <c r="N520" s="574" t="s">
        <v>2231</v>
      </c>
      <c r="O520" s="574" t="s">
        <v>2759</v>
      </c>
      <c r="P520" s="574" t="s">
        <v>2932</v>
      </c>
      <c r="Q520" s="574" t="s">
        <v>2234</v>
      </c>
      <c r="R520" s="574" t="s">
        <v>2225</v>
      </c>
      <c r="S520" s="574" t="s">
        <v>2235</v>
      </c>
      <c r="T520" s="574" t="s">
        <v>2236</v>
      </c>
      <c r="U520" s="574" t="s">
        <v>2947</v>
      </c>
      <c r="V520" s="574" t="s">
        <v>2238</v>
      </c>
      <c r="W520" s="574" t="s">
        <v>2239</v>
      </c>
      <c r="X520" s="574" t="s">
        <v>2948</v>
      </c>
      <c r="Y520" s="575" t="s">
        <v>2424</v>
      </c>
      <c r="Z520" s="575" t="s">
        <v>2424</v>
      </c>
      <c r="AA520" s="574" t="s">
        <v>2949</v>
      </c>
      <c r="AB520" s="574" t="s">
        <v>2950</v>
      </c>
      <c r="AC520" s="574" t="s">
        <v>2951</v>
      </c>
      <c r="AD520" s="574" t="s">
        <v>2952</v>
      </c>
      <c r="AE520" s="574" t="s">
        <v>2953</v>
      </c>
      <c r="AF520" s="574" t="s">
        <v>2952</v>
      </c>
      <c r="AG520" s="576">
        <v>0</v>
      </c>
      <c r="AH520" s="576">
        <v>6938.4</v>
      </c>
    </row>
    <row r="521" spans="1:34" customFormat="1" x14ac:dyDescent="0.25">
      <c r="A521" s="574" t="s">
        <v>2219</v>
      </c>
      <c r="B521" s="574" t="s">
        <v>2220</v>
      </c>
      <c r="C521" s="574" t="s">
        <v>2221</v>
      </c>
      <c r="D521" s="574" t="s">
        <v>2220</v>
      </c>
      <c r="E521" s="574" t="s">
        <v>2222</v>
      </c>
      <c r="F521" s="574" t="s">
        <v>2223</v>
      </c>
      <c r="G521" s="574" t="s">
        <v>2224</v>
      </c>
      <c r="H521" s="574" t="s">
        <v>2225</v>
      </c>
      <c r="I521" s="574" t="s">
        <v>2226</v>
      </c>
      <c r="J521" s="574" t="s">
        <v>2227</v>
      </c>
      <c r="K521" s="574" t="s">
        <v>2228</v>
      </c>
      <c r="L521" s="574" t="s">
        <v>2229</v>
      </c>
      <c r="M521" s="574" t="s">
        <v>2230</v>
      </c>
      <c r="N521" s="574" t="s">
        <v>2231</v>
      </c>
      <c r="O521" s="574" t="s">
        <v>2759</v>
      </c>
      <c r="P521" s="574" t="s">
        <v>2932</v>
      </c>
      <c r="Q521" s="574" t="s">
        <v>2234</v>
      </c>
      <c r="R521" s="574" t="s">
        <v>2225</v>
      </c>
      <c r="S521" s="574" t="s">
        <v>2235</v>
      </c>
      <c r="T521" s="574" t="s">
        <v>2236</v>
      </c>
      <c r="U521" s="574" t="s">
        <v>2947</v>
      </c>
      <c r="V521" s="574" t="s">
        <v>2238</v>
      </c>
      <c r="W521" s="574" t="s">
        <v>2239</v>
      </c>
      <c r="X521" s="574" t="s">
        <v>2948</v>
      </c>
      <c r="Y521" s="575" t="s">
        <v>2424</v>
      </c>
      <c r="Z521" s="575" t="s">
        <v>2424</v>
      </c>
      <c r="AA521" s="574" t="s">
        <v>2954</v>
      </c>
      <c r="AB521" s="574" t="s">
        <v>2955</v>
      </c>
      <c r="AC521" s="574" t="s">
        <v>2956</v>
      </c>
      <c r="AD521" s="574" t="s">
        <v>2957</v>
      </c>
      <c r="AE521" s="574" t="s">
        <v>2958</v>
      </c>
      <c r="AF521" s="574" t="s">
        <v>113</v>
      </c>
      <c r="AG521" s="576">
        <v>0</v>
      </c>
      <c r="AH521" s="576">
        <v>25358.2</v>
      </c>
    </row>
    <row r="522" spans="1:34" customFormat="1" x14ac:dyDescent="0.25">
      <c r="A522" s="574" t="s">
        <v>2219</v>
      </c>
      <c r="B522" s="574" t="s">
        <v>2220</v>
      </c>
      <c r="C522" s="574" t="s">
        <v>2221</v>
      </c>
      <c r="D522" s="574" t="s">
        <v>2220</v>
      </c>
      <c r="E522" s="574" t="s">
        <v>2222</v>
      </c>
      <c r="F522" s="574" t="s">
        <v>2223</v>
      </c>
      <c r="G522" s="574" t="s">
        <v>2224</v>
      </c>
      <c r="H522" s="574" t="s">
        <v>2225</v>
      </c>
      <c r="I522" s="574" t="s">
        <v>2226</v>
      </c>
      <c r="J522" s="574" t="s">
        <v>2227</v>
      </c>
      <c r="K522" s="574" t="s">
        <v>2228</v>
      </c>
      <c r="L522" s="574" t="s">
        <v>2229</v>
      </c>
      <c r="M522" s="574" t="s">
        <v>2230</v>
      </c>
      <c r="N522" s="574" t="s">
        <v>2231</v>
      </c>
      <c r="O522" s="574" t="s">
        <v>2759</v>
      </c>
      <c r="P522" s="574" t="s">
        <v>2932</v>
      </c>
      <c r="Q522" s="574" t="s">
        <v>2234</v>
      </c>
      <c r="R522" s="574" t="s">
        <v>2225</v>
      </c>
      <c r="S522" s="574" t="s">
        <v>2235</v>
      </c>
      <c r="T522" s="574" t="s">
        <v>2236</v>
      </c>
      <c r="U522" s="574" t="s">
        <v>2947</v>
      </c>
      <c r="V522" s="574" t="s">
        <v>2238</v>
      </c>
      <c r="W522" s="574" t="s">
        <v>2239</v>
      </c>
      <c r="X522" s="574" t="s">
        <v>2948</v>
      </c>
      <c r="Y522" s="575" t="s">
        <v>2424</v>
      </c>
      <c r="Z522" s="575" t="s">
        <v>2424</v>
      </c>
      <c r="AA522" s="574" t="s">
        <v>2954</v>
      </c>
      <c r="AB522" s="574" t="s">
        <v>2955</v>
      </c>
      <c r="AC522" s="574" t="s">
        <v>2956</v>
      </c>
      <c r="AD522" s="574" t="s">
        <v>2957</v>
      </c>
      <c r="AE522" s="574" t="s">
        <v>2959</v>
      </c>
      <c r="AF522" s="574" t="s">
        <v>2960</v>
      </c>
      <c r="AG522" s="576">
        <v>0</v>
      </c>
      <c r="AH522" s="576">
        <v>67142</v>
      </c>
    </row>
    <row r="523" spans="1:34" customFormat="1" x14ac:dyDescent="0.25">
      <c r="A523" s="574" t="s">
        <v>2219</v>
      </c>
      <c r="B523" s="574" t="s">
        <v>2220</v>
      </c>
      <c r="C523" s="574" t="s">
        <v>2221</v>
      </c>
      <c r="D523" s="574" t="s">
        <v>2220</v>
      </c>
      <c r="E523" s="574" t="s">
        <v>2222</v>
      </c>
      <c r="F523" s="574" t="s">
        <v>2223</v>
      </c>
      <c r="G523" s="574" t="s">
        <v>2224</v>
      </c>
      <c r="H523" s="574" t="s">
        <v>2225</v>
      </c>
      <c r="I523" s="574" t="s">
        <v>2226</v>
      </c>
      <c r="J523" s="574" t="s">
        <v>2227</v>
      </c>
      <c r="K523" s="574" t="s">
        <v>2228</v>
      </c>
      <c r="L523" s="574" t="s">
        <v>2229</v>
      </c>
      <c r="M523" s="574" t="s">
        <v>2230</v>
      </c>
      <c r="N523" s="574" t="s">
        <v>2231</v>
      </c>
      <c r="O523" s="574" t="s">
        <v>2759</v>
      </c>
      <c r="P523" s="574" t="s">
        <v>2932</v>
      </c>
      <c r="Q523" s="574" t="s">
        <v>2234</v>
      </c>
      <c r="R523" s="574" t="s">
        <v>2225</v>
      </c>
      <c r="S523" s="574" t="s">
        <v>2235</v>
      </c>
      <c r="T523" s="574" t="s">
        <v>2236</v>
      </c>
      <c r="U523" s="574" t="s">
        <v>2947</v>
      </c>
      <c r="V523" s="574" t="s">
        <v>2238</v>
      </c>
      <c r="W523" s="574" t="s">
        <v>2239</v>
      </c>
      <c r="X523" s="574" t="s">
        <v>2948</v>
      </c>
      <c r="Y523" s="575" t="s">
        <v>2424</v>
      </c>
      <c r="Z523" s="575" t="s">
        <v>2424</v>
      </c>
      <c r="AA523" s="574" t="s">
        <v>1692</v>
      </c>
      <c r="AB523" s="574" t="s">
        <v>2307</v>
      </c>
      <c r="AC523" s="574" t="s">
        <v>2308</v>
      </c>
      <c r="AD523" s="574" t="s">
        <v>2309</v>
      </c>
      <c r="AE523" s="574" t="s">
        <v>1482</v>
      </c>
      <c r="AF523" s="574" t="s">
        <v>2961</v>
      </c>
      <c r="AG523" s="576">
        <v>0</v>
      </c>
      <c r="AH523" s="576">
        <v>85951.2</v>
      </c>
    </row>
    <row r="524" spans="1:34" customFormat="1" x14ac:dyDescent="0.25">
      <c r="A524" s="574" t="s">
        <v>2219</v>
      </c>
      <c r="B524" s="574" t="s">
        <v>2220</v>
      </c>
      <c r="C524" s="574" t="s">
        <v>2221</v>
      </c>
      <c r="D524" s="574" t="s">
        <v>2220</v>
      </c>
      <c r="E524" s="574" t="s">
        <v>2222</v>
      </c>
      <c r="F524" s="574" t="s">
        <v>2223</v>
      </c>
      <c r="G524" s="574" t="s">
        <v>2224</v>
      </c>
      <c r="H524" s="574" t="s">
        <v>2225</v>
      </c>
      <c r="I524" s="574" t="s">
        <v>2226</v>
      </c>
      <c r="J524" s="574" t="s">
        <v>2227</v>
      </c>
      <c r="K524" s="574" t="s">
        <v>2228</v>
      </c>
      <c r="L524" s="574" t="s">
        <v>2229</v>
      </c>
      <c r="M524" s="574" t="s">
        <v>2230</v>
      </c>
      <c r="N524" s="574" t="s">
        <v>2231</v>
      </c>
      <c r="O524" s="574" t="s">
        <v>2759</v>
      </c>
      <c r="P524" s="574" t="s">
        <v>2932</v>
      </c>
      <c r="Q524" s="574" t="s">
        <v>2234</v>
      </c>
      <c r="R524" s="574" t="s">
        <v>2225</v>
      </c>
      <c r="S524" s="574" t="s">
        <v>2235</v>
      </c>
      <c r="T524" s="574" t="s">
        <v>2236</v>
      </c>
      <c r="U524" s="574" t="s">
        <v>2947</v>
      </c>
      <c r="V524" s="574" t="s">
        <v>2238</v>
      </c>
      <c r="W524" s="574" t="s">
        <v>2239</v>
      </c>
      <c r="X524" s="574" t="s">
        <v>2948</v>
      </c>
      <c r="Y524" s="575" t="s">
        <v>2424</v>
      </c>
      <c r="Z524" s="575" t="s">
        <v>2424</v>
      </c>
      <c r="AA524" s="574" t="s">
        <v>1693</v>
      </c>
      <c r="AB524" s="574" t="s">
        <v>2319</v>
      </c>
      <c r="AC524" s="574" t="s">
        <v>2652</v>
      </c>
      <c r="AD524" s="574" t="s">
        <v>2653</v>
      </c>
      <c r="AE524" s="574" t="s">
        <v>2654</v>
      </c>
      <c r="AF524" s="574" t="s">
        <v>2655</v>
      </c>
      <c r="AG524" s="576">
        <v>0</v>
      </c>
      <c r="AH524" s="576">
        <v>2301</v>
      </c>
    </row>
    <row r="525" spans="1:34" customFormat="1" x14ac:dyDescent="0.25">
      <c r="A525" s="574" t="s">
        <v>2219</v>
      </c>
      <c r="B525" s="574" t="s">
        <v>2220</v>
      </c>
      <c r="C525" s="574" t="s">
        <v>2221</v>
      </c>
      <c r="D525" s="574" t="s">
        <v>2220</v>
      </c>
      <c r="E525" s="574" t="s">
        <v>2222</v>
      </c>
      <c r="F525" s="574" t="s">
        <v>2223</v>
      </c>
      <c r="G525" s="574" t="s">
        <v>2224</v>
      </c>
      <c r="H525" s="574" t="s">
        <v>2225</v>
      </c>
      <c r="I525" s="574" t="s">
        <v>2226</v>
      </c>
      <c r="J525" s="574" t="s">
        <v>2227</v>
      </c>
      <c r="K525" s="574" t="s">
        <v>2228</v>
      </c>
      <c r="L525" s="574" t="s">
        <v>2229</v>
      </c>
      <c r="M525" s="574" t="s">
        <v>2230</v>
      </c>
      <c r="N525" s="574" t="s">
        <v>2231</v>
      </c>
      <c r="O525" s="574" t="s">
        <v>2759</v>
      </c>
      <c r="P525" s="574" t="s">
        <v>2932</v>
      </c>
      <c r="Q525" s="574" t="s">
        <v>2234</v>
      </c>
      <c r="R525" s="574" t="s">
        <v>2225</v>
      </c>
      <c r="S525" s="574" t="s">
        <v>2235</v>
      </c>
      <c r="T525" s="574" t="s">
        <v>2236</v>
      </c>
      <c r="U525" s="574" t="s">
        <v>2947</v>
      </c>
      <c r="V525" s="574" t="s">
        <v>2238</v>
      </c>
      <c r="W525" s="574" t="s">
        <v>2239</v>
      </c>
      <c r="X525" s="574" t="s">
        <v>2948</v>
      </c>
      <c r="Y525" s="575" t="s">
        <v>2424</v>
      </c>
      <c r="Z525" s="575" t="s">
        <v>2424</v>
      </c>
      <c r="AA525" s="574" t="s">
        <v>1693</v>
      </c>
      <c r="AB525" s="574" t="s">
        <v>2319</v>
      </c>
      <c r="AC525" s="574" t="s">
        <v>2962</v>
      </c>
      <c r="AD525" s="574" t="s">
        <v>126</v>
      </c>
      <c r="AE525" s="574" t="s">
        <v>1522</v>
      </c>
      <c r="AF525" s="574" t="s">
        <v>126</v>
      </c>
      <c r="AG525" s="576">
        <v>0</v>
      </c>
      <c r="AH525" s="576">
        <v>13452</v>
      </c>
    </row>
    <row r="526" spans="1:34" customFormat="1" x14ac:dyDescent="0.25">
      <c r="A526" s="574" t="s">
        <v>2219</v>
      </c>
      <c r="B526" s="574" t="s">
        <v>2220</v>
      </c>
      <c r="C526" s="574" t="s">
        <v>2221</v>
      </c>
      <c r="D526" s="574" t="s">
        <v>2220</v>
      </c>
      <c r="E526" s="574" t="s">
        <v>2222</v>
      </c>
      <c r="F526" s="574" t="s">
        <v>2223</v>
      </c>
      <c r="G526" s="574" t="s">
        <v>2224</v>
      </c>
      <c r="H526" s="574" t="s">
        <v>2225</v>
      </c>
      <c r="I526" s="574" t="s">
        <v>2226</v>
      </c>
      <c r="J526" s="574" t="s">
        <v>2227</v>
      </c>
      <c r="K526" s="574" t="s">
        <v>2228</v>
      </c>
      <c r="L526" s="574" t="s">
        <v>2229</v>
      </c>
      <c r="M526" s="574" t="s">
        <v>2230</v>
      </c>
      <c r="N526" s="574" t="s">
        <v>2231</v>
      </c>
      <c r="O526" s="574" t="s">
        <v>2759</v>
      </c>
      <c r="P526" s="574" t="s">
        <v>2932</v>
      </c>
      <c r="Q526" s="574" t="s">
        <v>2234</v>
      </c>
      <c r="R526" s="574" t="s">
        <v>2225</v>
      </c>
      <c r="S526" s="574" t="s">
        <v>2235</v>
      </c>
      <c r="T526" s="574" t="s">
        <v>2236</v>
      </c>
      <c r="U526" s="574" t="s">
        <v>2963</v>
      </c>
      <c r="V526" s="574" t="s">
        <v>2238</v>
      </c>
      <c r="W526" s="574" t="s">
        <v>2239</v>
      </c>
      <c r="X526" s="574" t="s">
        <v>2964</v>
      </c>
      <c r="Y526" s="575" t="s">
        <v>2424</v>
      </c>
      <c r="Z526" s="575" t="s">
        <v>2424</v>
      </c>
      <c r="AA526" s="574" t="s">
        <v>1686</v>
      </c>
      <c r="AB526" s="574" t="s">
        <v>2965</v>
      </c>
      <c r="AC526" s="574" t="s">
        <v>2966</v>
      </c>
      <c r="AD526" s="574" t="s">
        <v>2967</v>
      </c>
      <c r="AE526" s="574" t="s">
        <v>2968</v>
      </c>
      <c r="AF526" s="574" t="s">
        <v>2969</v>
      </c>
      <c r="AG526" s="576">
        <v>0</v>
      </c>
      <c r="AH526" s="576">
        <v>413472</v>
      </c>
    </row>
    <row r="527" spans="1:34" customFormat="1" x14ac:dyDescent="0.25">
      <c r="A527" s="574" t="s">
        <v>2219</v>
      </c>
      <c r="B527" s="574" t="s">
        <v>2220</v>
      </c>
      <c r="C527" s="574" t="s">
        <v>2221</v>
      </c>
      <c r="D527" s="574" t="s">
        <v>2220</v>
      </c>
      <c r="E527" s="574" t="s">
        <v>2222</v>
      </c>
      <c r="F527" s="574" t="s">
        <v>2223</v>
      </c>
      <c r="G527" s="574" t="s">
        <v>2224</v>
      </c>
      <c r="H527" s="574" t="s">
        <v>2225</v>
      </c>
      <c r="I527" s="574" t="s">
        <v>2226</v>
      </c>
      <c r="J527" s="574" t="s">
        <v>2227</v>
      </c>
      <c r="K527" s="574" t="s">
        <v>2228</v>
      </c>
      <c r="L527" s="574" t="s">
        <v>2229</v>
      </c>
      <c r="M527" s="574" t="s">
        <v>2230</v>
      </c>
      <c r="N527" s="574" t="s">
        <v>2231</v>
      </c>
      <c r="O527" s="574" t="s">
        <v>2759</v>
      </c>
      <c r="P527" s="574" t="s">
        <v>2932</v>
      </c>
      <c r="Q527" s="574" t="s">
        <v>2234</v>
      </c>
      <c r="R527" s="574" t="s">
        <v>2225</v>
      </c>
      <c r="S527" s="574" t="s">
        <v>2235</v>
      </c>
      <c r="T527" s="574" t="s">
        <v>2236</v>
      </c>
      <c r="U527" s="574" t="s">
        <v>2970</v>
      </c>
      <c r="V527" s="574" t="s">
        <v>2238</v>
      </c>
      <c r="W527" s="574" t="s">
        <v>2239</v>
      </c>
      <c r="X527" s="574" t="s">
        <v>2971</v>
      </c>
      <c r="Y527" s="575" t="s">
        <v>2424</v>
      </c>
      <c r="Z527" s="575" t="s">
        <v>2424</v>
      </c>
      <c r="AA527" s="574" t="s">
        <v>1688</v>
      </c>
      <c r="AB527" s="574" t="s">
        <v>2430</v>
      </c>
      <c r="AC527" s="574" t="s">
        <v>2431</v>
      </c>
      <c r="AD527" s="574" t="s">
        <v>99</v>
      </c>
      <c r="AE527" s="574" t="s">
        <v>1531</v>
      </c>
      <c r="AF527" s="574" t="s">
        <v>99</v>
      </c>
      <c r="AG527" s="576">
        <v>0</v>
      </c>
      <c r="AH527" s="576">
        <v>69393.05</v>
      </c>
    </row>
    <row r="528" spans="1:34" customFormat="1" x14ac:dyDescent="0.25">
      <c r="A528" s="574" t="s">
        <v>2219</v>
      </c>
      <c r="B528" s="574" t="s">
        <v>2220</v>
      </c>
      <c r="C528" s="574" t="s">
        <v>2221</v>
      </c>
      <c r="D528" s="574" t="s">
        <v>2220</v>
      </c>
      <c r="E528" s="574" t="s">
        <v>2222</v>
      </c>
      <c r="F528" s="574" t="s">
        <v>2223</v>
      </c>
      <c r="G528" s="574" t="s">
        <v>2224</v>
      </c>
      <c r="H528" s="574" t="s">
        <v>2225</v>
      </c>
      <c r="I528" s="574" t="s">
        <v>2226</v>
      </c>
      <c r="J528" s="574" t="s">
        <v>2227</v>
      </c>
      <c r="K528" s="574" t="s">
        <v>2228</v>
      </c>
      <c r="L528" s="574" t="s">
        <v>2229</v>
      </c>
      <c r="M528" s="574" t="s">
        <v>2230</v>
      </c>
      <c r="N528" s="574" t="s">
        <v>2231</v>
      </c>
      <c r="O528" s="574" t="s">
        <v>2759</v>
      </c>
      <c r="P528" s="574" t="s">
        <v>2932</v>
      </c>
      <c r="Q528" s="574" t="s">
        <v>2234</v>
      </c>
      <c r="R528" s="574" t="s">
        <v>2225</v>
      </c>
      <c r="S528" s="574" t="s">
        <v>2235</v>
      </c>
      <c r="T528" s="574" t="s">
        <v>2236</v>
      </c>
      <c r="U528" s="574" t="s">
        <v>2972</v>
      </c>
      <c r="V528" s="574" t="s">
        <v>2238</v>
      </c>
      <c r="W528" s="574" t="s">
        <v>2239</v>
      </c>
      <c r="X528" s="574" t="s">
        <v>2973</v>
      </c>
      <c r="Y528" s="575" t="s">
        <v>2424</v>
      </c>
      <c r="Z528" s="575" t="s">
        <v>2424</v>
      </c>
      <c r="AA528" s="574" t="s">
        <v>2949</v>
      </c>
      <c r="AB528" s="574" t="s">
        <v>2950</v>
      </c>
      <c r="AC528" s="574" t="s">
        <v>2974</v>
      </c>
      <c r="AD528" s="574" t="s">
        <v>2975</v>
      </c>
      <c r="AE528" s="574" t="s">
        <v>2976</v>
      </c>
      <c r="AF528" s="574" t="s">
        <v>2975</v>
      </c>
      <c r="AG528" s="576">
        <v>0</v>
      </c>
      <c r="AH528" s="576">
        <v>5097.6000000000004</v>
      </c>
    </row>
    <row r="529" spans="1:34" customFormat="1" x14ac:dyDescent="0.25">
      <c r="A529" s="574" t="s">
        <v>2219</v>
      </c>
      <c r="B529" s="574" t="s">
        <v>2220</v>
      </c>
      <c r="C529" s="574" t="s">
        <v>2221</v>
      </c>
      <c r="D529" s="574" t="s">
        <v>2220</v>
      </c>
      <c r="E529" s="574" t="s">
        <v>2222</v>
      </c>
      <c r="F529" s="574" t="s">
        <v>2223</v>
      </c>
      <c r="G529" s="574" t="s">
        <v>2224</v>
      </c>
      <c r="H529" s="574" t="s">
        <v>2225</v>
      </c>
      <c r="I529" s="574" t="s">
        <v>2226</v>
      </c>
      <c r="J529" s="574" t="s">
        <v>2227</v>
      </c>
      <c r="K529" s="574" t="s">
        <v>2228</v>
      </c>
      <c r="L529" s="574" t="s">
        <v>2229</v>
      </c>
      <c r="M529" s="574" t="s">
        <v>2230</v>
      </c>
      <c r="N529" s="574" t="s">
        <v>2231</v>
      </c>
      <c r="O529" s="574" t="s">
        <v>2759</v>
      </c>
      <c r="P529" s="574" t="s">
        <v>2932</v>
      </c>
      <c r="Q529" s="574" t="s">
        <v>2234</v>
      </c>
      <c r="R529" s="574" t="s">
        <v>2225</v>
      </c>
      <c r="S529" s="574" t="s">
        <v>2235</v>
      </c>
      <c r="T529" s="574" t="s">
        <v>2236</v>
      </c>
      <c r="U529" s="574" t="s">
        <v>2972</v>
      </c>
      <c r="V529" s="574" t="s">
        <v>2238</v>
      </c>
      <c r="W529" s="574" t="s">
        <v>2239</v>
      </c>
      <c r="X529" s="574" t="s">
        <v>2973</v>
      </c>
      <c r="Y529" s="575" t="s">
        <v>2424</v>
      </c>
      <c r="Z529" s="575" t="s">
        <v>2424</v>
      </c>
      <c r="AA529" s="574" t="s">
        <v>2949</v>
      </c>
      <c r="AB529" s="574" t="s">
        <v>2950</v>
      </c>
      <c r="AC529" s="574" t="s">
        <v>2951</v>
      </c>
      <c r="AD529" s="574" t="s">
        <v>2952</v>
      </c>
      <c r="AE529" s="574" t="s">
        <v>2953</v>
      </c>
      <c r="AF529" s="574" t="s">
        <v>2952</v>
      </c>
      <c r="AG529" s="576">
        <v>0</v>
      </c>
      <c r="AH529" s="576">
        <v>531</v>
      </c>
    </row>
    <row r="530" spans="1:34" customFormat="1" x14ac:dyDescent="0.25">
      <c r="A530" s="574" t="s">
        <v>2219</v>
      </c>
      <c r="B530" s="574" t="s">
        <v>2220</v>
      </c>
      <c r="C530" s="574" t="s">
        <v>2221</v>
      </c>
      <c r="D530" s="574" t="s">
        <v>2220</v>
      </c>
      <c r="E530" s="574" t="s">
        <v>2222</v>
      </c>
      <c r="F530" s="574" t="s">
        <v>2223</v>
      </c>
      <c r="G530" s="574" t="s">
        <v>2224</v>
      </c>
      <c r="H530" s="574" t="s">
        <v>2225</v>
      </c>
      <c r="I530" s="574" t="s">
        <v>2226</v>
      </c>
      <c r="J530" s="574" t="s">
        <v>2227</v>
      </c>
      <c r="K530" s="574" t="s">
        <v>2228</v>
      </c>
      <c r="L530" s="574" t="s">
        <v>2229</v>
      </c>
      <c r="M530" s="574" t="s">
        <v>2230</v>
      </c>
      <c r="N530" s="574" t="s">
        <v>2231</v>
      </c>
      <c r="O530" s="574" t="s">
        <v>2759</v>
      </c>
      <c r="P530" s="574" t="s">
        <v>2932</v>
      </c>
      <c r="Q530" s="574" t="s">
        <v>2234</v>
      </c>
      <c r="R530" s="574" t="s">
        <v>2225</v>
      </c>
      <c r="S530" s="574" t="s">
        <v>2235</v>
      </c>
      <c r="T530" s="574" t="s">
        <v>2236</v>
      </c>
      <c r="U530" s="574" t="s">
        <v>2972</v>
      </c>
      <c r="V530" s="574" t="s">
        <v>2238</v>
      </c>
      <c r="W530" s="574" t="s">
        <v>2239</v>
      </c>
      <c r="X530" s="574" t="s">
        <v>2973</v>
      </c>
      <c r="Y530" s="575" t="s">
        <v>2424</v>
      </c>
      <c r="Z530" s="575" t="s">
        <v>2424</v>
      </c>
      <c r="AA530" s="574" t="s">
        <v>2954</v>
      </c>
      <c r="AB530" s="574" t="s">
        <v>2955</v>
      </c>
      <c r="AC530" s="574" t="s">
        <v>2956</v>
      </c>
      <c r="AD530" s="574" t="s">
        <v>2957</v>
      </c>
      <c r="AE530" s="574" t="s">
        <v>2958</v>
      </c>
      <c r="AF530" s="574" t="s">
        <v>113</v>
      </c>
      <c r="AG530" s="576">
        <v>0</v>
      </c>
      <c r="AH530" s="576">
        <v>1929.3</v>
      </c>
    </row>
    <row r="531" spans="1:34" customFormat="1" x14ac:dyDescent="0.25">
      <c r="A531" s="574" t="s">
        <v>2219</v>
      </c>
      <c r="B531" s="574" t="s">
        <v>2220</v>
      </c>
      <c r="C531" s="574" t="s">
        <v>2221</v>
      </c>
      <c r="D531" s="574" t="s">
        <v>2220</v>
      </c>
      <c r="E531" s="574" t="s">
        <v>2222</v>
      </c>
      <c r="F531" s="574" t="s">
        <v>2223</v>
      </c>
      <c r="G531" s="574" t="s">
        <v>2224</v>
      </c>
      <c r="H531" s="574" t="s">
        <v>2225</v>
      </c>
      <c r="I531" s="574" t="s">
        <v>2226</v>
      </c>
      <c r="J531" s="574" t="s">
        <v>2227</v>
      </c>
      <c r="K531" s="574" t="s">
        <v>2228</v>
      </c>
      <c r="L531" s="574" t="s">
        <v>2229</v>
      </c>
      <c r="M531" s="574" t="s">
        <v>2230</v>
      </c>
      <c r="N531" s="574" t="s">
        <v>2231</v>
      </c>
      <c r="O531" s="574" t="s">
        <v>2759</v>
      </c>
      <c r="P531" s="574" t="s">
        <v>2932</v>
      </c>
      <c r="Q531" s="574" t="s">
        <v>2234</v>
      </c>
      <c r="R531" s="574" t="s">
        <v>2225</v>
      </c>
      <c r="S531" s="574" t="s">
        <v>2235</v>
      </c>
      <c r="T531" s="574" t="s">
        <v>2236</v>
      </c>
      <c r="U531" s="574" t="s">
        <v>2972</v>
      </c>
      <c r="V531" s="574" t="s">
        <v>2238</v>
      </c>
      <c r="W531" s="574" t="s">
        <v>2239</v>
      </c>
      <c r="X531" s="574" t="s">
        <v>2973</v>
      </c>
      <c r="Y531" s="575" t="s">
        <v>2424</v>
      </c>
      <c r="Z531" s="575" t="s">
        <v>2424</v>
      </c>
      <c r="AA531" s="574" t="s">
        <v>2954</v>
      </c>
      <c r="AB531" s="574" t="s">
        <v>2955</v>
      </c>
      <c r="AC531" s="574" t="s">
        <v>2956</v>
      </c>
      <c r="AD531" s="574" t="s">
        <v>2957</v>
      </c>
      <c r="AE531" s="574" t="s">
        <v>2959</v>
      </c>
      <c r="AF531" s="574" t="s">
        <v>2960</v>
      </c>
      <c r="AG531" s="576">
        <v>0</v>
      </c>
      <c r="AH531" s="576">
        <v>134343</v>
      </c>
    </row>
    <row r="532" spans="1:34" customFormat="1" x14ac:dyDescent="0.25">
      <c r="A532" s="574" t="s">
        <v>2219</v>
      </c>
      <c r="B532" s="574" t="s">
        <v>2220</v>
      </c>
      <c r="C532" s="574" t="s">
        <v>2221</v>
      </c>
      <c r="D532" s="574" t="s">
        <v>2220</v>
      </c>
      <c r="E532" s="574" t="s">
        <v>2222</v>
      </c>
      <c r="F532" s="574" t="s">
        <v>2223</v>
      </c>
      <c r="G532" s="574" t="s">
        <v>2224</v>
      </c>
      <c r="H532" s="574" t="s">
        <v>2225</v>
      </c>
      <c r="I532" s="574" t="s">
        <v>2226</v>
      </c>
      <c r="J532" s="574" t="s">
        <v>2227</v>
      </c>
      <c r="K532" s="574" t="s">
        <v>2228</v>
      </c>
      <c r="L532" s="574" t="s">
        <v>2229</v>
      </c>
      <c r="M532" s="574" t="s">
        <v>2230</v>
      </c>
      <c r="N532" s="574" t="s">
        <v>2231</v>
      </c>
      <c r="O532" s="574" t="s">
        <v>2759</v>
      </c>
      <c r="P532" s="574" t="s">
        <v>2932</v>
      </c>
      <c r="Q532" s="574" t="s">
        <v>2234</v>
      </c>
      <c r="R532" s="574" t="s">
        <v>2225</v>
      </c>
      <c r="S532" s="574" t="s">
        <v>2235</v>
      </c>
      <c r="T532" s="574" t="s">
        <v>2236</v>
      </c>
      <c r="U532" s="574" t="s">
        <v>2972</v>
      </c>
      <c r="V532" s="574" t="s">
        <v>2238</v>
      </c>
      <c r="W532" s="574" t="s">
        <v>2239</v>
      </c>
      <c r="X532" s="574" t="s">
        <v>2973</v>
      </c>
      <c r="Y532" s="575" t="s">
        <v>2424</v>
      </c>
      <c r="Z532" s="575" t="s">
        <v>2424</v>
      </c>
      <c r="AA532" s="574" t="s">
        <v>1693</v>
      </c>
      <c r="AB532" s="574" t="s">
        <v>2319</v>
      </c>
      <c r="AC532" s="574" t="s">
        <v>2652</v>
      </c>
      <c r="AD532" s="574" t="s">
        <v>2653</v>
      </c>
      <c r="AE532" s="574" t="s">
        <v>2654</v>
      </c>
      <c r="AF532" s="574" t="s">
        <v>2655</v>
      </c>
      <c r="AG532" s="576">
        <v>0</v>
      </c>
      <c r="AH532" s="576">
        <v>654.9</v>
      </c>
    </row>
    <row r="533" spans="1:34" customFormat="1" x14ac:dyDescent="0.25">
      <c r="A533" s="574" t="s">
        <v>2219</v>
      </c>
      <c r="B533" s="574" t="s">
        <v>2220</v>
      </c>
      <c r="C533" s="574" t="s">
        <v>2221</v>
      </c>
      <c r="D533" s="574" t="s">
        <v>2220</v>
      </c>
      <c r="E533" s="574" t="s">
        <v>2222</v>
      </c>
      <c r="F533" s="574" t="s">
        <v>2223</v>
      </c>
      <c r="G533" s="574" t="s">
        <v>2224</v>
      </c>
      <c r="H533" s="574" t="s">
        <v>2225</v>
      </c>
      <c r="I533" s="574" t="s">
        <v>2226</v>
      </c>
      <c r="J533" s="574" t="s">
        <v>2227</v>
      </c>
      <c r="K533" s="574" t="s">
        <v>2228</v>
      </c>
      <c r="L533" s="574" t="s">
        <v>2229</v>
      </c>
      <c r="M533" s="574" t="s">
        <v>2230</v>
      </c>
      <c r="N533" s="574" t="s">
        <v>2231</v>
      </c>
      <c r="O533" s="574" t="s">
        <v>2759</v>
      </c>
      <c r="P533" s="574" t="s">
        <v>2932</v>
      </c>
      <c r="Q533" s="574" t="s">
        <v>2234</v>
      </c>
      <c r="R533" s="574" t="s">
        <v>2225</v>
      </c>
      <c r="S533" s="574" t="s">
        <v>2235</v>
      </c>
      <c r="T533" s="574" t="s">
        <v>2236</v>
      </c>
      <c r="U533" s="574" t="s">
        <v>2972</v>
      </c>
      <c r="V533" s="574" t="s">
        <v>2238</v>
      </c>
      <c r="W533" s="574" t="s">
        <v>2239</v>
      </c>
      <c r="X533" s="574" t="s">
        <v>2973</v>
      </c>
      <c r="Y533" s="575" t="s">
        <v>2424</v>
      </c>
      <c r="Z533" s="575" t="s">
        <v>2424</v>
      </c>
      <c r="AA533" s="574" t="s">
        <v>1693</v>
      </c>
      <c r="AB533" s="574" t="s">
        <v>2319</v>
      </c>
      <c r="AC533" s="574" t="s">
        <v>2962</v>
      </c>
      <c r="AD533" s="574" t="s">
        <v>126</v>
      </c>
      <c r="AE533" s="574" t="s">
        <v>1522</v>
      </c>
      <c r="AF533" s="574" t="s">
        <v>126</v>
      </c>
      <c r="AG533" s="576">
        <v>0</v>
      </c>
      <c r="AH533" s="576">
        <v>17683.48</v>
      </c>
    </row>
    <row r="534" spans="1:34" customFormat="1" x14ac:dyDescent="0.25">
      <c r="A534" s="574" t="s">
        <v>2219</v>
      </c>
      <c r="B534" s="574" t="s">
        <v>2220</v>
      </c>
      <c r="C534" s="574" t="s">
        <v>2221</v>
      </c>
      <c r="D534" s="574" t="s">
        <v>2220</v>
      </c>
      <c r="E534" s="574" t="s">
        <v>2222</v>
      </c>
      <c r="F534" s="574" t="s">
        <v>2223</v>
      </c>
      <c r="G534" s="574" t="s">
        <v>2224</v>
      </c>
      <c r="H534" s="574" t="s">
        <v>2225</v>
      </c>
      <c r="I534" s="574" t="s">
        <v>2226</v>
      </c>
      <c r="J534" s="574" t="s">
        <v>2227</v>
      </c>
      <c r="K534" s="574" t="s">
        <v>2228</v>
      </c>
      <c r="L534" s="574" t="s">
        <v>2229</v>
      </c>
      <c r="M534" s="574" t="s">
        <v>2230</v>
      </c>
      <c r="N534" s="574" t="s">
        <v>2231</v>
      </c>
      <c r="O534" s="574" t="s">
        <v>2759</v>
      </c>
      <c r="P534" s="574" t="s">
        <v>2932</v>
      </c>
      <c r="Q534" s="574" t="s">
        <v>2234</v>
      </c>
      <c r="R534" s="574" t="s">
        <v>2225</v>
      </c>
      <c r="S534" s="574" t="s">
        <v>2235</v>
      </c>
      <c r="T534" s="574" t="s">
        <v>2236</v>
      </c>
      <c r="U534" s="574" t="s">
        <v>2977</v>
      </c>
      <c r="V534" s="574" t="s">
        <v>2238</v>
      </c>
      <c r="W534" s="574" t="s">
        <v>2239</v>
      </c>
      <c r="X534" s="574" t="s">
        <v>2978</v>
      </c>
      <c r="Y534" s="575" t="s">
        <v>2424</v>
      </c>
      <c r="Z534" s="575" t="s">
        <v>2424</v>
      </c>
      <c r="AA534" s="574" t="s">
        <v>1688</v>
      </c>
      <c r="AB534" s="574" t="s">
        <v>2430</v>
      </c>
      <c r="AC534" s="574" t="s">
        <v>2431</v>
      </c>
      <c r="AD534" s="574" t="s">
        <v>99</v>
      </c>
      <c r="AE534" s="574" t="s">
        <v>1531</v>
      </c>
      <c r="AF534" s="574" t="s">
        <v>99</v>
      </c>
      <c r="AG534" s="576">
        <v>0</v>
      </c>
      <c r="AH534" s="576">
        <v>103785</v>
      </c>
    </row>
    <row r="535" spans="1:34" customFormat="1" x14ac:dyDescent="0.25">
      <c r="A535" s="574" t="s">
        <v>2219</v>
      </c>
      <c r="B535" s="574" t="s">
        <v>2220</v>
      </c>
      <c r="C535" s="574" t="s">
        <v>2221</v>
      </c>
      <c r="D535" s="574" t="s">
        <v>2220</v>
      </c>
      <c r="E535" s="574" t="s">
        <v>2222</v>
      </c>
      <c r="F535" s="574" t="s">
        <v>2223</v>
      </c>
      <c r="G535" s="574" t="s">
        <v>2224</v>
      </c>
      <c r="H535" s="574" t="s">
        <v>2225</v>
      </c>
      <c r="I535" s="574" t="s">
        <v>2226</v>
      </c>
      <c r="J535" s="574" t="s">
        <v>2227</v>
      </c>
      <c r="K535" s="574" t="s">
        <v>2228</v>
      </c>
      <c r="L535" s="574" t="s">
        <v>2229</v>
      </c>
      <c r="M535" s="574" t="s">
        <v>2230</v>
      </c>
      <c r="N535" s="574" t="s">
        <v>2231</v>
      </c>
      <c r="O535" s="574" t="s">
        <v>2759</v>
      </c>
      <c r="P535" s="574" t="s">
        <v>2932</v>
      </c>
      <c r="Q535" s="574" t="s">
        <v>2234</v>
      </c>
      <c r="R535" s="574" t="s">
        <v>2225</v>
      </c>
      <c r="S535" s="574" t="s">
        <v>2235</v>
      </c>
      <c r="T535" s="574" t="s">
        <v>2236</v>
      </c>
      <c r="U535" s="574" t="s">
        <v>2979</v>
      </c>
      <c r="V535" s="574" t="s">
        <v>2238</v>
      </c>
      <c r="W535" s="574" t="s">
        <v>2239</v>
      </c>
      <c r="X535" s="574" t="s">
        <v>2980</v>
      </c>
      <c r="Y535" s="575" t="s">
        <v>2424</v>
      </c>
      <c r="Z535" s="575" t="s">
        <v>2424</v>
      </c>
      <c r="AA535" s="574" t="s">
        <v>1688</v>
      </c>
      <c r="AB535" s="574" t="s">
        <v>2430</v>
      </c>
      <c r="AC535" s="574" t="s">
        <v>2431</v>
      </c>
      <c r="AD535" s="574" t="s">
        <v>99</v>
      </c>
      <c r="AE535" s="574" t="s">
        <v>1531</v>
      </c>
      <c r="AF535" s="574" t="s">
        <v>99</v>
      </c>
      <c r="AG535" s="576">
        <v>0</v>
      </c>
      <c r="AH535" s="576">
        <v>348600</v>
      </c>
    </row>
    <row r="536" spans="1:34" customFormat="1" x14ac:dyDescent="0.25">
      <c r="A536" s="574" t="s">
        <v>2219</v>
      </c>
      <c r="B536" s="574" t="s">
        <v>2220</v>
      </c>
      <c r="C536" s="574" t="s">
        <v>2221</v>
      </c>
      <c r="D536" s="574" t="s">
        <v>2220</v>
      </c>
      <c r="E536" s="574" t="s">
        <v>2222</v>
      </c>
      <c r="F536" s="574" t="s">
        <v>2223</v>
      </c>
      <c r="G536" s="574" t="s">
        <v>2224</v>
      </c>
      <c r="H536" s="574" t="s">
        <v>2225</v>
      </c>
      <c r="I536" s="574" t="s">
        <v>2226</v>
      </c>
      <c r="J536" s="574" t="s">
        <v>2227</v>
      </c>
      <c r="K536" s="574" t="s">
        <v>2228</v>
      </c>
      <c r="L536" s="574" t="s">
        <v>2229</v>
      </c>
      <c r="M536" s="574" t="s">
        <v>2230</v>
      </c>
      <c r="N536" s="574" t="s">
        <v>2231</v>
      </c>
      <c r="O536" s="574" t="s">
        <v>2759</v>
      </c>
      <c r="P536" s="574" t="s">
        <v>2932</v>
      </c>
      <c r="Q536" s="574" t="s">
        <v>2234</v>
      </c>
      <c r="R536" s="574" t="s">
        <v>2225</v>
      </c>
      <c r="S536" s="574" t="s">
        <v>2235</v>
      </c>
      <c r="T536" s="574" t="s">
        <v>2236</v>
      </c>
      <c r="U536" s="574" t="s">
        <v>2981</v>
      </c>
      <c r="V536" s="574" t="s">
        <v>2238</v>
      </c>
      <c r="W536" s="574" t="s">
        <v>2239</v>
      </c>
      <c r="X536" s="574" t="s">
        <v>2982</v>
      </c>
      <c r="Y536" s="575" t="s">
        <v>2424</v>
      </c>
      <c r="Z536" s="575" t="s">
        <v>2424</v>
      </c>
      <c r="AA536" s="574" t="s">
        <v>2949</v>
      </c>
      <c r="AB536" s="574" t="s">
        <v>2950</v>
      </c>
      <c r="AC536" s="574" t="s">
        <v>2974</v>
      </c>
      <c r="AD536" s="574" t="s">
        <v>2975</v>
      </c>
      <c r="AE536" s="574" t="s">
        <v>2976</v>
      </c>
      <c r="AF536" s="574" t="s">
        <v>2975</v>
      </c>
      <c r="AG536" s="576">
        <v>0</v>
      </c>
      <c r="AH536" s="576">
        <v>10797</v>
      </c>
    </row>
    <row r="537" spans="1:34" customFormat="1" x14ac:dyDescent="0.25">
      <c r="A537" s="574" t="s">
        <v>2219</v>
      </c>
      <c r="B537" s="574" t="s">
        <v>2220</v>
      </c>
      <c r="C537" s="574" t="s">
        <v>2221</v>
      </c>
      <c r="D537" s="574" t="s">
        <v>2220</v>
      </c>
      <c r="E537" s="574" t="s">
        <v>2222</v>
      </c>
      <c r="F537" s="574" t="s">
        <v>2223</v>
      </c>
      <c r="G537" s="574" t="s">
        <v>2224</v>
      </c>
      <c r="H537" s="574" t="s">
        <v>2225</v>
      </c>
      <c r="I537" s="574" t="s">
        <v>2226</v>
      </c>
      <c r="J537" s="574" t="s">
        <v>2227</v>
      </c>
      <c r="K537" s="574" t="s">
        <v>2228</v>
      </c>
      <c r="L537" s="574" t="s">
        <v>2229</v>
      </c>
      <c r="M537" s="574" t="s">
        <v>2230</v>
      </c>
      <c r="N537" s="574" t="s">
        <v>2231</v>
      </c>
      <c r="O537" s="574" t="s">
        <v>2759</v>
      </c>
      <c r="P537" s="574" t="s">
        <v>2932</v>
      </c>
      <c r="Q537" s="574" t="s">
        <v>2234</v>
      </c>
      <c r="R537" s="574" t="s">
        <v>2225</v>
      </c>
      <c r="S537" s="574" t="s">
        <v>2235</v>
      </c>
      <c r="T537" s="574" t="s">
        <v>2236</v>
      </c>
      <c r="U537" s="574" t="s">
        <v>2981</v>
      </c>
      <c r="V537" s="574" t="s">
        <v>2238</v>
      </c>
      <c r="W537" s="574" t="s">
        <v>2239</v>
      </c>
      <c r="X537" s="574" t="s">
        <v>2982</v>
      </c>
      <c r="Y537" s="575" t="s">
        <v>2424</v>
      </c>
      <c r="Z537" s="575" t="s">
        <v>2424</v>
      </c>
      <c r="AA537" s="574" t="s">
        <v>2949</v>
      </c>
      <c r="AB537" s="574" t="s">
        <v>2950</v>
      </c>
      <c r="AC537" s="574" t="s">
        <v>2951</v>
      </c>
      <c r="AD537" s="574" t="s">
        <v>2952</v>
      </c>
      <c r="AE537" s="574" t="s">
        <v>2953</v>
      </c>
      <c r="AF537" s="574" t="s">
        <v>2952</v>
      </c>
      <c r="AG537" s="576">
        <v>0</v>
      </c>
      <c r="AH537" s="576">
        <v>4165.3999999999996</v>
      </c>
    </row>
    <row r="538" spans="1:34" customFormat="1" x14ac:dyDescent="0.25">
      <c r="A538" s="574" t="s">
        <v>2219</v>
      </c>
      <c r="B538" s="574" t="s">
        <v>2220</v>
      </c>
      <c r="C538" s="574" t="s">
        <v>2221</v>
      </c>
      <c r="D538" s="574" t="s">
        <v>2220</v>
      </c>
      <c r="E538" s="574" t="s">
        <v>2222</v>
      </c>
      <c r="F538" s="574" t="s">
        <v>2223</v>
      </c>
      <c r="G538" s="574" t="s">
        <v>2224</v>
      </c>
      <c r="H538" s="574" t="s">
        <v>2225</v>
      </c>
      <c r="I538" s="574" t="s">
        <v>2226</v>
      </c>
      <c r="J538" s="574" t="s">
        <v>2227</v>
      </c>
      <c r="K538" s="574" t="s">
        <v>2228</v>
      </c>
      <c r="L538" s="574" t="s">
        <v>2229</v>
      </c>
      <c r="M538" s="574" t="s">
        <v>2230</v>
      </c>
      <c r="N538" s="574" t="s">
        <v>2231</v>
      </c>
      <c r="O538" s="574" t="s">
        <v>2759</v>
      </c>
      <c r="P538" s="574" t="s">
        <v>2932</v>
      </c>
      <c r="Q538" s="574" t="s">
        <v>2234</v>
      </c>
      <c r="R538" s="574" t="s">
        <v>2225</v>
      </c>
      <c r="S538" s="574" t="s">
        <v>2235</v>
      </c>
      <c r="T538" s="574" t="s">
        <v>2236</v>
      </c>
      <c r="U538" s="574" t="s">
        <v>2981</v>
      </c>
      <c r="V538" s="574" t="s">
        <v>2238</v>
      </c>
      <c r="W538" s="574" t="s">
        <v>2239</v>
      </c>
      <c r="X538" s="574" t="s">
        <v>2982</v>
      </c>
      <c r="Y538" s="575" t="s">
        <v>2424</v>
      </c>
      <c r="Z538" s="575" t="s">
        <v>2424</v>
      </c>
      <c r="AA538" s="574" t="s">
        <v>2954</v>
      </c>
      <c r="AB538" s="574" t="s">
        <v>2955</v>
      </c>
      <c r="AC538" s="574" t="s">
        <v>2983</v>
      </c>
      <c r="AD538" s="574" t="s">
        <v>2984</v>
      </c>
      <c r="AE538" s="574" t="s">
        <v>2985</v>
      </c>
      <c r="AF538" s="574" t="s">
        <v>2986</v>
      </c>
      <c r="AG538" s="576">
        <v>0</v>
      </c>
      <c r="AH538" s="576">
        <v>41949</v>
      </c>
    </row>
    <row r="539" spans="1:34" customFormat="1" x14ac:dyDescent="0.25">
      <c r="A539" s="574" t="s">
        <v>2219</v>
      </c>
      <c r="B539" s="574" t="s">
        <v>2220</v>
      </c>
      <c r="C539" s="574" t="s">
        <v>2221</v>
      </c>
      <c r="D539" s="574" t="s">
        <v>2220</v>
      </c>
      <c r="E539" s="574" t="s">
        <v>2222</v>
      </c>
      <c r="F539" s="574" t="s">
        <v>2223</v>
      </c>
      <c r="G539" s="574" t="s">
        <v>2224</v>
      </c>
      <c r="H539" s="574" t="s">
        <v>2225</v>
      </c>
      <c r="I539" s="574" t="s">
        <v>2226</v>
      </c>
      <c r="J539" s="574" t="s">
        <v>2227</v>
      </c>
      <c r="K539" s="574" t="s">
        <v>2228</v>
      </c>
      <c r="L539" s="574" t="s">
        <v>2229</v>
      </c>
      <c r="M539" s="574" t="s">
        <v>2230</v>
      </c>
      <c r="N539" s="574" t="s">
        <v>2231</v>
      </c>
      <c r="O539" s="574" t="s">
        <v>2759</v>
      </c>
      <c r="P539" s="574" t="s">
        <v>2932</v>
      </c>
      <c r="Q539" s="574" t="s">
        <v>2234</v>
      </c>
      <c r="R539" s="574" t="s">
        <v>2225</v>
      </c>
      <c r="S539" s="574" t="s">
        <v>2235</v>
      </c>
      <c r="T539" s="574" t="s">
        <v>2236</v>
      </c>
      <c r="U539" s="574" t="s">
        <v>2981</v>
      </c>
      <c r="V539" s="574" t="s">
        <v>2238</v>
      </c>
      <c r="W539" s="574" t="s">
        <v>2239</v>
      </c>
      <c r="X539" s="574" t="s">
        <v>2982</v>
      </c>
      <c r="Y539" s="575" t="s">
        <v>2424</v>
      </c>
      <c r="Z539" s="575" t="s">
        <v>2424</v>
      </c>
      <c r="AA539" s="574" t="s">
        <v>2954</v>
      </c>
      <c r="AB539" s="574" t="s">
        <v>2955</v>
      </c>
      <c r="AC539" s="574" t="s">
        <v>2956</v>
      </c>
      <c r="AD539" s="574" t="s">
        <v>2957</v>
      </c>
      <c r="AE539" s="574" t="s">
        <v>2958</v>
      </c>
      <c r="AF539" s="574" t="s">
        <v>113</v>
      </c>
      <c r="AG539" s="576">
        <v>0</v>
      </c>
      <c r="AH539" s="576">
        <v>15245.6</v>
      </c>
    </row>
    <row r="540" spans="1:34" customFormat="1" x14ac:dyDescent="0.25">
      <c r="A540" s="574" t="s">
        <v>2219</v>
      </c>
      <c r="B540" s="574" t="s">
        <v>2220</v>
      </c>
      <c r="C540" s="574" t="s">
        <v>2221</v>
      </c>
      <c r="D540" s="574" t="s">
        <v>2220</v>
      </c>
      <c r="E540" s="574" t="s">
        <v>2222</v>
      </c>
      <c r="F540" s="574" t="s">
        <v>2223</v>
      </c>
      <c r="G540" s="574" t="s">
        <v>2224</v>
      </c>
      <c r="H540" s="574" t="s">
        <v>2225</v>
      </c>
      <c r="I540" s="574" t="s">
        <v>2226</v>
      </c>
      <c r="J540" s="574" t="s">
        <v>2227</v>
      </c>
      <c r="K540" s="574" t="s">
        <v>2228</v>
      </c>
      <c r="L540" s="574" t="s">
        <v>2229</v>
      </c>
      <c r="M540" s="574" t="s">
        <v>2230</v>
      </c>
      <c r="N540" s="574" t="s">
        <v>2231</v>
      </c>
      <c r="O540" s="574" t="s">
        <v>2759</v>
      </c>
      <c r="P540" s="574" t="s">
        <v>2932</v>
      </c>
      <c r="Q540" s="574" t="s">
        <v>2234</v>
      </c>
      <c r="R540" s="574" t="s">
        <v>2225</v>
      </c>
      <c r="S540" s="574" t="s">
        <v>2235</v>
      </c>
      <c r="T540" s="574" t="s">
        <v>2236</v>
      </c>
      <c r="U540" s="574" t="s">
        <v>2981</v>
      </c>
      <c r="V540" s="574" t="s">
        <v>2238</v>
      </c>
      <c r="W540" s="574" t="s">
        <v>2239</v>
      </c>
      <c r="X540" s="574" t="s">
        <v>2982</v>
      </c>
      <c r="Y540" s="575" t="s">
        <v>2424</v>
      </c>
      <c r="Z540" s="575" t="s">
        <v>2424</v>
      </c>
      <c r="AA540" s="574" t="s">
        <v>2954</v>
      </c>
      <c r="AB540" s="574" t="s">
        <v>2955</v>
      </c>
      <c r="AC540" s="574" t="s">
        <v>2956</v>
      </c>
      <c r="AD540" s="574" t="s">
        <v>2957</v>
      </c>
      <c r="AE540" s="574" t="s">
        <v>2959</v>
      </c>
      <c r="AF540" s="574" t="s">
        <v>2960</v>
      </c>
      <c r="AG540" s="576">
        <v>0</v>
      </c>
      <c r="AH540" s="576">
        <v>100814.48</v>
      </c>
    </row>
    <row r="541" spans="1:34" customFormat="1" x14ac:dyDescent="0.25">
      <c r="A541" s="574" t="s">
        <v>2219</v>
      </c>
      <c r="B541" s="574" t="s">
        <v>2220</v>
      </c>
      <c r="C541" s="574" t="s">
        <v>2221</v>
      </c>
      <c r="D541" s="574" t="s">
        <v>2220</v>
      </c>
      <c r="E541" s="574" t="s">
        <v>2222</v>
      </c>
      <c r="F541" s="574" t="s">
        <v>2223</v>
      </c>
      <c r="G541" s="574" t="s">
        <v>2224</v>
      </c>
      <c r="H541" s="574" t="s">
        <v>2225</v>
      </c>
      <c r="I541" s="574" t="s">
        <v>2226</v>
      </c>
      <c r="J541" s="574" t="s">
        <v>2227</v>
      </c>
      <c r="K541" s="574" t="s">
        <v>2228</v>
      </c>
      <c r="L541" s="574" t="s">
        <v>2229</v>
      </c>
      <c r="M541" s="574" t="s">
        <v>2230</v>
      </c>
      <c r="N541" s="574" t="s">
        <v>2231</v>
      </c>
      <c r="O541" s="574" t="s">
        <v>2759</v>
      </c>
      <c r="P541" s="574" t="s">
        <v>2932</v>
      </c>
      <c r="Q541" s="574" t="s">
        <v>2234</v>
      </c>
      <c r="R541" s="574" t="s">
        <v>2225</v>
      </c>
      <c r="S541" s="574" t="s">
        <v>2235</v>
      </c>
      <c r="T541" s="574" t="s">
        <v>2236</v>
      </c>
      <c r="U541" s="574" t="s">
        <v>2981</v>
      </c>
      <c r="V541" s="574" t="s">
        <v>2238</v>
      </c>
      <c r="W541" s="574" t="s">
        <v>2239</v>
      </c>
      <c r="X541" s="574" t="s">
        <v>2982</v>
      </c>
      <c r="Y541" s="575" t="s">
        <v>2424</v>
      </c>
      <c r="Z541" s="575" t="s">
        <v>2424</v>
      </c>
      <c r="AA541" s="574" t="s">
        <v>1692</v>
      </c>
      <c r="AB541" s="574" t="s">
        <v>2307</v>
      </c>
      <c r="AC541" s="574" t="s">
        <v>2308</v>
      </c>
      <c r="AD541" s="574" t="s">
        <v>2309</v>
      </c>
      <c r="AE541" s="574" t="s">
        <v>1482</v>
      </c>
      <c r="AF541" s="574" t="s">
        <v>2961</v>
      </c>
      <c r="AG541" s="576">
        <v>0</v>
      </c>
      <c r="AH541" s="576">
        <v>6513.6</v>
      </c>
    </row>
    <row r="542" spans="1:34" customFormat="1" x14ac:dyDescent="0.25">
      <c r="A542" s="574" t="s">
        <v>2219</v>
      </c>
      <c r="B542" s="574" t="s">
        <v>2220</v>
      </c>
      <c r="C542" s="574" t="s">
        <v>2221</v>
      </c>
      <c r="D542" s="574" t="s">
        <v>2220</v>
      </c>
      <c r="E542" s="574" t="s">
        <v>2222</v>
      </c>
      <c r="F542" s="574" t="s">
        <v>2223</v>
      </c>
      <c r="G542" s="574" t="s">
        <v>2224</v>
      </c>
      <c r="H542" s="574" t="s">
        <v>2225</v>
      </c>
      <c r="I542" s="574" t="s">
        <v>2226</v>
      </c>
      <c r="J542" s="574" t="s">
        <v>2227</v>
      </c>
      <c r="K542" s="574" t="s">
        <v>2228</v>
      </c>
      <c r="L542" s="574" t="s">
        <v>2229</v>
      </c>
      <c r="M542" s="574" t="s">
        <v>2230</v>
      </c>
      <c r="N542" s="574" t="s">
        <v>2231</v>
      </c>
      <c r="O542" s="574" t="s">
        <v>2759</v>
      </c>
      <c r="P542" s="574" t="s">
        <v>2932</v>
      </c>
      <c r="Q542" s="574" t="s">
        <v>2234</v>
      </c>
      <c r="R542" s="574" t="s">
        <v>2225</v>
      </c>
      <c r="S542" s="574" t="s">
        <v>2235</v>
      </c>
      <c r="T542" s="574" t="s">
        <v>2236</v>
      </c>
      <c r="U542" s="574" t="s">
        <v>2981</v>
      </c>
      <c r="V542" s="574" t="s">
        <v>2238</v>
      </c>
      <c r="W542" s="574" t="s">
        <v>2239</v>
      </c>
      <c r="X542" s="574" t="s">
        <v>2982</v>
      </c>
      <c r="Y542" s="575" t="s">
        <v>2424</v>
      </c>
      <c r="Z542" s="575" t="s">
        <v>2424</v>
      </c>
      <c r="AA542" s="574" t="s">
        <v>1693</v>
      </c>
      <c r="AB542" s="574" t="s">
        <v>2319</v>
      </c>
      <c r="AC542" s="574" t="s">
        <v>2987</v>
      </c>
      <c r="AD542" s="574" t="s">
        <v>2988</v>
      </c>
      <c r="AE542" s="574" t="s">
        <v>2989</v>
      </c>
      <c r="AF542" s="574" t="s">
        <v>2990</v>
      </c>
      <c r="AG542" s="576">
        <v>0</v>
      </c>
      <c r="AH542" s="576">
        <v>1309.8</v>
      </c>
    </row>
    <row r="543" spans="1:34" customFormat="1" x14ac:dyDescent="0.25">
      <c r="A543" s="574" t="s">
        <v>2219</v>
      </c>
      <c r="B543" s="574" t="s">
        <v>2220</v>
      </c>
      <c r="C543" s="574" t="s">
        <v>2221</v>
      </c>
      <c r="D543" s="574" t="s">
        <v>2220</v>
      </c>
      <c r="E543" s="574" t="s">
        <v>2222</v>
      </c>
      <c r="F543" s="574" t="s">
        <v>2223</v>
      </c>
      <c r="G543" s="574" t="s">
        <v>2224</v>
      </c>
      <c r="H543" s="574" t="s">
        <v>2225</v>
      </c>
      <c r="I543" s="574" t="s">
        <v>2226</v>
      </c>
      <c r="J543" s="574" t="s">
        <v>2227</v>
      </c>
      <c r="K543" s="574" t="s">
        <v>2228</v>
      </c>
      <c r="L543" s="574" t="s">
        <v>2229</v>
      </c>
      <c r="M543" s="574" t="s">
        <v>2230</v>
      </c>
      <c r="N543" s="574" t="s">
        <v>2231</v>
      </c>
      <c r="O543" s="574" t="s">
        <v>2759</v>
      </c>
      <c r="P543" s="574" t="s">
        <v>2932</v>
      </c>
      <c r="Q543" s="574" t="s">
        <v>2234</v>
      </c>
      <c r="R543" s="574" t="s">
        <v>2225</v>
      </c>
      <c r="S543" s="574" t="s">
        <v>2235</v>
      </c>
      <c r="T543" s="574" t="s">
        <v>2236</v>
      </c>
      <c r="U543" s="574" t="s">
        <v>589</v>
      </c>
      <c r="V543" s="574" t="s">
        <v>2238</v>
      </c>
      <c r="W543" s="574" t="s">
        <v>2239</v>
      </c>
      <c r="X543" s="574" t="s">
        <v>2991</v>
      </c>
      <c r="Y543" s="575" t="s">
        <v>2424</v>
      </c>
      <c r="Z543" s="575" t="s">
        <v>2424</v>
      </c>
      <c r="AA543" s="574" t="s">
        <v>1688</v>
      </c>
      <c r="AB543" s="574" t="s">
        <v>2430</v>
      </c>
      <c r="AC543" s="574" t="s">
        <v>2431</v>
      </c>
      <c r="AD543" s="574" t="s">
        <v>99</v>
      </c>
      <c r="AE543" s="574" t="s">
        <v>1531</v>
      </c>
      <c r="AF543" s="574" t="s">
        <v>99</v>
      </c>
      <c r="AG543" s="576">
        <v>0</v>
      </c>
      <c r="AH543" s="576">
        <v>211250</v>
      </c>
    </row>
    <row r="544" spans="1:34" customFormat="1" x14ac:dyDescent="0.25">
      <c r="A544" s="574" t="s">
        <v>2219</v>
      </c>
      <c r="B544" s="574" t="s">
        <v>2220</v>
      </c>
      <c r="C544" s="574" t="s">
        <v>2221</v>
      </c>
      <c r="D544" s="574" t="s">
        <v>2220</v>
      </c>
      <c r="E544" s="574" t="s">
        <v>2222</v>
      </c>
      <c r="F544" s="574" t="s">
        <v>2223</v>
      </c>
      <c r="G544" s="574" t="s">
        <v>2224</v>
      </c>
      <c r="H544" s="574" t="s">
        <v>2225</v>
      </c>
      <c r="I544" s="574" t="s">
        <v>2226</v>
      </c>
      <c r="J544" s="574" t="s">
        <v>2227</v>
      </c>
      <c r="K544" s="574" t="s">
        <v>2228</v>
      </c>
      <c r="L544" s="574" t="s">
        <v>2229</v>
      </c>
      <c r="M544" s="574" t="s">
        <v>2230</v>
      </c>
      <c r="N544" s="574" t="s">
        <v>2231</v>
      </c>
      <c r="O544" s="574" t="s">
        <v>2759</v>
      </c>
      <c r="P544" s="574" t="s">
        <v>2932</v>
      </c>
      <c r="Q544" s="574" t="s">
        <v>2234</v>
      </c>
      <c r="R544" s="574" t="s">
        <v>2225</v>
      </c>
      <c r="S544" s="574" t="s">
        <v>2235</v>
      </c>
      <c r="T544" s="574" t="s">
        <v>2236</v>
      </c>
      <c r="U544" s="574" t="s">
        <v>2992</v>
      </c>
      <c r="V544" s="574" t="s">
        <v>2238</v>
      </c>
      <c r="W544" s="574" t="s">
        <v>2239</v>
      </c>
      <c r="X544" s="574" t="s">
        <v>2993</v>
      </c>
      <c r="Y544" s="575" t="s">
        <v>2424</v>
      </c>
      <c r="Z544" s="575" t="s">
        <v>2424</v>
      </c>
      <c r="AA544" s="574" t="s">
        <v>1686</v>
      </c>
      <c r="AB544" s="574" t="s">
        <v>2965</v>
      </c>
      <c r="AC544" s="574" t="s">
        <v>2966</v>
      </c>
      <c r="AD544" s="574" t="s">
        <v>2967</v>
      </c>
      <c r="AE544" s="574" t="s">
        <v>2968</v>
      </c>
      <c r="AF544" s="574" t="s">
        <v>2969</v>
      </c>
      <c r="AG544" s="576">
        <v>0</v>
      </c>
      <c r="AH544" s="576">
        <v>868608</v>
      </c>
    </row>
    <row r="545" spans="1:34" customFormat="1" x14ac:dyDescent="0.25">
      <c r="A545" s="574" t="s">
        <v>2219</v>
      </c>
      <c r="B545" s="574" t="s">
        <v>2220</v>
      </c>
      <c r="C545" s="574" t="s">
        <v>2221</v>
      </c>
      <c r="D545" s="574" t="s">
        <v>2220</v>
      </c>
      <c r="E545" s="574" t="s">
        <v>2222</v>
      </c>
      <c r="F545" s="574" t="s">
        <v>2223</v>
      </c>
      <c r="G545" s="574" t="s">
        <v>2224</v>
      </c>
      <c r="H545" s="574" t="s">
        <v>2225</v>
      </c>
      <c r="I545" s="574" t="s">
        <v>2226</v>
      </c>
      <c r="J545" s="574" t="s">
        <v>2227</v>
      </c>
      <c r="K545" s="574" t="s">
        <v>2228</v>
      </c>
      <c r="L545" s="574" t="s">
        <v>2229</v>
      </c>
      <c r="M545" s="574" t="s">
        <v>2230</v>
      </c>
      <c r="N545" s="574" t="s">
        <v>2231</v>
      </c>
      <c r="O545" s="574" t="s">
        <v>2759</v>
      </c>
      <c r="P545" s="574" t="s">
        <v>2932</v>
      </c>
      <c r="Q545" s="574" t="s">
        <v>2234</v>
      </c>
      <c r="R545" s="574" t="s">
        <v>2225</v>
      </c>
      <c r="S545" s="574" t="s">
        <v>2235</v>
      </c>
      <c r="T545" s="574" t="s">
        <v>2236</v>
      </c>
      <c r="U545" s="574" t="s">
        <v>2994</v>
      </c>
      <c r="V545" s="574" t="s">
        <v>2238</v>
      </c>
      <c r="W545" s="574" t="s">
        <v>2239</v>
      </c>
      <c r="X545" s="574" t="s">
        <v>2995</v>
      </c>
      <c r="Y545" s="575" t="s">
        <v>2429</v>
      </c>
      <c r="Z545" s="575" t="s">
        <v>2429</v>
      </c>
      <c r="AA545" s="574" t="s">
        <v>1693</v>
      </c>
      <c r="AB545" s="574" t="s">
        <v>2319</v>
      </c>
      <c r="AC545" s="574" t="s">
        <v>2962</v>
      </c>
      <c r="AD545" s="574" t="s">
        <v>126</v>
      </c>
      <c r="AE545" s="574" t="s">
        <v>1522</v>
      </c>
      <c r="AF545" s="574" t="s">
        <v>126</v>
      </c>
      <c r="AG545" s="576">
        <v>0</v>
      </c>
      <c r="AH545" s="576">
        <v>123900</v>
      </c>
    </row>
    <row r="546" spans="1:34" customFormat="1" x14ac:dyDescent="0.25">
      <c r="A546" s="574" t="s">
        <v>2219</v>
      </c>
      <c r="B546" s="574" t="s">
        <v>2220</v>
      </c>
      <c r="C546" s="574" t="s">
        <v>2221</v>
      </c>
      <c r="D546" s="574" t="s">
        <v>2220</v>
      </c>
      <c r="E546" s="574" t="s">
        <v>2222</v>
      </c>
      <c r="F546" s="574" t="s">
        <v>2223</v>
      </c>
      <c r="G546" s="574" t="s">
        <v>2224</v>
      </c>
      <c r="H546" s="574" t="s">
        <v>2225</v>
      </c>
      <c r="I546" s="574" t="s">
        <v>2226</v>
      </c>
      <c r="J546" s="574" t="s">
        <v>2227</v>
      </c>
      <c r="K546" s="574" t="s">
        <v>2228</v>
      </c>
      <c r="L546" s="574" t="s">
        <v>2229</v>
      </c>
      <c r="M546" s="574" t="s">
        <v>2230</v>
      </c>
      <c r="N546" s="574" t="s">
        <v>2231</v>
      </c>
      <c r="O546" s="574" t="s">
        <v>2759</v>
      </c>
      <c r="P546" s="574" t="s">
        <v>2932</v>
      </c>
      <c r="Q546" s="574" t="s">
        <v>2234</v>
      </c>
      <c r="R546" s="574" t="s">
        <v>2225</v>
      </c>
      <c r="S546" s="574" t="s">
        <v>2235</v>
      </c>
      <c r="T546" s="574" t="s">
        <v>2236</v>
      </c>
      <c r="U546" s="574" t="s">
        <v>2996</v>
      </c>
      <c r="V546" s="574" t="s">
        <v>2238</v>
      </c>
      <c r="W546" s="574" t="s">
        <v>2239</v>
      </c>
      <c r="X546" s="574" t="s">
        <v>2997</v>
      </c>
      <c r="Y546" s="575" t="s">
        <v>2429</v>
      </c>
      <c r="Z546" s="575" t="s">
        <v>2429</v>
      </c>
      <c r="AA546" s="574" t="s">
        <v>1693</v>
      </c>
      <c r="AB546" s="574" t="s">
        <v>2319</v>
      </c>
      <c r="AC546" s="574" t="s">
        <v>2962</v>
      </c>
      <c r="AD546" s="574" t="s">
        <v>126</v>
      </c>
      <c r="AE546" s="574" t="s">
        <v>1522</v>
      </c>
      <c r="AF546" s="574" t="s">
        <v>126</v>
      </c>
      <c r="AG546" s="576">
        <v>0</v>
      </c>
      <c r="AH546" s="576">
        <v>204140</v>
      </c>
    </row>
    <row r="547" spans="1:34" customFormat="1" x14ac:dyDescent="0.25">
      <c r="A547" s="574" t="s">
        <v>2219</v>
      </c>
      <c r="B547" s="574" t="s">
        <v>2220</v>
      </c>
      <c r="C547" s="574" t="s">
        <v>2221</v>
      </c>
      <c r="D547" s="574" t="s">
        <v>2220</v>
      </c>
      <c r="E547" s="574" t="s">
        <v>2222</v>
      </c>
      <c r="F547" s="574" t="s">
        <v>2223</v>
      </c>
      <c r="G547" s="574" t="s">
        <v>2224</v>
      </c>
      <c r="H547" s="574" t="s">
        <v>2225</v>
      </c>
      <c r="I547" s="574" t="s">
        <v>2226</v>
      </c>
      <c r="J547" s="574" t="s">
        <v>2227</v>
      </c>
      <c r="K547" s="574" t="s">
        <v>2228</v>
      </c>
      <c r="L547" s="574" t="s">
        <v>2229</v>
      </c>
      <c r="M547" s="574" t="s">
        <v>2230</v>
      </c>
      <c r="N547" s="574" t="s">
        <v>2231</v>
      </c>
      <c r="O547" s="574" t="s">
        <v>2759</v>
      </c>
      <c r="P547" s="574" t="s">
        <v>2932</v>
      </c>
      <c r="Q547" s="574" t="s">
        <v>2234</v>
      </c>
      <c r="R547" s="574" t="s">
        <v>2225</v>
      </c>
      <c r="S547" s="574" t="s">
        <v>2235</v>
      </c>
      <c r="T547" s="574" t="s">
        <v>2236</v>
      </c>
      <c r="U547" s="574" t="s">
        <v>2998</v>
      </c>
      <c r="V547" s="574" t="s">
        <v>2238</v>
      </c>
      <c r="W547" s="574" t="s">
        <v>2239</v>
      </c>
      <c r="X547" s="574" t="s">
        <v>2999</v>
      </c>
      <c r="Y547" s="575" t="s">
        <v>2429</v>
      </c>
      <c r="Z547" s="575" t="s">
        <v>2429</v>
      </c>
      <c r="AA547" s="574" t="s">
        <v>1693</v>
      </c>
      <c r="AB547" s="574" t="s">
        <v>2319</v>
      </c>
      <c r="AC547" s="574" t="s">
        <v>2320</v>
      </c>
      <c r="AD547" s="574" t="s">
        <v>2321</v>
      </c>
      <c r="AE547" s="574" t="s">
        <v>1446</v>
      </c>
      <c r="AF547" s="574" t="s">
        <v>2321</v>
      </c>
      <c r="AG547" s="576">
        <v>0</v>
      </c>
      <c r="AH547" s="576">
        <v>1652000</v>
      </c>
    </row>
    <row r="548" spans="1:34" customFormat="1" x14ac:dyDescent="0.25">
      <c r="A548" s="574" t="s">
        <v>2219</v>
      </c>
      <c r="B548" s="574" t="s">
        <v>2220</v>
      </c>
      <c r="C548" s="574" t="s">
        <v>2221</v>
      </c>
      <c r="D548" s="574" t="s">
        <v>2220</v>
      </c>
      <c r="E548" s="574" t="s">
        <v>2222</v>
      </c>
      <c r="F548" s="574" t="s">
        <v>2223</v>
      </c>
      <c r="G548" s="574" t="s">
        <v>2224</v>
      </c>
      <c r="H548" s="574" t="s">
        <v>2225</v>
      </c>
      <c r="I548" s="574" t="s">
        <v>2226</v>
      </c>
      <c r="J548" s="574" t="s">
        <v>2227</v>
      </c>
      <c r="K548" s="574" t="s">
        <v>2228</v>
      </c>
      <c r="L548" s="574" t="s">
        <v>2229</v>
      </c>
      <c r="M548" s="574" t="s">
        <v>2230</v>
      </c>
      <c r="N548" s="574" t="s">
        <v>2231</v>
      </c>
      <c r="O548" s="574" t="s">
        <v>2759</v>
      </c>
      <c r="P548" s="574" t="s">
        <v>2932</v>
      </c>
      <c r="Q548" s="574" t="s">
        <v>2234</v>
      </c>
      <c r="R548" s="574" t="s">
        <v>2225</v>
      </c>
      <c r="S548" s="574" t="s">
        <v>2235</v>
      </c>
      <c r="T548" s="574" t="s">
        <v>2236</v>
      </c>
      <c r="U548" s="574" t="s">
        <v>2448</v>
      </c>
      <c r="V548" s="574" t="s">
        <v>2238</v>
      </c>
      <c r="W548" s="574" t="s">
        <v>2239</v>
      </c>
      <c r="X548" s="574" t="s">
        <v>2449</v>
      </c>
      <c r="Y548" s="575" t="s">
        <v>2429</v>
      </c>
      <c r="Z548" s="575" t="s">
        <v>2429</v>
      </c>
      <c r="AA548" s="574" t="s">
        <v>1686</v>
      </c>
      <c r="AB548" s="574" t="s">
        <v>2965</v>
      </c>
      <c r="AC548" s="574" t="s">
        <v>2966</v>
      </c>
      <c r="AD548" s="574" t="s">
        <v>2967</v>
      </c>
      <c r="AE548" s="574" t="s">
        <v>3000</v>
      </c>
      <c r="AF548" s="574" t="s">
        <v>3001</v>
      </c>
      <c r="AG548" s="576">
        <v>0</v>
      </c>
      <c r="AH548" s="576">
        <v>38444.400000000001</v>
      </c>
    </row>
    <row r="549" spans="1:34" customFormat="1" x14ac:dyDescent="0.25">
      <c r="A549" s="574" t="s">
        <v>2219</v>
      </c>
      <c r="B549" s="574" t="s">
        <v>2220</v>
      </c>
      <c r="C549" s="574" t="s">
        <v>2221</v>
      </c>
      <c r="D549" s="574" t="s">
        <v>2220</v>
      </c>
      <c r="E549" s="574" t="s">
        <v>2222</v>
      </c>
      <c r="F549" s="574" t="s">
        <v>2223</v>
      </c>
      <c r="G549" s="574" t="s">
        <v>2224</v>
      </c>
      <c r="H549" s="574" t="s">
        <v>2225</v>
      </c>
      <c r="I549" s="574" t="s">
        <v>2226</v>
      </c>
      <c r="J549" s="574" t="s">
        <v>2227</v>
      </c>
      <c r="K549" s="574" t="s">
        <v>2228</v>
      </c>
      <c r="L549" s="574" t="s">
        <v>2229</v>
      </c>
      <c r="M549" s="574" t="s">
        <v>2230</v>
      </c>
      <c r="N549" s="574" t="s">
        <v>2231</v>
      </c>
      <c r="O549" s="574" t="s">
        <v>2759</v>
      </c>
      <c r="P549" s="574" t="s">
        <v>2932</v>
      </c>
      <c r="Q549" s="574" t="s">
        <v>2234</v>
      </c>
      <c r="R549" s="574" t="s">
        <v>2225</v>
      </c>
      <c r="S549" s="574" t="s">
        <v>2235</v>
      </c>
      <c r="T549" s="574" t="s">
        <v>2236</v>
      </c>
      <c r="U549" s="574" t="s">
        <v>3002</v>
      </c>
      <c r="V549" s="574" t="s">
        <v>2238</v>
      </c>
      <c r="W549" s="574" t="s">
        <v>2239</v>
      </c>
      <c r="X549" s="574" t="s">
        <v>3003</v>
      </c>
      <c r="Y549" s="575" t="s">
        <v>2429</v>
      </c>
      <c r="Z549" s="575" t="s">
        <v>2429</v>
      </c>
      <c r="AA549" s="574" t="s">
        <v>1693</v>
      </c>
      <c r="AB549" s="574" t="s">
        <v>2319</v>
      </c>
      <c r="AC549" s="574" t="s">
        <v>2320</v>
      </c>
      <c r="AD549" s="574" t="s">
        <v>2321</v>
      </c>
      <c r="AE549" s="574" t="s">
        <v>1446</v>
      </c>
      <c r="AF549" s="574" t="s">
        <v>2321</v>
      </c>
      <c r="AG549" s="576">
        <v>0</v>
      </c>
      <c r="AH549" s="576">
        <v>46964</v>
      </c>
    </row>
    <row r="550" spans="1:34" customFormat="1" x14ac:dyDescent="0.25">
      <c r="A550" s="574" t="s">
        <v>2219</v>
      </c>
      <c r="B550" s="574" t="s">
        <v>2220</v>
      </c>
      <c r="C550" s="574" t="s">
        <v>2221</v>
      </c>
      <c r="D550" s="574" t="s">
        <v>2220</v>
      </c>
      <c r="E550" s="574" t="s">
        <v>2222</v>
      </c>
      <c r="F550" s="574" t="s">
        <v>2223</v>
      </c>
      <c r="G550" s="574" t="s">
        <v>2224</v>
      </c>
      <c r="H550" s="574" t="s">
        <v>2225</v>
      </c>
      <c r="I550" s="574" t="s">
        <v>2226</v>
      </c>
      <c r="J550" s="574" t="s">
        <v>2227</v>
      </c>
      <c r="K550" s="574" t="s">
        <v>2228</v>
      </c>
      <c r="L550" s="574" t="s">
        <v>2229</v>
      </c>
      <c r="M550" s="574" t="s">
        <v>2230</v>
      </c>
      <c r="N550" s="574" t="s">
        <v>2231</v>
      </c>
      <c r="O550" s="574" t="s">
        <v>2759</v>
      </c>
      <c r="P550" s="574" t="s">
        <v>2932</v>
      </c>
      <c r="Q550" s="574" t="s">
        <v>2234</v>
      </c>
      <c r="R550" s="574" t="s">
        <v>2225</v>
      </c>
      <c r="S550" s="574" t="s">
        <v>2235</v>
      </c>
      <c r="T550" s="574" t="s">
        <v>2236</v>
      </c>
      <c r="U550" s="574" t="s">
        <v>2450</v>
      </c>
      <c r="V550" s="574" t="s">
        <v>2238</v>
      </c>
      <c r="W550" s="574" t="s">
        <v>2239</v>
      </c>
      <c r="X550" s="574" t="s">
        <v>2451</v>
      </c>
      <c r="Y550" s="575" t="s">
        <v>2429</v>
      </c>
      <c r="Z550" s="575" t="s">
        <v>2429</v>
      </c>
      <c r="AA550" s="574" t="s">
        <v>1693</v>
      </c>
      <c r="AB550" s="574" t="s">
        <v>2319</v>
      </c>
      <c r="AC550" s="574" t="s">
        <v>3004</v>
      </c>
      <c r="AD550" s="574" t="s">
        <v>125</v>
      </c>
      <c r="AE550" s="574" t="s">
        <v>1655</v>
      </c>
      <c r="AF550" s="574" t="s">
        <v>125</v>
      </c>
      <c r="AG550" s="576">
        <v>0</v>
      </c>
      <c r="AH550" s="576">
        <v>7670</v>
      </c>
    </row>
    <row r="551" spans="1:34" customFormat="1" x14ac:dyDescent="0.25">
      <c r="A551" s="574" t="s">
        <v>2219</v>
      </c>
      <c r="B551" s="574" t="s">
        <v>2220</v>
      </c>
      <c r="C551" s="574" t="s">
        <v>2221</v>
      </c>
      <c r="D551" s="574" t="s">
        <v>2220</v>
      </c>
      <c r="E551" s="574" t="s">
        <v>2222</v>
      </c>
      <c r="F551" s="574" t="s">
        <v>2223</v>
      </c>
      <c r="G551" s="574" t="s">
        <v>2224</v>
      </c>
      <c r="H551" s="574" t="s">
        <v>2225</v>
      </c>
      <c r="I551" s="574" t="s">
        <v>2226</v>
      </c>
      <c r="J551" s="574" t="s">
        <v>2227</v>
      </c>
      <c r="K551" s="574" t="s">
        <v>2228</v>
      </c>
      <c r="L551" s="574" t="s">
        <v>2229</v>
      </c>
      <c r="M551" s="574" t="s">
        <v>2230</v>
      </c>
      <c r="N551" s="574" t="s">
        <v>2231</v>
      </c>
      <c r="O551" s="574" t="s">
        <v>2759</v>
      </c>
      <c r="P551" s="574" t="s">
        <v>2932</v>
      </c>
      <c r="Q551" s="574" t="s">
        <v>2234</v>
      </c>
      <c r="R551" s="574" t="s">
        <v>2225</v>
      </c>
      <c r="S551" s="574" t="s">
        <v>2235</v>
      </c>
      <c r="T551" s="574" t="s">
        <v>2236</v>
      </c>
      <c r="U551" s="574" t="s">
        <v>3005</v>
      </c>
      <c r="V551" s="574" t="s">
        <v>2238</v>
      </c>
      <c r="W551" s="574" t="s">
        <v>2239</v>
      </c>
      <c r="X551" s="574" t="s">
        <v>3006</v>
      </c>
      <c r="Y551" s="575" t="s">
        <v>2429</v>
      </c>
      <c r="Z551" s="575" t="s">
        <v>2429</v>
      </c>
      <c r="AA551" s="574" t="s">
        <v>1691</v>
      </c>
      <c r="AB551" s="574" t="s">
        <v>2297</v>
      </c>
      <c r="AC551" s="574" t="s">
        <v>2298</v>
      </c>
      <c r="AD551" s="574" t="s">
        <v>2299</v>
      </c>
      <c r="AE551" s="574" t="s">
        <v>1468</v>
      </c>
      <c r="AF551" s="574" t="s">
        <v>2299</v>
      </c>
      <c r="AG551" s="576">
        <v>0</v>
      </c>
      <c r="AH551" s="576">
        <v>245000</v>
      </c>
    </row>
    <row r="552" spans="1:34" customFormat="1" x14ac:dyDescent="0.25">
      <c r="A552" s="574" t="s">
        <v>2219</v>
      </c>
      <c r="B552" s="574" t="s">
        <v>2220</v>
      </c>
      <c r="C552" s="574" t="s">
        <v>2221</v>
      </c>
      <c r="D552" s="574" t="s">
        <v>2220</v>
      </c>
      <c r="E552" s="574" t="s">
        <v>2222</v>
      </c>
      <c r="F552" s="574" t="s">
        <v>2223</v>
      </c>
      <c r="G552" s="574" t="s">
        <v>2224</v>
      </c>
      <c r="H552" s="574" t="s">
        <v>2225</v>
      </c>
      <c r="I552" s="574" t="s">
        <v>2226</v>
      </c>
      <c r="J552" s="574" t="s">
        <v>2227</v>
      </c>
      <c r="K552" s="574" t="s">
        <v>2228</v>
      </c>
      <c r="L552" s="574" t="s">
        <v>2229</v>
      </c>
      <c r="M552" s="574" t="s">
        <v>2230</v>
      </c>
      <c r="N552" s="574" t="s">
        <v>2231</v>
      </c>
      <c r="O552" s="574" t="s">
        <v>2759</v>
      </c>
      <c r="P552" s="574" t="s">
        <v>2932</v>
      </c>
      <c r="Q552" s="574" t="s">
        <v>2234</v>
      </c>
      <c r="R552" s="574" t="s">
        <v>2225</v>
      </c>
      <c r="S552" s="574" t="s">
        <v>2235</v>
      </c>
      <c r="T552" s="574" t="s">
        <v>2236</v>
      </c>
      <c r="U552" s="574" t="s">
        <v>3007</v>
      </c>
      <c r="V552" s="574" t="s">
        <v>2238</v>
      </c>
      <c r="W552" s="574" t="s">
        <v>2239</v>
      </c>
      <c r="X552" s="574" t="s">
        <v>3008</v>
      </c>
      <c r="Y552" s="575" t="s">
        <v>2429</v>
      </c>
      <c r="Z552" s="575" t="s">
        <v>2429</v>
      </c>
      <c r="AA552" s="574" t="s">
        <v>1693</v>
      </c>
      <c r="AB552" s="574" t="s">
        <v>2319</v>
      </c>
      <c r="AC552" s="574" t="s">
        <v>2320</v>
      </c>
      <c r="AD552" s="574" t="s">
        <v>2321</v>
      </c>
      <c r="AE552" s="574" t="s">
        <v>1446</v>
      </c>
      <c r="AF552" s="574" t="s">
        <v>2321</v>
      </c>
      <c r="AG552" s="576">
        <v>0</v>
      </c>
      <c r="AH552" s="576">
        <v>29526.84</v>
      </c>
    </row>
    <row r="553" spans="1:34" customFormat="1" x14ac:dyDescent="0.25">
      <c r="A553" s="574" t="s">
        <v>2219</v>
      </c>
      <c r="B553" s="574" t="s">
        <v>2220</v>
      </c>
      <c r="C553" s="574" t="s">
        <v>2221</v>
      </c>
      <c r="D553" s="574" t="s">
        <v>2220</v>
      </c>
      <c r="E553" s="574" t="s">
        <v>2222</v>
      </c>
      <c r="F553" s="574" t="s">
        <v>2223</v>
      </c>
      <c r="G553" s="574" t="s">
        <v>2224</v>
      </c>
      <c r="H553" s="574" t="s">
        <v>2225</v>
      </c>
      <c r="I553" s="574" t="s">
        <v>2226</v>
      </c>
      <c r="J553" s="574" t="s">
        <v>2227</v>
      </c>
      <c r="K553" s="574" t="s">
        <v>2228</v>
      </c>
      <c r="L553" s="574" t="s">
        <v>2229</v>
      </c>
      <c r="M553" s="574" t="s">
        <v>2230</v>
      </c>
      <c r="N553" s="574" t="s">
        <v>2231</v>
      </c>
      <c r="O553" s="574" t="s">
        <v>2759</v>
      </c>
      <c r="P553" s="574" t="s">
        <v>2932</v>
      </c>
      <c r="Q553" s="574" t="s">
        <v>2234</v>
      </c>
      <c r="R553" s="574" t="s">
        <v>2225</v>
      </c>
      <c r="S553" s="574" t="s">
        <v>2235</v>
      </c>
      <c r="T553" s="574" t="s">
        <v>2236</v>
      </c>
      <c r="U553" s="574" t="s">
        <v>3009</v>
      </c>
      <c r="V553" s="574" t="s">
        <v>2238</v>
      </c>
      <c r="W553" s="574" t="s">
        <v>2239</v>
      </c>
      <c r="X553" s="574" t="s">
        <v>3010</v>
      </c>
      <c r="Y553" s="575" t="s">
        <v>2429</v>
      </c>
      <c r="Z553" s="575" t="s">
        <v>2429</v>
      </c>
      <c r="AA553" s="574" t="s">
        <v>1693</v>
      </c>
      <c r="AB553" s="574" t="s">
        <v>2319</v>
      </c>
      <c r="AC553" s="574" t="s">
        <v>2320</v>
      </c>
      <c r="AD553" s="574" t="s">
        <v>2321</v>
      </c>
      <c r="AE553" s="574" t="s">
        <v>1446</v>
      </c>
      <c r="AF553" s="574" t="s">
        <v>2321</v>
      </c>
      <c r="AG553" s="576">
        <v>0</v>
      </c>
      <c r="AH553" s="576">
        <v>31624</v>
      </c>
    </row>
    <row r="554" spans="1:34" customFormat="1" x14ac:dyDescent="0.25">
      <c r="A554" s="574" t="s">
        <v>2219</v>
      </c>
      <c r="B554" s="574" t="s">
        <v>2220</v>
      </c>
      <c r="C554" s="574" t="s">
        <v>2221</v>
      </c>
      <c r="D554" s="574" t="s">
        <v>2220</v>
      </c>
      <c r="E554" s="574" t="s">
        <v>2222</v>
      </c>
      <c r="F554" s="574" t="s">
        <v>2223</v>
      </c>
      <c r="G554" s="574" t="s">
        <v>2224</v>
      </c>
      <c r="H554" s="574" t="s">
        <v>2225</v>
      </c>
      <c r="I554" s="574" t="s">
        <v>2226</v>
      </c>
      <c r="J554" s="574" t="s">
        <v>2227</v>
      </c>
      <c r="K554" s="574" t="s">
        <v>2228</v>
      </c>
      <c r="L554" s="574" t="s">
        <v>2229</v>
      </c>
      <c r="M554" s="574" t="s">
        <v>2230</v>
      </c>
      <c r="N554" s="574" t="s">
        <v>2231</v>
      </c>
      <c r="O554" s="574" t="s">
        <v>2759</v>
      </c>
      <c r="P554" s="574" t="s">
        <v>2932</v>
      </c>
      <c r="Q554" s="574" t="s">
        <v>2234</v>
      </c>
      <c r="R554" s="574" t="s">
        <v>2225</v>
      </c>
      <c r="S554" s="574" t="s">
        <v>2235</v>
      </c>
      <c r="T554" s="574" t="s">
        <v>2236</v>
      </c>
      <c r="U554" s="574" t="s">
        <v>3011</v>
      </c>
      <c r="V554" s="574" t="s">
        <v>2238</v>
      </c>
      <c r="W554" s="574" t="s">
        <v>2239</v>
      </c>
      <c r="X554" s="574" t="s">
        <v>3012</v>
      </c>
      <c r="Y554" s="575" t="s">
        <v>2429</v>
      </c>
      <c r="Z554" s="575" t="s">
        <v>2429</v>
      </c>
      <c r="AA554" s="574" t="s">
        <v>1686</v>
      </c>
      <c r="AB554" s="574" t="s">
        <v>2965</v>
      </c>
      <c r="AC554" s="574" t="s">
        <v>2966</v>
      </c>
      <c r="AD554" s="574" t="s">
        <v>2967</v>
      </c>
      <c r="AE554" s="574" t="s">
        <v>3000</v>
      </c>
      <c r="AF554" s="574" t="s">
        <v>3001</v>
      </c>
      <c r="AG554" s="576">
        <v>0</v>
      </c>
      <c r="AH554" s="576">
        <v>41300</v>
      </c>
    </row>
    <row r="555" spans="1:34" customFormat="1" x14ac:dyDescent="0.25">
      <c r="A555" s="574" t="s">
        <v>2219</v>
      </c>
      <c r="B555" s="574" t="s">
        <v>2220</v>
      </c>
      <c r="C555" s="574" t="s">
        <v>2221</v>
      </c>
      <c r="D555" s="574" t="s">
        <v>2220</v>
      </c>
      <c r="E555" s="574" t="s">
        <v>2222</v>
      </c>
      <c r="F555" s="574" t="s">
        <v>2223</v>
      </c>
      <c r="G555" s="574" t="s">
        <v>2224</v>
      </c>
      <c r="H555" s="574" t="s">
        <v>2225</v>
      </c>
      <c r="I555" s="574" t="s">
        <v>2226</v>
      </c>
      <c r="J555" s="574" t="s">
        <v>2227</v>
      </c>
      <c r="K555" s="574" t="s">
        <v>2228</v>
      </c>
      <c r="L555" s="574" t="s">
        <v>2229</v>
      </c>
      <c r="M555" s="574" t="s">
        <v>2230</v>
      </c>
      <c r="N555" s="574" t="s">
        <v>2231</v>
      </c>
      <c r="O555" s="574" t="s">
        <v>2759</v>
      </c>
      <c r="P555" s="574" t="s">
        <v>2932</v>
      </c>
      <c r="Q555" s="574" t="s">
        <v>2234</v>
      </c>
      <c r="R555" s="574" t="s">
        <v>2225</v>
      </c>
      <c r="S555" s="574" t="s">
        <v>2235</v>
      </c>
      <c r="T555" s="574" t="s">
        <v>2236</v>
      </c>
      <c r="U555" s="574" t="s">
        <v>3013</v>
      </c>
      <c r="V555" s="574" t="s">
        <v>2238</v>
      </c>
      <c r="W555" s="574" t="s">
        <v>2239</v>
      </c>
      <c r="X555" s="574" t="s">
        <v>3014</v>
      </c>
      <c r="Y555" s="575" t="s">
        <v>2429</v>
      </c>
      <c r="Z555" s="575" t="s">
        <v>2429</v>
      </c>
      <c r="AA555" s="574" t="s">
        <v>1691</v>
      </c>
      <c r="AB555" s="574" t="s">
        <v>2297</v>
      </c>
      <c r="AC555" s="574" t="s">
        <v>2298</v>
      </c>
      <c r="AD555" s="574" t="s">
        <v>2299</v>
      </c>
      <c r="AE555" s="574" t="s">
        <v>1468</v>
      </c>
      <c r="AF555" s="574" t="s">
        <v>2299</v>
      </c>
      <c r="AG555" s="576">
        <v>0</v>
      </c>
      <c r="AH555" s="576">
        <v>41820</v>
      </c>
    </row>
    <row r="556" spans="1:34" customFormat="1" x14ac:dyDescent="0.25">
      <c r="A556" s="574" t="s">
        <v>2219</v>
      </c>
      <c r="B556" s="574" t="s">
        <v>2220</v>
      </c>
      <c r="C556" s="574" t="s">
        <v>2221</v>
      </c>
      <c r="D556" s="574" t="s">
        <v>2220</v>
      </c>
      <c r="E556" s="574" t="s">
        <v>2222</v>
      </c>
      <c r="F556" s="574" t="s">
        <v>2223</v>
      </c>
      <c r="G556" s="574" t="s">
        <v>2224</v>
      </c>
      <c r="H556" s="574" t="s">
        <v>2225</v>
      </c>
      <c r="I556" s="574" t="s">
        <v>2226</v>
      </c>
      <c r="J556" s="574" t="s">
        <v>2227</v>
      </c>
      <c r="K556" s="574" t="s">
        <v>2228</v>
      </c>
      <c r="L556" s="574" t="s">
        <v>2229</v>
      </c>
      <c r="M556" s="574" t="s">
        <v>2230</v>
      </c>
      <c r="N556" s="574" t="s">
        <v>2231</v>
      </c>
      <c r="O556" s="574" t="s">
        <v>2759</v>
      </c>
      <c r="P556" s="574" t="s">
        <v>2932</v>
      </c>
      <c r="Q556" s="574" t="s">
        <v>2234</v>
      </c>
      <c r="R556" s="574" t="s">
        <v>2225</v>
      </c>
      <c r="S556" s="574" t="s">
        <v>2235</v>
      </c>
      <c r="T556" s="574" t="s">
        <v>2236</v>
      </c>
      <c r="U556" s="574" t="s">
        <v>3015</v>
      </c>
      <c r="V556" s="574" t="s">
        <v>2238</v>
      </c>
      <c r="W556" s="574" t="s">
        <v>2239</v>
      </c>
      <c r="X556" s="574" t="s">
        <v>3016</v>
      </c>
      <c r="Y556" s="575" t="s">
        <v>2429</v>
      </c>
      <c r="Z556" s="575" t="s">
        <v>2429</v>
      </c>
      <c r="AA556" s="574" t="s">
        <v>1691</v>
      </c>
      <c r="AB556" s="574" t="s">
        <v>2297</v>
      </c>
      <c r="AC556" s="574" t="s">
        <v>2298</v>
      </c>
      <c r="AD556" s="574" t="s">
        <v>2299</v>
      </c>
      <c r="AE556" s="574" t="s">
        <v>1468</v>
      </c>
      <c r="AF556" s="574" t="s">
        <v>2299</v>
      </c>
      <c r="AG556" s="576">
        <v>0</v>
      </c>
      <c r="AH556" s="576">
        <v>205100</v>
      </c>
    </row>
    <row r="557" spans="1:34" customFormat="1" x14ac:dyDescent="0.25">
      <c r="A557" s="574" t="s">
        <v>2219</v>
      </c>
      <c r="B557" s="574" t="s">
        <v>2220</v>
      </c>
      <c r="C557" s="574" t="s">
        <v>2221</v>
      </c>
      <c r="D557" s="574" t="s">
        <v>2220</v>
      </c>
      <c r="E557" s="574" t="s">
        <v>2222</v>
      </c>
      <c r="F557" s="574" t="s">
        <v>2223</v>
      </c>
      <c r="G557" s="574" t="s">
        <v>2224</v>
      </c>
      <c r="H557" s="574" t="s">
        <v>2225</v>
      </c>
      <c r="I557" s="574" t="s">
        <v>2226</v>
      </c>
      <c r="J557" s="574" t="s">
        <v>2227</v>
      </c>
      <c r="K557" s="574" t="s">
        <v>2228</v>
      </c>
      <c r="L557" s="574" t="s">
        <v>2229</v>
      </c>
      <c r="M557" s="574" t="s">
        <v>2230</v>
      </c>
      <c r="N557" s="574" t="s">
        <v>2231</v>
      </c>
      <c r="O557" s="574" t="s">
        <v>2759</v>
      </c>
      <c r="P557" s="574" t="s">
        <v>2932</v>
      </c>
      <c r="Q557" s="574" t="s">
        <v>2234</v>
      </c>
      <c r="R557" s="574" t="s">
        <v>2225</v>
      </c>
      <c r="S557" s="574" t="s">
        <v>2235</v>
      </c>
      <c r="T557" s="574" t="s">
        <v>2236</v>
      </c>
      <c r="U557" s="574" t="s">
        <v>3017</v>
      </c>
      <c r="V557" s="574" t="s">
        <v>2238</v>
      </c>
      <c r="W557" s="574" t="s">
        <v>2239</v>
      </c>
      <c r="X557" s="574" t="s">
        <v>3018</v>
      </c>
      <c r="Y557" s="575" t="s">
        <v>2429</v>
      </c>
      <c r="Z557" s="575" t="s">
        <v>2429</v>
      </c>
      <c r="AA557" s="574" t="s">
        <v>1691</v>
      </c>
      <c r="AB557" s="574" t="s">
        <v>2297</v>
      </c>
      <c r="AC557" s="574" t="s">
        <v>2298</v>
      </c>
      <c r="AD557" s="574" t="s">
        <v>2299</v>
      </c>
      <c r="AE557" s="574" t="s">
        <v>1468</v>
      </c>
      <c r="AF557" s="574" t="s">
        <v>2299</v>
      </c>
      <c r="AG557" s="576">
        <v>0</v>
      </c>
      <c r="AH557" s="576">
        <v>37500</v>
      </c>
    </row>
    <row r="558" spans="1:34" customFormat="1" x14ac:dyDescent="0.25">
      <c r="A558" s="574" t="s">
        <v>2219</v>
      </c>
      <c r="B558" s="574" t="s">
        <v>2220</v>
      </c>
      <c r="C558" s="574" t="s">
        <v>2221</v>
      </c>
      <c r="D558" s="574" t="s">
        <v>2220</v>
      </c>
      <c r="E558" s="574" t="s">
        <v>2222</v>
      </c>
      <c r="F558" s="574" t="s">
        <v>2223</v>
      </c>
      <c r="G558" s="574" t="s">
        <v>2224</v>
      </c>
      <c r="H558" s="574" t="s">
        <v>2225</v>
      </c>
      <c r="I558" s="574" t="s">
        <v>2226</v>
      </c>
      <c r="J558" s="574" t="s">
        <v>2227</v>
      </c>
      <c r="K558" s="574" t="s">
        <v>2228</v>
      </c>
      <c r="L558" s="574" t="s">
        <v>2229</v>
      </c>
      <c r="M558" s="574" t="s">
        <v>2230</v>
      </c>
      <c r="N558" s="574" t="s">
        <v>2231</v>
      </c>
      <c r="O558" s="574" t="s">
        <v>2759</v>
      </c>
      <c r="P558" s="574" t="s">
        <v>2932</v>
      </c>
      <c r="Q558" s="574" t="s">
        <v>2234</v>
      </c>
      <c r="R558" s="574" t="s">
        <v>2225</v>
      </c>
      <c r="S558" s="574" t="s">
        <v>2235</v>
      </c>
      <c r="T558" s="574" t="s">
        <v>2236</v>
      </c>
      <c r="U558" s="574" t="s">
        <v>3019</v>
      </c>
      <c r="V558" s="574" t="s">
        <v>2238</v>
      </c>
      <c r="W558" s="574" t="s">
        <v>2239</v>
      </c>
      <c r="X558" s="574" t="s">
        <v>3020</v>
      </c>
      <c r="Y558" s="575" t="s">
        <v>2667</v>
      </c>
      <c r="Z558" s="575" t="s">
        <v>2667</v>
      </c>
      <c r="AA558" s="574" t="s">
        <v>1693</v>
      </c>
      <c r="AB558" s="574" t="s">
        <v>2319</v>
      </c>
      <c r="AC558" s="574" t="s">
        <v>2652</v>
      </c>
      <c r="AD558" s="574" t="s">
        <v>2653</v>
      </c>
      <c r="AE558" s="574" t="s">
        <v>2654</v>
      </c>
      <c r="AF558" s="574" t="s">
        <v>2655</v>
      </c>
      <c r="AG558" s="576">
        <v>0</v>
      </c>
      <c r="AH558" s="576">
        <v>115640</v>
      </c>
    </row>
    <row r="559" spans="1:34" customFormat="1" x14ac:dyDescent="0.25">
      <c r="A559" s="574" t="s">
        <v>2219</v>
      </c>
      <c r="B559" s="574" t="s">
        <v>2220</v>
      </c>
      <c r="C559" s="574" t="s">
        <v>2221</v>
      </c>
      <c r="D559" s="574" t="s">
        <v>2220</v>
      </c>
      <c r="E559" s="574" t="s">
        <v>2222</v>
      </c>
      <c r="F559" s="574" t="s">
        <v>2223</v>
      </c>
      <c r="G559" s="574" t="s">
        <v>2224</v>
      </c>
      <c r="H559" s="574" t="s">
        <v>2225</v>
      </c>
      <c r="I559" s="574" t="s">
        <v>2226</v>
      </c>
      <c r="J559" s="574" t="s">
        <v>2227</v>
      </c>
      <c r="K559" s="574" t="s">
        <v>2228</v>
      </c>
      <c r="L559" s="574" t="s">
        <v>2229</v>
      </c>
      <c r="M559" s="574" t="s">
        <v>2230</v>
      </c>
      <c r="N559" s="574" t="s">
        <v>2231</v>
      </c>
      <c r="O559" s="574" t="s">
        <v>2759</v>
      </c>
      <c r="P559" s="574" t="s">
        <v>2932</v>
      </c>
      <c r="Q559" s="574" t="s">
        <v>2234</v>
      </c>
      <c r="R559" s="574" t="s">
        <v>2225</v>
      </c>
      <c r="S559" s="574" t="s">
        <v>2235</v>
      </c>
      <c r="T559" s="574" t="s">
        <v>2236</v>
      </c>
      <c r="U559" s="574" t="s">
        <v>3021</v>
      </c>
      <c r="V559" s="574" t="s">
        <v>2238</v>
      </c>
      <c r="W559" s="574" t="s">
        <v>2239</v>
      </c>
      <c r="X559" s="574" t="s">
        <v>3022</v>
      </c>
      <c r="Y559" s="575" t="s">
        <v>2457</v>
      </c>
      <c r="Z559" s="575" t="s">
        <v>2457</v>
      </c>
      <c r="AA559" s="574" t="s">
        <v>1692</v>
      </c>
      <c r="AB559" s="574" t="s">
        <v>2307</v>
      </c>
      <c r="AC559" s="574" t="s">
        <v>2308</v>
      </c>
      <c r="AD559" s="574" t="s">
        <v>2309</v>
      </c>
      <c r="AE559" s="574" t="s">
        <v>1490</v>
      </c>
      <c r="AF559" s="574" t="s">
        <v>176</v>
      </c>
      <c r="AG559" s="576">
        <v>0</v>
      </c>
      <c r="AH559" s="576">
        <v>365350</v>
      </c>
    </row>
    <row r="560" spans="1:34" customFormat="1" x14ac:dyDescent="0.25">
      <c r="A560" s="574" t="s">
        <v>2219</v>
      </c>
      <c r="B560" s="574" t="s">
        <v>2220</v>
      </c>
      <c r="C560" s="574" t="s">
        <v>2221</v>
      </c>
      <c r="D560" s="574" t="s">
        <v>2220</v>
      </c>
      <c r="E560" s="574" t="s">
        <v>2222</v>
      </c>
      <c r="F560" s="574" t="s">
        <v>2223</v>
      </c>
      <c r="G560" s="574" t="s">
        <v>2224</v>
      </c>
      <c r="H560" s="574" t="s">
        <v>2225</v>
      </c>
      <c r="I560" s="574" t="s">
        <v>2226</v>
      </c>
      <c r="J560" s="574" t="s">
        <v>2227</v>
      </c>
      <c r="K560" s="574" t="s">
        <v>2228</v>
      </c>
      <c r="L560" s="574" t="s">
        <v>2229</v>
      </c>
      <c r="M560" s="574" t="s">
        <v>2230</v>
      </c>
      <c r="N560" s="574" t="s">
        <v>2231</v>
      </c>
      <c r="O560" s="574" t="s">
        <v>2759</v>
      </c>
      <c r="P560" s="574" t="s">
        <v>2932</v>
      </c>
      <c r="Q560" s="574" t="s">
        <v>2234</v>
      </c>
      <c r="R560" s="574" t="s">
        <v>2225</v>
      </c>
      <c r="S560" s="574" t="s">
        <v>2235</v>
      </c>
      <c r="T560" s="574" t="s">
        <v>2236</v>
      </c>
      <c r="U560" s="574" t="s">
        <v>3023</v>
      </c>
      <c r="V560" s="574" t="s">
        <v>2238</v>
      </c>
      <c r="W560" s="574" t="s">
        <v>2239</v>
      </c>
      <c r="X560" s="574" t="s">
        <v>3024</v>
      </c>
      <c r="Y560" s="575" t="s">
        <v>2457</v>
      </c>
      <c r="Z560" s="575" t="s">
        <v>2457</v>
      </c>
      <c r="AA560" s="574" t="s">
        <v>1693</v>
      </c>
      <c r="AB560" s="574" t="s">
        <v>2319</v>
      </c>
      <c r="AC560" s="574" t="s">
        <v>2320</v>
      </c>
      <c r="AD560" s="574" t="s">
        <v>2321</v>
      </c>
      <c r="AE560" s="574" t="s">
        <v>1446</v>
      </c>
      <c r="AF560" s="574" t="s">
        <v>2321</v>
      </c>
      <c r="AG560" s="576">
        <v>0</v>
      </c>
      <c r="AH560" s="576">
        <v>925120</v>
      </c>
    </row>
    <row r="561" spans="1:34" customFormat="1" x14ac:dyDescent="0.25">
      <c r="A561" s="574" t="s">
        <v>2219</v>
      </c>
      <c r="B561" s="574" t="s">
        <v>2220</v>
      </c>
      <c r="C561" s="574" t="s">
        <v>2221</v>
      </c>
      <c r="D561" s="574" t="s">
        <v>2220</v>
      </c>
      <c r="E561" s="574" t="s">
        <v>2222</v>
      </c>
      <c r="F561" s="574" t="s">
        <v>2223</v>
      </c>
      <c r="G561" s="574" t="s">
        <v>2224</v>
      </c>
      <c r="H561" s="574" t="s">
        <v>2225</v>
      </c>
      <c r="I561" s="574" t="s">
        <v>2226</v>
      </c>
      <c r="J561" s="574" t="s">
        <v>2227</v>
      </c>
      <c r="K561" s="574" t="s">
        <v>2228</v>
      </c>
      <c r="L561" s="574" t="s">
        <v>2229</v>
      </c>
      <c r="M561" s="574" t="s">
        <v>2230</v>
      </c>
      <c r="N561" s="574" t="s">
        <v>2231</v>
      </c>
      <c r="O561" s="574" t="s">
        <v>2759</v>
      </c>
      <c r="P561" s="574" t="s">
        <v>2932</v>
      </c>
      <c r="Q561" s="574" t="s">
        <v>2234</v>
      </c>
      <c r="R561" s="574" t="s">
        <v>2225</v>
      </c>
      <c r="S561" s="574" t="s">
        <v>2235</v>
      </c>
      <c r="T561" s="574" t="s">
        <v>2236</v>
      </c>
      <c r="U561" s="574" t="s">
        <v>3025</v>
      </c>
      <c r="V561" s="574" t="s">
        <v>2238</v>
      </c>
      <c r="W561" s="574" t="s">
        <v>2239</v>
      </c>
      <c r="X561" s="574" t="s">
        <v>3026</v>
      </c>
      <c r="Y561" s="575" t="s">
        <v>2457</v>
      </c>
      <c r="Z561" s="575" t="s">
        <v>2457</v>
      </c>
      <c r="AA561" s="574" t="s">
        <v>1693</v>
      </c>
      <c r="AB561" s="574" t="s">
        <v>2319</v>
      </c>
      <c r="AC561" s="574" t="s">
        <v>2320</v>
      </c>
      <c r="AD561" s="574" t="s">
        <v>2321</v>
      </c>
      <c r="AE561" s="574" t="s">
        <v>1446</v>
      </c>
      <c r="AF561" s="574" t="s">
        <v>2321</v>
      </c>
      <c r="AG561" s="576">
        <v>0</v>
      </c>
      <c r="AH561" s="576">
        <v>570648</v>
      </c>
    </row>
    <row r="562" spans="1:34" customFormat="1" x14ac:dyDescent="0.25">
      <c r="A562" s="574" t="s">
        <v>2219</v>
      </c>
      <c r="B562" s="574" t="s">
        <v>2220</v>
      </c>
      <c r="C562" s="574" t="s">
        <v>2221</v>
      </c>
      <c r="D562" s="574" t="s">
        <v>2220</v>
      </c>
      <c r="E562" s="574" t="s">
        <v>2222</v>
      </c>
      <c r="F562" s="574" t="s">
        <v>2223</v>
      </c>
      <c r="G562" s="574" t="s">
        <v>2224</v>
      </c>
      <c r="H562" s="574" t="s">
        <v>2225</v>
      </c>
      <c r="I562" s="574" t="s">
        <v>2226</v>
      </c>
      <c r="J562" s="574" t="s">
        <v>2227</v>
      </c>
      <c r="K562" s="574" t="s">
        <v>2228</v>
      </c>
      <c r="L562" s="574" t="s">
        <v>2229</v>
      </c>
      <c r="M562" s="574" t="s">
        <v>2230</v>
      </c>
      <c r="N562" s="574" t="s">
        <v>2231</v>
      </c>
      <c r="O562" s="574" t="s">
        <v>2759</v>
      </c>
      <c r="P562" s="574" t="s">
        <v>2932</v>
      </c>
      <c r="Q562" s="574" t="s">
        <v>2234</v>
      </c>
      <c r="R562" s="574" t="s">
        <v>2225</v>
      </c>
      <c r="S562" s="574" t="s">
        <v>2235</v>
      </c>
      <c r="T562" s="574" t="s">
        <v>2236</v>
      </c>
      <c r="U562" s="574" t="s">
        <v>3027</v>
      </c>
      <c r="V562" s="574" t="s">
        <v>2238</v>
      </c>
      <c r="W562" s="574" t="s">
        <v>2239</v>
      </c>
      <c r="X562" s="574" t="s">
        <v>3028</v>
      </c>
      <c r="Y562" s="575" t="s">
        <v>2457</v>
      </c>
      <c r="Z562" s="575" t="s">
        <v>2457</v>
      </c>
      <c r="AA562" s="574" t="s">
        <v>1692</v>
      </c>
      <c r="AB562" s="574" t="s">
        <v>2307</v>
      </c>
      <c r="AC562" s="574" t="s">
        <v>2308</v>
      </c>
      <c r="AD562" s="574" t="s">
        <v>2309</v>
      </c>
      <c r="AE562" s="574" t="s">
        <v>1490</v>
      </c>
      <c r="AF562" s="574" t="s">
        <v>176</v>
      </c>
      <c r="AG562" s="576">
        <v>0</v>
      </c>
      <c r="AH562" s="576">
        <v>18409.41</v>
      </c>
    </row>
    <row r="563" spans="1:34" customFormat="1" x14ac:dyDescent="0.25">
      <c r="A563" s="574" t="s">
        <v>2219</v>
      </c>
      <c r="B563" s="574" t="s">
        <v>2220</v>
      </c>
      <c r="C563" s="574" t="s">
        <v>2221</v>
      </c>
      <c r="D563" s="574" t="s">
        <v>2220</v>
      </c>
      <c r="E563" s="574" t="s">
        <v>2222</v>
      </c>
      <c r="F563" s="574" t="s">
        <v>2223</v>
      </c>
      <c r="G563" s="574" t="s">
        <v>2224</v>
      </c>
      <c r="H563" s="574" t="s">
        <v>2225</v>
      </c>
      <c r="I563" s="574" t="s">
        <v>2226</v>
      </c>
      <c r="J563" s="574" t="s">
        <v>2227</v>
      </c>
      <c r="K563" s="574" t="s">
        <v>2228</v>
      </c>
      <c r="L563" s="574" t="s">
        <v>2229</v>
      </c>
      <c r="M563" s="574" t="s">
        <v>2230</v>
      </c>
      <c r="N563" s="574" t="s">
        <v>2231</v>
      </c>
      <c r="O563" s="574" t="s">
        <v>2759</v>
      </c>
      <c r="P563" s="574" t="s">
        <v>2932</v>
      </c>
      <c r="Q563" s="574" t="s">
        <v>2234</v>
      </c>
      <c r="R563" s="574" t="s">
        <v>2225</v>
      </c>
      <c r="S563" s="574" t="s">
        <v>2235</v>
      </c>
      <c r="T563" s="574" t="s">
        <v>2236</v>
      </c>
      <c r="U563" s="574" t="s">
        <v>3029</v>
      </c>
      <c r="V563" s="574" t="s">
        <v>2238</v>
      </c>
      <c r="W563" s="574" t="s">
        <v>2239</v>
      </c>
      <c r="X563" s="574" t="s">
        <v>3030</v>
      </c>
      <c r="Y563" s="575" t="s">
        <v>2464</v>
      </c>
      <c r="Z563" s="575" t="s">
        <v>2464</v>
      </c>
      <c r="AA563" s="574" t="s">
        <v>2942</v>
      </c>
      <c r="AB563" s="574" t="s">
        <v>2943</v>
      </c>
      <c r="AC563" s="574" t="s">
        <v>2944</v>
      </c>
      <c r="AD563" s="574" t="s">
        <v>2945</v>
      </c>
      <c r="AE563" s="574" t="s">
        <v>2946</v>
      </c>
      <c r="AF563" s="574" t="s">
        <v>2945</v>
      </c>
      <c r="AG563" s="576">
        <v>0</v>
      </c>
      <c r="AH563" s="576">
        <v>21063</v>
      </c>
    </row>
    <row r="564" spans="1:34" customFormat="1" x14ac:dyDescent="0.25">
      <c r="A564" s="574" t="s">
        <v>2219</v>
      </c>
      <c r="B564" s="574" t="s">
        <v>2220</v>
      </c>
      <c r="C564" s="574" t="s">
        <v>2221</v>
      </c>
      <c r="D564" s="574" t="s">
        <v>2220</v>
      </c>
      <c r="E564" s="574" t="s">
        <v>2222</v>
      </c>
      <c r="F564" s="574" t="s">
        <v>2223</v>
      </c>
      <c r="G564" s="574" t="s">
        <v>2224</v>
      </c>
      <c r="H564" s="574" t="s">
        <v>2225</v>
      </c>
      <c r="I564" s="574" t="s">
        <v>2226</v>
      </c>
      <c r="J564" s="574" t="s">
        <v>2227</v>
      </c>
      <c r="K564" s="574" t="s">
        <v>2228</v>
      </c>
      <c r="L564" s="574" t="s">
        <v>2229</v>
      </c>
      <c r="M564" s="574" t="s">
        <v>2230</v>
      </c>
      <c r="N564" s="574" t="s">
        <v>2231</v>
      </c>
      <c r="O564" s="574" t="s">
        <v>2759</v>
      </c>
      <c r="P564" s="574" t="s">
        <v>2932</v>
      </c>
      <c r="Q564" s="574" t="s">
        <v>2234</v>
      </c>
      <c r="R564" s="574" t="s">
        <v>2225</v>
      </c>
      <c r="S564" s="574" t="s">
        <v>2235</v>
      </c>
      <c r="T564" s="574" t="s">
        <v>2236</v>
      </c>
      <c r="U564" s="574" t="s">
        <v>3031</v>
      </c>
      <c r="V564" s="574" t="s">
        <v>2238</v>
      </c>
      <c r="W564" s="574" t="s">
        <v>2239</v>
      </c>
      <c r="X564" s="574" t="s">
        <v>3032</v>
      </c>
      <c r="Y564" s="575" t="s">
        <v>2464</v>
      </c>
      <c r="Z564" s="575" t="s">
        <v>2464</v>
      </c>
      <c r="AA564" s="574" t="s">
        <v>1692</v>
      </c>
      <c r="AB564" s="574" t="s">
        <v>2307</v>
      </c>
      <c r="AC564" s="574" t="s">
        <v>2308</v>
      </c>
      <c r="AD564" s="574" t="s">
        <v>2309</v>
      </c>
      <c r="AE564" s="574" t="s">
        <v>1490</v>
      </c>
      <c r="AF564" s="574" t="s">
        <v>176</v>
      </c>
      <c r="AG564" s="576">
        <v>0</v>
      </c>
      <c r="AH564" s="576">
        <v>21280</v>
      </c>
    </row>
    <row r="565" spans="1:34" customFormat="1" x14ac:dyDescent="0.25">
      <c r="A565" s="574" t="s">
        <v>2219</v>
      </c>
      <c r="B565" s="574" t="s">
        <v>2220</v>
      </c>
      <c r="C565" s="574" t="s">
        <v>2221</v>
      </c>
      <c r="D565" s="574" t="s">
        <v>2220</v>
      </c>
      <c r="E565" s="574" t="s">
        <v>2222</v>
      </c>
      <c r="F565" s="574" t="s">
        <v>2223</v>
      </c>
      <c r="G565" s="574" t="s">
        <v>2224</v>
      </c>
      <c r="H565" s="574" t="s">
        <v>2225</v>
      </c>
      <c r="I565" s="574" t="s">
        <v>2226</v>
      </c>
      <c r="J565" s="574" t="s">
        <v>2227</v>
      </c>
      <c r="K565" s="574" t="s">
        <v>2228</v>
      </c>
      <c r="L565" s="574" t="s">
        <v>2229</v>
      </c>
      <c r="M565" s="574" t="s">
        <v>2230</v>
      </c>
      <c r="N565" s="574" t="s">
        <v>2231</v>
      </c>
      <c r="O565" s="574" t="s">
        <v>2759</v>
      </c>
      <c r="P565" s="574" t="s">
        <v>2932</v>
      </c>
      <c r="Q565" s="574" t="s">
        <v>2234</v>
      </c>
      <c r="R565" s="574" t="s">
        <v>2225</v>
      </c>
      <c r="S565" s="574" t="s">
        <v>2235</v>
      </c>
      <c r="T565" s="574" t="s">
        <v>2236</v>
      </c>
      <c r="U565" s="574" t="s">
        <v>3031</v>
      </c>
      <c r="V565" s="574" t="s">
        <v>2238</v>
      </c>
      <c r="W565" s="574" t="s">
        <v>2239</v>
      </c>
      <c r="X565" s="574" t="s">
        <v>3032</v>
      </c>
      <c r="Y565" s="575" t="s">
        <v>2464</v>
      </c>
      <c r="Z565" s="575" t="s">
        <v>2464</v>
      </c>
      <c r="AA565" s="574" t="s">
        <v>1693</v>
      </c>
      <c r="AB565" s="574" t="s">
        <v>2319</v>
      </c>
      <c r="AC565" s="574" t="s">
        <v>2320</v>
      </c>
      <c r="AD565" s="574" t="s">
        <v>2321</v>
      </c>
      <c r="AE565" s="574" t="s">
        <v>1446</v>
      </c>
      <c r="AF565" s="574" t="s">
        <v>2321</v>
      </c>
      <c r="AG565" s="576">
        <v>0</v>
      </c>
      <c r="AH565" s="576">
        <v>110520</v>
      </c>
    </row>
    <row r="566" spans="1:34" customFormat="1" x14ac:dyDescent="0.25">
      <c r="A566" s="574" t="s">
        <v>2219</v>
      </c>
      <c r="B566" s="574" t="s">
        <v>2220</v>
      </c>
      <c r="C566" s="574" t="s">
        <v>2221</v>
      </c>
      <c r="D566" s="574" t="s">
        <v>2220</v>
      </c>
      <c r="E566" s="574" t="s">
        <v>2222</v>
      </c>
      <c r="F566" s="574" t="s">
        <v>2223</v>
      </c>
      <c r="G566" s="574" t="s">
        <v>2224</v>
      </c>
      <c r="H566" s="574" t="s">
        <v>2225</v>
      </c>
      <c r="I566" s="574" t="s">
        <v>2226</v>
      </c>
      <c r="J566" s="574" t="s">
        <v>2227</v>
      </c>
      <c r="K566" s="574" t="s">
        <v>2228</v>
      </c>
      <c r="L566" s="574" t="s">
        <v>2229</v>
      </c>
      <c r="M566" s="574" t="s">
        <v>2230</v>
      </c>
      <c r="N566" s="574" t="s">
        <v>2231</v>
      </c>
      <c r="O566" s="574" t="s">
        <v>2759</v>
      </c>
      <c r="P566" s="574" t="s">
        <v>2932</v>
      </c>
      <c r="Q566" s="574" t="s">
        <v>2234</v>
      </c>
      <c r="R566" s="574" t="s">
        <v>2225</v>
      </c>
      <c r="S566" s="574" t="s">
        <v>2235</v>
      </c>
      <c r="T566" s="574" t="s">
        <v>2236</v>
      </c>
      <c r="U566" s="574" t="s">
        <v>3033</v>
      </c>
      <c r="V566" s="574" t="s">
        <v>2238</v>
      </c>
      <c r="W566" s="574" t="s">
        <v>2239</v>
      </c>
      <c r="X566" s="574" t="s">
        <v>3034</v>
      </c>
      <c r="Y566" s="575" t="s">
        <v>2464</v>
      </c>
      <c r="Z566" s="575" t="s">
        <v>2464</v>
      </c>
      <c r="AA566" s="574" t="s">
        <v>1693</v>
      </c>
      <c r="AB566" s="574" t="s">
        <v>2319</v>
      </c>
      <c r="AC566" s="574" t="s">
        <v>2320</v>
      </c>
      <c r="AD566" s="574" t="s">
        <v>2321</v>
      </c>
      <c r="AE566" s="574" t="s">
        <v>1446</v>
      </c>
      <c r="AF566" s="574" t="s">
        <v>2321</v>
      </c>
      <c r="AG566" s="576">
        <v>0</v>
      </c>
      <c r="AH566" s="576">
        <v>250348.79999999999</v>
      </c>
    </row>
    <row r="567" spans="1:34" customFormat="1" x14ac:dyDescent="0.25">
      <c r="A567" s="574" t="s">
        <v>2219</v>
      </c>
      <c r="B567" s="574" t="s">
        <v>2220</v>
      </c>
      <c r="C567" s="574" t="s">
        <v>2221</v>
      </c>
      <c r="D567" s="574" t="s">
        <v>2220</v>
      </c>
      <c r="E567" s="574" t="s">
        <v>2222</v>
      </c>
      <c r="F567" s="574" t="s">
        <v>2223</v>
      </c>
      <c r="G567" s="574" t="s">
        <v>2224</v>
      </c>
      <c r="H567" s="574" t="s">
        <v>2225</v>
      </c>
      <c r="I567" s="574" t="s">
        <v>2226</v>
      </c>
      <c r="J567" s="574" t="s">
        <v>2227</v>
      </c>
      <c r="K567" s="574" t="s">
        <v>2228</v>
      </c>
      <c r="L567" s="574" t="s">
        <v>2229</v>
      </c>
      <c r="M567" s="574" t="s">
        <v>2230</v>
      </c>
      <c r="N567" s="574" t="s">
        <v>2231</v>
      </c>
      <c r="O567" s="574" t="s">
        <v>2759</v>
      </c>
      <c r="P567" s="574" t="s">
        <v>2932</v>
      </c>
      <c r="Q567" s="574" t="s">
        <v>2234</v>
      </c>
      <c r="R567" s="574" t="s">
        <v>2225</v>
      </c>
      <c r="S567" s="574" t="s">
        <v>2235</v>
      </c>
      <c r="T567" s="574" t="s">
        <v>2236</v>
      </c>
      <c r="U567" s="574" t="s">
        <v>3035</v>
      </c>
      <c r="V567" s="574" t="s">
        <v>2238</v>
      </c>
      <c r="W567" s="574" t="s">
        <v>2239</v>
      </c>
      <c r="X567" s="574" t="s">
        <v>3036</v>
      </c>
      <c r="Y567" s="575" t="s">
        <v>2464</v>
      </c>
      <c r="Z567" s="575" t="s">
        <v>2464</v>
      </c>
      <c r="AA567" s="574" t="s">
        <v>1693</v>
      </c>
      <c r="AB567" s="574" t="s">
        <v>2319</v>
      </c>
      <c r="AC567" s="574" t="s">
        <v>2962</v>
      </c>
      <c r="AD567" s="574" t="s">
        <v>126</v>
      </c>
      <c r="AE567" s="574" t="s">
        <v>1522</v>
      </c>
      <c r="AF567" s="574" t="s">
        <v>126</v>
      </c>
      <c r="AG567" s="576">
        <v>0</v>
      </c>
      <c r="AH567" s="576">
        <v>26850.9</v>
      </c>
    </row>
    <row r="568" spans="1:34" customFormat="1" x14ac:dyDescent="0.25">
      <c r="A568" s="574" t="s">
        <v>2219</v>
      </c>
      <c r="B568" s="574" t="s">
        <v>2220</v>
      </c>
      <c r="C568" s="574" t="s">
        <v>2221</v>
      </c>
      <c r="D568" s="574" t="s">
        <v>2220</v>
      </c>
      <c r="E568" s="574" t="s">
        <v>2222</v>
      </c>
      <c r="F568" s="574" t="s">
        <v>2223</v>
      </c>
      <c r="G568" s="574" t="s">
        <v>2224</v>
      </c>
      <c r="H568" s="574" t="s">
        <v>2225</v>
      </c>
      <c r="I568" s="574" t="s">
        <v>2226</v>
      </c>
      <c r="J568" s="574" t="s">
        <v>2227</v>
      </c>
      <c r="K568" s="574" t="s">
        <v>2228</v>
      </c>
      <c r="L568" s="574" t="s">
        <v>2229</v>
      </c>
      <c r="M568" s="574" t="s">
        <v>2230</v>
      </c>
      <c r="N568" s="574" t="s">
        <v>2231</v>
      </c>
      <c r="O568" s="574" t="s">
        <v>2759</v>
      </c>
      <c r="P568" s="574" t="s">
        <v>2932</v>
      </c>
      <c r="Q568" s="574" t="s">
        <v>2234</v>
      </c>
      <c r="R568" s="574" t="s">
        <v>2225</v>
      </c>
      <c r="S568" s="574" t="s">
        <v>2235</v>
      </c>
      <c r="T568" s="574" t="s">
        <v>2236</v>
      </c>
      <c r="U568" s="574" t="s">
        <v>3037</v>
      </c>
      <c r="V568" s="574" t="s">
        <v>2238</v>
      </c>
      <c r="W568" s="574" t="s">
        <v>2239</v>
      </c>
      <c r="X568" s="574" t="s">
        <v>3038</v>
      </c>
      <c r="Y568" s="575" t="s">
        <v>2464</v>
      </c>
      <c r="Z568" s="575" t="s">
        <v>2464</v>
      </c>
      <c r="AA568" s="574" t="s">
        <v>1693</v>
      </c>
      <c r="AB568" s="574" t="s">
        <v>2319</v>
      </c>
      <c r="AC568" s="574" t="s">
        <v>2320</v>
      </c>
      <c r="AD568" s="574" t="s">
        <v>2321</v>
      </c>
      <c r="AE568" s="574" t="s">
        <v>1446</v>
      </c>
      <c r="AF568" s="574" t="s">
        <v>2321</v>
      </c>
      <c r="AG568" s="576">
        <v>0</v>
      </c>
      <c r="AH568" s="576">
        <v>253818</v>
      </c>
    </row>
    <row r="569" spans="1:34" customFormat="1" x14ac:dyDescent="0.25">
      <c r="A569" s="574" t="s">
        <v>2219</v>
      </c>
      <c r="B569" s="574" t="s">
        <v>2220</v>
      </c>
      <c r="C569" s="574" t="s">
        <v>2221</v>
      </c>
      <c r="D569" s="574" t="s">
        <v>2220</v>
      </c>
      <c r="E569" s="574" t="s">
        <v>2222</v>
      </c>
      <c r="F569" s="574" t="s">
        <v>2223</v>
      </c>
      <c r="G569" s="574" t="s">
        <v>2224</v>
      </c>
      <c r="H569" s="574" t="s">
        <v>2225</v>
      </c>
      <c r="I569" s="574" t="s">
        <v>2226</v>
      </c>
      <c r="J569" s="574" t="s">
        <v>2227</v>
      </c>
      <c r="K569" s="574" t="s">
        <v>2228</v>
      </c>
      <c r="L569" s="574" t="s">
        <v>2229</v>
      </c>
      <c r="M569" s="574" t="s">
        <v>2230</v>
      </c>
      <c r="N569" s="574" t="s">
        <v>2231</v>
      </c>
      <c r="O569" s="574" t="s">
        <v>2759</v>
      </c>
      <c r="P569" s="574" t="s">
        <v>2932</v>
      </c>
      <c r="Q569" s="574" t="s">
        <v>2234</v>
      </c>
      <c r="R569" s="574" t="s">
        <v>2225</v>
      </c>
      <c r="S569" s="574" t="s">
        <v>2235</v>
      </c>
      <c r="T569" s="574" t="s">
        <v>2236</v>
      </c>
      <c r="U569" s="574" t="s">
        <v>3039</v>
      </c>
      <c r="V569" s="574" t="s">
        <v>2238</v>
      </c>
      <c r="W569" s="574" t="s">
        <v>2239</v>
      </c>
      <c r="X569" s="574" t="s">
        <v>3040</v>
      </c>
      <c r="Y569" s="575" t="s">
        <v>2464</v>
      </c>
      <c r="Z569" s="575" t="s">
        <v>2464</v>
      </c>
      <c r="AA569" s="574" t="s">
        <v>1693</v>
      </c>
      <c r="AB569" s="574" t="s">
        <v>2319</v>
      </c>
      <c r="AC569" s="574" t="s">
        <v>2320</v>
      </c>
      <c r="AD569" s="574" t="s">
        <v>2321</v>
      </c>
      <c r="AE569" s="574" t="s">
        <v>1446</v>
      </c>
      <c r="AF569" s="574" t="s">
        <v>2321</v>
      </c>
      <c r="AG569" s="576">
        <v>0</v>
      </c>
      <c r="AH569" s="576">
        <v>225852</v>
      </c>
    </row>
    <row r="570" spans="1:34" customFormat="1" x14ac:dyDescent="0.25">
      <c r="A570" s="574" t="s">
        <v>2219</v>
      </c>
      <c r="B570" s="574" t="s">
        <v>2220</v>
      </c>
      <c r="C570" s="574" t="s">
        <v>2221</v>
      </c>
      <c r="D570" s="574" t="s">
        <v>2220</v>
      </c>
      <c r="E570" s="574" t="s">
        <v>2222</v>
      </c>
      <c r="F570" s="574" t="s">
        <v>2223</v>
      </c>
      <c r="G570" s="574" t="s">
        <v>2224</v>
      </c>
      <c r="H570" s="574" t="s">
        <v>2225</v>
      </c>
      <c r="I570" s="574" t="s">
        <v>2226</v>
      </c>
      <c r="J570" s="574" t="s">
        <v>2227</v>
      </c>
      <c r="K570" s="574" t="s">
        <v>2228</v>
      </c>
      <c r="L570" s="574" t="s">
        <v>2229</v>
      </c>
      <c r="M570" s="574" t="s">
        <v>2230</v>
      </c>
      <c r="N570" s="574" t="s">
        <v>2231</v>
      </c>
      <c r="O570" s="574" t="s">
        <v>2759</v>
      </c>
      <c r="P570" s="574" t="s">
        <v>2932</v>
      </c>
      <c r="Q570" s="574" t="s">
        <v>2234</v>
      </c>
      <c r="R570" s="574" t="s">
        <v>2225</v>
      </c>
      <c r="S570" s="574" t="s">
        <v>2235</v>
      </c>
      <c r="T570" s="574" t="s">
        <v>2236</v>
      </c>
      <c r="U570" s="574" t="s">
        <v>3041</v>
      </c>
      <c r="V570" s="574" t="s">
        <v>2238</v>
      </c>
      <c r="W570" s="574" t="s">
        <v>2239</v>
      </c>
      <c r="X570" s="574" t="s">
        <v>3042</v>
      </c>
      <c r="Y570" s="575" t="s">
        <v>2464</v>
      </c>
      <c r="Z570" s="575" t="s">
        <v>2464</v>
      </c>
      <c r="AA570" s="574" t="s">
        <v>1693</v>
      </c>
      <c r="AB570" s="574" t="s">
        <v>2319</v>
      </c>
      <c r="AC570" s="574" t="s">
        <v>2320</v>
      </c>
      <c r="AD570" s="574" t="s">
        <v>2321</v>
      </c>
      <c r="AE570" s="574" t="s">
        <v>1446</v>
      </c>
      <c r="AF570" s="574" t="s">
        <v>2321</v>
      </c>
      <c r="AG570" s="576">
        <v>0</v>
      </c>
      <c r="AH570" s="576">
        <v>224200</v>
      </c>
    </row>
    <row r="571" spans="1:34" customFormat="1" x14ac:dyDescent="0.25">
      <c r="A571" s="574" t="s">
        <v>2219</v>
      </c>
      <c r="B571" s="574" t="s">
        <v>2220</v>
      </c>
      <c r="C571" s="574" t="s">
        <v>2221</v>
      </c>
      <c r="D571" s="574" t="s">
        <v>2220</v>
      </c>
      <c r="E571" s="574" t="s">
        <v>2222</v>
      </c>
      <c r="F571" s="574" t="s">
        <v>2223</v>
      </c>
      <c r="G571" s="574" t="s">
        <v>2224</v>
      </c>
      <c r="H571" s="574" t="s">
        <v>2225</v>
      </c>
      <c r="I571" s="574" t="s">
        <v>2226</v>
      </c>
      <c r="J571" s="574" t="s">
        <v>2227</v>
      </c>
      <c r="K571" s="574" t="s">
        <v>2228</v>
      </c>
      <c r="L571" s="574" t="s">
        <v>2229</v>
      </c>
      <c r="M571" s="574" t="s">
        <v>2230</v>
      </c>
      <c r="N571" s="574" t="s">
        <v>2231</v>
      </c>
      <c r="O571" s="574" t="s">
        <v>2759</v>
      </c>
      <c r="P571" s="574" t="s">
        <v>2932</v>
      </c>
      <c r="Q571" s="574" t="s">
        <v>2234</v>
      </c>
      <c r="R571" s="574" t="s">
        <v>2225</v>
      </c>
      <c r="S571" s="574" t="s">
        <v>2235</v>
      </c>
      <c r="T571" s="574" t="s">
        <v>2236</v>
      </c>
      <c r="U571" s="574" t="s">
        <v>3043</v>
      </c>
      <c r="V571" s="574" t="s">
        <v>2238</v>
      </c>
      <c r="W571" s="574" t="s">
        <v>2239</v>
      </c>
      <c r="X571" s="574" t="s">
        <v>3044</v>
      </c>
      <c r="Y571" s="575" t="s">
        <v>2464</v>
      </c>
      <c r="Z571" s="575" t="s">
        <v>2464</v>
      </c>
      <c r="AA571" s="574" t="s">
        <v>1693</v>
      </c>
      <c r="AB571" s="574" t="s">
        <v>2319</v>
      </c>
      <c r="AC571" s="574" t="s">
        <v>2320</v>
      </c>
      <c r="AD571" s="574" t="s">
        <v>2321</v>
      </c>
      <c r="AE571" s="574" t="s">
        <v>1446</v>
      </c>
      <c r="AF571" s="574" t="s">
        <v>2321</v>
      </c>
      <c r="AG571" s="576">
        <v>0</v>
      </c>
      <c r="AH571" s="576">
        <v>177000</v>
      </c>
    </row>
    <row r="572" spans="1:34" customFormat="1" x14ac:dyDescent="0.25">
      <c r="A572" s="574" t="s">
        <v>2219</v>
      </c>
      <c r="B572" s="574" t="s">
        <v>2220</v>
      </c>
      <c r="C572" s="574" t="s">
        <v>2221</v>
      </c>
      <c r="D572" s="574" t="s">
        <v>2220</v>
      </c>
      <c r="E572" s="574" t="s">
        <v>2222</v>
      </c>
      <c r="F572" s="574" t="s">
        <v>2223</v>
      </c>
      <c r="G572" s="574" t="s">
        <v>2224</v>
      </c>
      <c r="H572" s="574" t="s">
        <v>2225</v>
      </c>
      <c r="I572" s="574" t="s">
        <v>2226</v>
      </c>
      <c r="J572" s="574" t="s">
        <v>2227</v>
      </c>
      <c r="K572" s="574" t="s">
        <v>2228</v>
      </c>
      <c r="L572" s="574" t="s">
        <v>2229</v>
      </c>
      <c r="M572" s="574" t="s">
        <v>2230</v>
      </c>
      <c r="N572" s="574" t="s">
        <v>2231</v>
      </c>
      <c r="O572" s="574" t="s">
        <v>2759</v>
      </c>
      <c r="P572" s="574" t="s">
        <v>2932</v>
      </c>
      <c r="Q572" s="574" t="s">
        <v>2234</v>
      </c>
      <c r="R572" s="574" t="s">
        <v>2225</v>
      </c>
      <c r="S572" s="574" t="s">
        <v>2235</v>
      </c>
      <c r="T572" s="574" t="s">
        <v>2236</v>
      </c>
      <c r="U572" s="574" t="s">
        <v>3045</v>
      </c>
      <c r="V572" s="574" t="s">
        <v>2238</v>
      </c>
      <c r="W572" s="574" t="s">
        <v>2239</v>
      </c>
      <c r="X572" s="574" t="s">
        <v>3046</v>
      </c>
      <c r="Y572" s="575" t="s">
        <v>2464</v>
      </c>
      <c r="Z572" s="575" t="s">
        <v>2464</v>
      </c>
      <c r="AA572" s="574" t="s">
        <v>1693</v>
      </c>
      <c r="AB572" s="574" t="s">
        <v>2319</v>
      </c>
      <c r="AC572" s="574" t="s">
        <v>2320</v>
      </c>
      <c r="AD572" s="574" t="s">
        <v>2321</v>
      </c>
      <c r="AE572" s="574" t="s">
        <v>1446</v>
      </c>
      <c r="AF572" s="574" t="s">
        <v>2321</v>
      </c>
      <c r="AG572" s="576">
        <v>0</v>
      </c>
      <c r="AH572" s="576">
        <v>236964</v>
      </c>
    </row>
    <row r="573" spans="1:34" customFormat="1" x14ac:dyDescent="0.25">
      <c r="A573" s="574" t="s">
        <v>2219</v>
      </c>
      <c r="B573" s="574" t="s">
        <v>2220</v>
      </c>
      <c r="C573" s="574" t="s">
        <v>2221</v>
      </c>
      <c r="D573" s="574" t="s">
        <v>2220</v>
      </c>
      <c r="E573" s="574" t="s">
        <v>2222</v>
      </c>
      <c r="F573" s="574" t="s">
        <v>2223</v>
      </c>
      <c r="G573" s="574" t="s">
        <v>2224</v>
      </c>
      <c r="H573" s="574" t="s">
        <v>2225</v>
      </c>
      <c r="I573" s="574" t="s">
        <v>2226</v>
      </c>
      <c r="J573" s="574" t="s">
        <v>2227</v>
      </c>
      <c r="K573" s="574" t="s">
        <v>2228</v>
      </c>
      <c r="L573" s="574" t="s">
        <v>2229</v>
      </c>
      <c r="M573" s="574" t="s">
        <v>2230</v>
      </c>
      <c r="N573" s="574" t="s">
        <v>2231</v>
      </c>
      <c r="O573" s="574" t="s">
        <v>2759</v>
      </c>
      <c r="P573" s="574" t="s">
        <v>2932</v>
      </c>
      <c r="Q573" s="574" t="s">
        <v>2234</v>
      </c>
      <c r="R573" s="574" t="s">
        <v>2225</v>
      </c>
      <c r="S573" s="574" t="s">
        <v>2235</v>
      </c>
      <c r="T573" s="574" t="s">
        <v>2236</v>
      </c>
      <c r="U573" s="574" t="s">
        <v>3047</v>
      </c>
      <c r="V573" s="574" t="s">
        <v>2238</v>
      </c>
      <c r="W573" s="574" t="s">
        <v>2239</v>
      </c>
      <c r="X573" s="574" t="s">
        <v>3048</v>
      </c>
      <c r="Y573" s="575" t="s">
        <v>2464</v>
      </c>
      <c r="Z573" s="575" t="s">
        <v>2464</v>
      </c>
      <c r="AA573" s="574" t="s">
        <v>1693</v>
      </c>
      <c r="AB573" s="574" t="s">
        <v>2319</v>
      </c>
      <c r="AC573" s="574" t="s">
        <v>2320</v>
      </c>
      <c r="AD573" s="574" t="s">
        <v>2321</v>
      </c>
      <c r="AE573" s="574" t="s">
        <v>1446</v>
      </c>
      <c r="AF573" s="574" t="s">
        <v>2321</v>
      </c>
      <c r="AG573" s="576">
        <v>0</v>
      </c>
      <c r="AH573" s="576">
        <v>211438.5</v>
      </c>
    </row>
    <row r="574" spans="1:34" customFormat="1" x14ac:dyDescent="0.25">
      <c r="A574" s="574" t="s">
        <v>2219</v>
      </c>
      <c r="B574" s="574" t="s">
        <v>2220</v>
      </c>
      <c r="C574" s="574" t="s">
        <v>2221</v>
      </c>
      <c r="D574" s="574" t="s">
        <v>2220</v>
      </c>
      <c r="E574" s="574" t="s">
        <v>2222</v>
      </c>
      <c r="F574" s="574" t="s">
        <v>2223</v>
      </c>
      <c r="G574" s="574" t="s">
        <v>2224</v>
      </c>
      <c r="H574" s="574" t="s">
        <v>2225</v>
      </c>
      <c r="I574" s="574" t="s">
        <v>2226</v>
      </c>
      <c r="J574" s="574" t="s">
        <v>2227</v>
      </c>
      <c r="K574" s="574" t="s">
        <v>2228</v>
      </c>
      <c r="L574" s="574" t="s">
        <v>2229</v>
      </c>
      <c r="M574" s="574" t="s">
        <v>2230</v>
      </c>
      <c r="N574" s="574" t="s">
        <v>2231</v>
      </c>
      <c r="O574" s="574" t="s">
        <v>2759</v>
      </c>
      <c r="P574" s="574" t="s">
        <v>2932</v>
      </c>
      <c r="Q574" s="574" t="s">
        <v>2234</v>
      </c>
      <c r="R574" s="574" t="s">
        <v>2225</v>
      </c>
      <c r="S574" s="574" t="s">
        <v>2235</v>
      </c>
      <c r="T574" s="574" t="s">
        <v>2236</v>
      </c>
      <c r="U574" s="574" t="s">
        <v>3049</v>
      </c>
      <c r="V574" s="574" t="s">
        <v>2238</v>
      </c>
      <c r="W574" s="574" t="s">
        <v>2239</v>
      </c>
      <c r="X574" s="574" t="s">
        <v>3050</v>
      </c>
      <c r="Y574" s="575" t="s">
        <v>2471</v>
      </c>
      <c r="Z574" s="575" t="s">
        <v>2471</v>
      </c>
      <c r="AA574" s="574" t="s">
        <v>1693</v>
      </c>
      <c r="AB574" s="574" t="s">
        <v>2319</v>
      </c>
      <c r="AC574" s="574" t="s">
        <v>2320</v>
      </c>
      <c r="AD574" s="574" t="s">
        <v>2321</v>
      </c>
      <c r="AE574" s="574" t="s">
        <v>1446</v>
      </c>
      <c r="AF574" s="574" t="s">
        <v>2321</v>
      </c>
      <c r="AG574" s="576">
        <v>0</v>
      </c>
      <c r="AH574" s="576">
        <v>221250</v>
      </c>
    </row>
    <row r="575" spans="1:34" customFormat="1" x14ac:dyDescent="0.25">
      <c r="A575" s="574" t="s">
        <v>2219</v>
      </c>
      <c r="B575" s="574" t="s">
        <v>2220</v>
      </c>
      <c r="C575" s="574" t="s">
        <v>2221</v>
      </c>
      <c r="D575" s="574" t="s">
        <v>2220</v>
      </c>
      <c r="E575" s="574" t="s">
        <v>2222</v>
      </c>
      <c r="F575" s="574" t="s">
        <v>2223</v>
      </c>
      <c r="G575" s="574" t="s">
        <v>2224</v>
      </c>
      <c r="H575" s="574" t="s">
        <v>2225</v>
      </c>
      <c r="I575" s="574" t="s">
        <v>2226</v>
      </c>
      <c r="J575" s="574" t="s">
        <v>2227</v>
      </c>
      <c r="K575" s="574" t="s">
        <v>2228</v>
      </c>
      <c r="L575" s="574" t="s">
        <v>2229</v>
      </c>
      <c r="M575" s="574" t="s">
        <v>2230</v>
      </c>
      <c r="N575" s="574" t="s">
        <v>2231</v>
      </c>
      <c r="O575" s="574" t="s">
        <v>2759</v>
      </c>
      <c r="P575" s="574" t="s">
        <v>2932</v>
      </c>
      <c r="Q575" s="574" t="s">
        <v>2234</v>
      </c>
      <c r="R575" s="574" t="s">
        <v>2225</v>
      </c>
      <c r="S575" s="574" t="s">
        <v>2235</v>
      </c>
      <c r="T575" s="574" t="s">
        <v>2236</v>
      </c>
      <c r="U575" s="574" t="s">
        <v>3051</v>
      </c>
      <c r="V575" s="574" t="s">
        <v>2238</v>
      </c>
      <c r="W575" s="574" t="s">
        <v>2239</v>
      </c>
      <c r="X575" s="574" t="s">
        <v>3052</v>
      </c>
      <c r="Y575" s="575" t="s">
        <v>2474</v>
      </c>
      <c r="Z575" s="575" t="s">
        <v>2474</v>
      </c>
      <c r="AA575" s="574" t="s">
        <v>1693</v>
      </c>
      <c r="AB575" s="574" t="s">
        <v>2319</v>
      </c>
      <c r="AC575" s="574" t="s">
        <v>2320</v>
      </c>
      <c r="AD575" s="574" t="s">
        <v>2321</v>
      </c>
      <c r="AE575" s="574" t="s">
        <v>1446</v>
      </c>
      <c r="AF575" s="574" t="s">
        <v>2321</v>
      </c>
      <c r="AG575" s="576">
        <v>0</v>
      </c>
      <c r="AH575" s="576">
        <v>19925.009999999998</v>
      </c>
    </row>
    <row r="576" spans="1:34" customFormat="1" x14ac:dyDescent="0.25">
      <c r="A576" s="574" t="s">
        <v>2219</v>
      </c>
      <c r="B576" s="574" t="s">
        <v>2220</v>
      </c>
      <c r="C576" s="574" t="s">
        <v>2221</v>
      </c>
      <c r="D576" s="574" t="s">
        <v>2220</v>
      </c>
      <c r="E576" s="574" t="s">
        <v>2222</v>
      </c>
      <c r="F576" s="574" t="s">
        <v>2223</v>
      </c>
      <c r="G576" s="574" t="s">
        <v>2224</v>
      </c>
      <c r="H576" s="574" t="s">
        <v>2225</v>
      </c>
      <c r="I576" s="574" t="s">
        <v>2226</v>
      </c>
      <c r="J576" s="574" t="s">
        <v>2227</v>
      </c>
      <c r="K576" s="574" t="s">
        <v>2228</v>
      </c>
      <c r="L576" s="574" t="s">
        <v>2229</v>
      </c>
      <c r="M576" s="574" t="s">
        <v>2230</v>
      </c>
      <c r="N576" s="574" t="s">
        <v>2231</v>
      </c>
      <c r="O576" s="574" t="s">
        <v>2759</v>
      </c>
      <c r="P576" s="574" t="s">
        <v>2932</v>
      </c>
      <c r="Q576" s="574" t="s">
        <v>2234</v>
      </c>
      <c r="R576" s="574" t="s">
        <v>2225</v>
      </c>
      <c r="S576" s="574" t="s">
        <v>2235</v>
      </c>
      <c r="T576" s="574" t="s">
        <v>2236</v>
      </c>
      <c r="U576" s="574" t="s">
        <v>3053</v>
      </c>
      <c r="V576" s="574" t="s">
        <v>2238</v>
      </c>
      <c r="W576" s="574" t="s">
        <v>2239</v>
      </c>
      <c r="X576" s="574" t="s">
        <v>3054</v>
      </c>
      <c r="Y576" s="575" t="s">
        <v>2474</v>
      </c>
      <c r="Z576" s="575" t="s">
        <v>2474</v>
      </c>
      <c r="AA576" s="574" t="s">
        <v>1693</v>
      </c>
      <c r="AB576" s="574" t="s">
        <v>2319</v>
      </c>
      <c r="AC576" s="574" t="s">
        <v>2320</v>
      </c>
      <c r="AD576" s="574" t="s">
        <v>2321</v>
      </c>
      <c r="AE576" s="574" t="s">
        <v>1446</v>
      </c>
      <c r="AF576" s="574" t="s">
        <v>2321</v>
      </c>
      <c r="AG576" s="576">
        <v>0</v>
      </c>
      <c r="AH576" s="576">
        <v>50256</v>
      </c>
    </row>
    <row r="577" spans="1:34" customFormat="1" x14ac:dyDescent="0.25">
      <c r="A577" s="574" t="s">
        <v>2219</v>
      </c>
      <c r="B577" s="574" t="s">
        <v>2220</v>
      </c>
      <c r="C577" s="574" t="s">
        <v>2221</v>
      </c>
      <c r="D577" s="574" t="s">
        <v>2220</v>
      </c>
      <c r="E577" s="574" t="s">
        <v>2222</v>
      </c>
      <c r="F577" s="574" t="s">
        <v>2223</v>
      </c>
      <c r="G577" s="574" t="s">
        <v>2224</v>
      </c>
      <c r="H577" s="574" t="s">
        <v>2225</v>
      </c>
      <c r="I577" s="574" t="s">
        <v>2226</v>
      </c>
      <c r="J577" s="574" t="s">
        <v>2227</v>
      </c>
      <c r="K577" s="574" t="s">
        <v>2228</v>
      </c>
      <c r="L577" s="574" t="s">
        <v>2229</v>
      </c>
      <c r="M577" s="574" t="s">
        <v>2230</v>
      </c>
      <c r="N577" s="574" t="s">
        <v>2231</v>
      </c>
      <c r="O577" s="574" t="s">
        <v>2759</v>
      </c>
      <c r="P577" s="574" t="s">
        <v>2932</v>
      </c>
      <c r="Q577" s="574" t="s">
        <v>2234</v>
      </c>
      <c r="R577" s="574" t="s">
        <v>2225</v>
      </c>
      <c r="S577" s="574" t="s">
        <v>2235</v>
      </c>
      <c r="T577" s="574" t="s">
        <v>2236</v>
      </c>
      <c r="U577" s="574" t="s">
        <v>3055</v>
      </c>
      <c r="V577" s="574" t="s">
        <v>2238</v>
      </c>
      <c r="W577" s="574" t="s">
        <v>2239</v>
      </c>
      <c r="X577" s="574" t="s">
        <v>3056</v>
      </c>
      <c r="Y577" s="575" t="s">
        <v>2474</v>
      </c>
      <c r="Z577" s="575" t="s">
        <v>2474</v>
      </c>
      <c r="AA577" s="574" t="s">
        <v>1693</v>
      </c>
      <c r="AB577" s="574" t="s">
        <v>2319</v>
      </c>
      <c r="AC577" s="574" t="s">
        <v>2320</v>
      </c>
      <c r="AD577" s="574" t="s">
        <v>2321</v>
      </c>
      <c r="AE577" s="574" t="s">
        <v>1446</v>
      </c>
      <c r="AF577" s="574" t="s">
        <v>2321</v>
      </c>
      <c r="AG577" s="576">
        <v>0</v>
      </c>
      <c r="AH577" s="576">
        <v>222500</v>
      </c>
    </row>
    <row r="578" spans="1:34" customFormat="1" x14ac:dyDescent="0.25">
      <c r="A578" s="574" t="s">
        <v>2219</v>
      </c>
      <c r="B578" s="574" t="s">
        <v>2220</v>
      </c>
      <c r="C578" s="574" t="s">
        <v>2221</v>
      </c>
      <c r="D578" s="574" t="s">
        <v>2220</v>
      </c>
      <c r="E578" s="574" t="s">
        <v>2222</v>
      </c>
      <c r="F578" s="574" t="s">
        <v>2223</v>
      </c>
      <c r="G578" s="574" t="s">
        <v>2224</v>
      </c>
      <c r="H578" s="574" t="s">
        <v>2225</v>
      </c>
      <c r="I578" s="574" t="s">
        <v>2226</v>
      </c>
      <c r="J578" s="574" t="s">
        <v>2227</v>
      </c>
      <c r="K578" s="574" t="s">
        <v>2228</v>
      </c>
      <c r="L578" s="574" t="s">
        <v>2229</v>
      </c>
      <c r="M578" s="574" t="s">
        <v>2230</v>
      </c>
      <c r="N578" s="574" t="s">
        <v>2231</v>
      </c>
      <c r="O578" s="574" t="s">
        <v>2759</v>
      </c>
      <c r="P578" s="574" t="s">
        <v>2932</v>
      </c>
      <c r="Q578" s="574" t="s">
        <v>2234</v>
      </c>
      <c r="R578" s="574" t="s">
        <v>2225</v>
      </c>
      <c r="S578" s="574" t="s">
        <v>2235</v>
      </c>
      <c r="T578" s="574" t="s">
        <v>2236</v>
      </c>
      <c r="U578" s="574" t="s">
        <v>3057</v>
      </c>
      <c r="V578" s="574" t="s">
        <v>2238</v>
      </c>
      <c r="W578" s="574" t="s">
        <v>2239</v>
      </c>
      <c r="X578" s="574" t="s">
        <v>3058</v>
      </c>
      <c r="Y578" s="575" t="s">
        <v>2474</v>
      </c>
      <c r="Z578" s="575" t="s">
        <v>2474</v>
      </c>
      <c r="AA578" s="574" t="s">
        <v>1693</v>
      </c>
      <c r="AB578" s="574" t="s">
        <v>2319</v>
      </c>
      <c r="AC578" s="574" t="s">
        <v>2320</v>
      </c>
      <c r="AD578" s="574" t="s">
        <v>2321</v>
      </c>
      <c r="AE578" s="574" t="s">
        <v>1446</v>
      </c>
      <c r="AF578" s="574" t="s">
        <v>2321</v>
      </c>
      <c r="AG578" s="576">
        <v>0</v>
      </c>
      <c r="AH578" s="576">
        <v>249900</v>
      </c>
    </row>
    <row r="579" spans="1:34" customFormat="1" x14ac:dyDescent="0.25">
      <c r="A579" s="574" t="s">
        <v>2219</v>
      </c>
      <c r="B579" s="574" t="s">
        <v>2220</v>
      </c>
      <c r="C579" s="574" t="s">
        <v>2221</v>
      </c>
      <c r="D579" s="574" t="s">
        <v>2220</v>
      </c>
      <c r="E579" s="574" t="s">
        <v>2222</v>
      </c>
      <c r="F579" s="574" t="s">
        <v>2223</v>
      </c>
      <c r="G579" s="574" t="s">
        <v>2224</v>
      </c>
      <c r="H579" s="574" t="s">
        <v>2225</v>
      </c>
      <c r="I579" s="574" t="s">
        <v>2226</v>
      </c>
      <c r="J579" s="574" t="s">
        <v>2227</v>
      </c>
      <c r="K579" s="574" t="s">
        <v>2228</v>
      </c>
      <c r="L579" s="574" t="s">
        <v>2229</v>
      </c>
      <c r="M579" s="574" t="s">
        <v>2230</v>
      </c>
      <c r="N579" s="574" t="s">
        <v>2231</v>
      </c>
      <c r="O579" s="574" t="s">
        <v>2759</v>
      </c>
      <c r="P579" s="574" t="s">
        <v>2932</v>
      </c>
      <c r="Q579" s="574" t="s">
        <v>2234</v>
      </c>
      <c r="R579" s="574" t="s">
        <v>2225</v>
      </c>
      <c r="S579" s="574" t="s">
        <v>2235</v>
      </c>
      <c r="T579" s="574" t="s">
        <v>2236</v>
      </c>
      <c r="U579" s="574" t="s">
        <v>3059</v>
      </c>
      <c r="V579" s="574" t="s">
        <v>2238</v>
      </c>
      <c r="W579" s="574" t="s">
        <v>2239</v>
      </c>
      <c r="X579" s="574" t="s">
        <v>3060</v>
      </c>
      <c r="Y579" s="575" t="s">
        <v>2474</v>
      </c>
      <c r="Z579" s="575" t="s">
        <v>2474</v>
      </c>
      <c r="AA579" s="574" t="s">
        <v>1693</v>
      </c>
      <c r="AB579" s="574" t="s">
        <v>2319</v>
      </c>
      <c r="AC579" s="574" t="s">
        <v>2320</v>
      </c>
      <c r="AD579" s="574" t="s">
        <v>2321</v>
      </c>
      <c r="AE579" s="574" t="s">
        <v>1446</v>
      </c>
      <c r="AF579" s="574" t="s">
        <v>2321</v>
      </c>
      <c r="AG579" s="576">
        <v>0</v>
      </c>
      <c r="AH579" s="576">
        <v>106554</v>
      </c>
    </row>
    <row r="580" spans="1:34" customFormat="1" x14ac:dyDescent="0.25">
      <c r="A580" s="574" t="s">
        <v>2219</v>
      </c>
      <c r="B580" s="574" t="s">
        <v>2220</v>
      </c>
      <c r="C580" s="574" t="s">
        <v>2221</v>
      </c>
      <c r="D580" s="574" t="s">
        <v>2220</v>
      </c>
      <c r="E580" s="574" t="s">
        <v>2222</v>
      </c>
      <c r="F580" s="574" t="s">
        <v>2223</v>
      </c>
      <c r="G580" s="574" t="s">
        <v>2224</v>
      </c>
      <c r="H580" s="574" t="s">
        <v>2225</v>
      </c>
      <c r="I580" s="574" t="s">
        <v>2226</v>
      </c>
      <c r="J580" s="574" t="s">
        <v>2227</v>
      </c>
      <c r="K580" s="574" t="s">
        <v>2228</v>
      </c>
      <c r="L580" s="574" t="s">
        <v>2229</v>
      </c>
      <c r="M580" s="574" t="s">
        <v>2230</v>
      </c>
      <c r="N580" s="574" t="s">
        <v>2231</v>
      </c>
      <c r="O580" s="574" t="s">
        <v>2759</v>
      </c>
      <c r="P580" s="574" t="s">
        <v>2932</v>
      </c>
      <c r="Q580" s="574" t="s">
        <v>2234</v>
      </c>
      <c r="R580" s="574" t="s">
        <v>2225</v>
      </c>
      <c r="S580" s="574" t="s">
        <v>2235</v>
      </c>
      <c r="T580" s="574" t="s">
        <v>2236</v>
      </c>
      <c r="U580" s="574" t="s">
        <v>3061</v>
      </c>
      <c r="V580" s="574" t="s">
        <v>2238</v>
      </c>
      <c r="W580" s="574" t="s">
        <v>2239</v>
      </c>
      <c r="X580" s="574" t="s">
        <v>3062</v>
      </c>
      <c r="Y580" s="575" t="s">
        <v>2481</v>
      </c>
      <c r="Z580" s="575" t="s">
        <v>2481</v>
      </c>
      <c r="AA580" s="574" t="s">
        <v>1691</v>
      </c>
      <c r="AB580" s="574" t="s">
        <v>2297</v>
      </c>
      <c r="AC580" s="574" t="s">
        <v>2298</v>
      </c>
      <c r="AD580" s="574" t="s">
        <v>2299</v>
      </c>
      <c r="AE580" s="574" t="s">
        <v>1468</v>
      </c>
      <c r="AF580" s="574" t="s">
        <v>2299</v>
      </c>
      <c r="AG580" s="576">
        <v>0</v>
      </c>
      <c r="AH580" s="576">
        <v>37720</v>
      </c>
    </row>
    <row r="581" spans="1:34" customFormat="1" x14ac:dyDescent="0.25">
      <c r="A581" s="574" t="s">
        <v>2219</v>
      </c>
      <c r="B581" s="574" t="s">
        <v>2220</v>
      </c>
      <c r="C581" s="574" t="s">
        <v>2221</v>
      </c>
      <c r="D581" s="574" t="s">
        <v>2220</v>
      </c>
      <c r="E581" s="574" t="s">
        <v>2222</v>
      </c>
      <c r="F581" s="574" t="s">
        <v>2223</v>
      </c>
      <c r="G581" s="574" t="s">
        <v>2224</v>
      </c>
      <c r="H581" s="574" t="s">
        <v>2225</v>
      </c>
      <c r="I581" s="574" t="s">
        <v>2226</v>
      </c>
      <c r="J581" s="574" t="s">
        <v>2227</v>
      </c>
      <c r="K581" s="574" t="s">
        <v>2228</v>
      </c>
      <c r="L581" s="574" t="s">
        <v>2229</v>
      </c>
      <c r="M581" s="574" t="s">
        <v>2230</v>
      </c>
      <c r="N581" s="574" t="s">
        <v>2231</v>
      </c>
      <c r="O581" s="574" t="s">
        <v>2759</v>
      </c>
      <c r="P581" s="574" t="s">
        <v>2932</v>
      </c>
      <c r="Q581" s="574" t="s">
        <v>2234</v>
      </c>
      <c r="R581" s="574" t="s">
        <v>2225</v>
      </c>
      <c r="S581" s="574" t="s">
        <v>2235</v>
      </c>
      <c r="T581" s="574" t="s">
        <v>2236</v>
      </c>
      <c r="U581" s="574" t="s">
        <v>3061</v>
      </c>
      <c r="V581" s="574" t="s">
        <v>2238</v>
      </c>
      <c r="W581" s="574" t="s">
        <v>2239</v>
      </c>
      <c r="X581" s="574" t="s">
        <v>3062</v>
      </c>
      <c r="Y581" s="575" t="s">
        <v>2481</v>
      </c>
      <c r="Z581" s="575" t="s">
        <v>2481</v>
      </c>
      <c r="AA581" s="574" t="s">
        <v>1693</v>
      </c>
      <c r="AB581" s="574" t="s">
        <v>2319</v>
      </c>
      <c r="AC581" s="574" t="s">
        <v>2320</v>
      </c>
      <c r="AD581" s="574" t="s">
        <v>2321</v>
      </c>
      <c r="AE581" s="574" t="s">
        <v>1446</v>
      </c>
      <c r="AF581" s="574" t="s">
        <v>2321</v>
      </c>
      <c r="AG581" s="576">
        <v>0</v>
      </c>
      <c r="AH581" s="576">
        <v>186971</v>
      </c>
    </row>
    <row r="582" spans="1:34" customFormat="1" x14ac:dyDescent="0.25">
      <c r="A582" s="574" t="s">
        <v>2219</v>
      </c>
      <c r="B582" s="574" t="s">
        <v>2220</v>
      </c>
      <c r="C582" s="574" t="s">
        <v>2221</v>
      </c>
      <c r="D582" s="574" t="s">
        <v>2220</v>
      </c>
      <c r="E582" s="574" t="s">
        <v>2222</v>
      </c>
      <c r="F582" s="574" t="s">
        <v>2223</v>
      </c>
      <c r="G582" s="574" t="s">
        <v>2224</v>
      </c>
      <c r="H582" s="574" t="s">
        <v>2225</v>
      </c>
      <c r="I582" s="574" t="s">
        <v>2226</v>
      </c>
      <c r="J582" s="574" t="s">
        <v>2227</v>
      </c>
      <c r="K582" s="574" t="s">
        <v>2228</v>
      </c>
      <c r="L582" s="574" t="s">
        <v>2229</v>
      </c>
      <c r="M582" s="574" t="s">
        <v>2230</v>
      </c>
      <c r="N582" s="574" t="s">
        <v>2231</v>
      </c>
      <c r="O582" s="574" t="s">
        <v>2759</v>
      </c>
      <c r="P582" s="574" t="s">
        <v>2932</v>
      </c>
      <c r="Q582" s="574" t="s">
        <v>2234</v>
      </c>
      <c r="R582" s="574" t="s">
        <v>2225</v>
      </c>
      <c r="S582" s="574" t="s">
        <v>2235</v>
      </c>
      <c r="T582" s="574" t="s">
        <v>2236</v>
      </c>
      <c r="U582" s="574" t="s">
        <v>3063</v>
      </c>
      <c r="V582" s="574" t="s">
        <v>2238</v>
      </c>
      <c r="W582" s="574" t="s">
        <v>2239</v>
      </c>
      <c r="X582" s="574" t="s">
        <v>2723</v>
      </c>
      <c r="Y582" s="575" t="s">
        <v>2484</v>
      </c>
      <c r="Z582" s="575" t="s">
        <v>2484</v>
      </c>
      <c r="AA582" s="574" t="s">
        <v>1692</v>
      </c>
      <c r="AB582" s="574" t="s">
        <v>2307</v>
      </c>
      <c r="AC582" s="574" t="s">
        <v>2308</v>
      </c>
      <c r="AD582" s="574" t="s">
        <v>2309</v>
      </c>
      <c r="AE582" s="574" t="s">
        <v>1490</v>
      </c>
      <c r="AF582" s="574" t="s">
        <v>176</v>
      </c>
      <c r="AG582" s="576">
        <v>0</v>
      </c>
      <c r="AH582" s="576">
        <v>60232</v>
      </c>
    </row>
    <row r="583" spans="1:34" customFormat="1" x14ac:dyDescent="0.25">
      <c r="A583" s="574" t="s">
        <v>2219</v>
      </c>
      <c r="B583" s="574" t="s">
        <v>2220</v>
      </c>
      <c r="C583" s="574" t="s">
        <v>2221</v>
      </c>
      <c r="D583" s="574" t="s">
        <v>2220</v>
      </c>
      <c r="E583" s="574" t="s">
        <v>2222</v>
      </c>
      <c r="F583" s="574" t="s">
        <v>2223</v>
      </c>
      <c r="G583" s="574" t="s">
        <v>2224</v>
      </c>
      <c r="H583" s="574" t="s">
        <v>2225</v>
      </c>
      <c r="I583" s="574" t="s">
        <v>2226</v>
      </c>
      <c r="J583" s="574" t="s">
        <v>2227</v>
      </c>
      <c r="K583" s="574" t="s">
        <v>2228</v>
      </c>
      <c r="L583" s="574" t="s">
        <v>2229</v>
      </c>
      <c r="M583" s="574" t="s">
        <v>2230</v>
      </c>
      <c r="N583" s="574" t="s">
        <v>2231</v>
      </c>
      <c r="O583" s="574" t="s">
        <v>2759</v>
      </c>
      <c r="P583" s="574" t="s">
        <v>2932</v>
      </c>
      <c r="Q583" s="574" t="s">
        <v>2234</v>
      </c>
      <c r="R583" s="574" t="s">
        <v>2225</v>
      </c>
      <c r="S583" s="574" t="s">
        <v>2235</v>
      </c>
      <c r="T583" s="574" t="s">
        <v>2236</v>
      </c>
      <c r="U583" s="574" t="s">
        <v>3064</v>
      </c>
      <c r="V583" s="574" t="s">
        <v>2238</v>
      </c>
      <c r="W583" s="574" t="s">
        <v>2239</v>
      </c>
      <c r="X583" s="574" t="s">
        <v>3065</v>
      </c>
      <c r="Y583" s="575" t="s">
        <v>2484</v>
      </c>
      <c r="Z583" s="575" t="s">
        <v>2484</v>
      </c>
      <c r="AA583" s="574" t="s">
        <v>1693</v>
      </c>
      <c r="AB583" s="574" t="s">
        <v>2319</v>
      </c>
      <c r="AC583" s="574" t="s">
        <v>2320</v>
      </c>
      <c r="AD583" s="574" t="s">
        <v>2321</v>
      </c>
      <c r="AE583" s="574" t="s">
        <v>1446</v>
      </c>
      <c r="AF583" s="574" t="s">
        <v>2321</v>
      </c>
      <c r="AG583" s="576">
        <v>0</v>
      </c>
      <c r="AH583" s="576">
        <v>44250</v>
      </c>
    </row>
    <row r="584" spans="1:34" customFormat="1" x14ac:dyDescent="0.25">
      <c r="A584" s="574" t="s">
        <v>2219</v>
      </c>
      <c r="B584" s="574" t="s">
        <v>2220</v>
      </c>
      <c r="C584" s="574" t="s">
        <v>2221</v>
      </c>
      <c r="D584" s="574" t="s">
        <v>2220</v>
      </c>
      <c r="E584" s="574" t="s">
        <v>2222</v>
      </c>
      <c r="F584" s="574" t="s">
        <v>2223</v>
      </c>
      <c r="G584" s="574" t="s">
        <v>2224</v>
      </c>
      <c r="H584" s="574" t="s">
        <v>2225</v>
      </c>
      <c r="I584" s="574" t="s">
        <v>2226</v>
      </c>
      <c r="J584" s="574" t="s">
        <v>2227</v>
      </c>
      <c r="K584" s="574" t="s">
        <v>2228</v>
      </c>
      <c r="L584" s="574" t="s">
        <v>2229</v>
      </c>
      <c r="M584" s="574" t="s">
        <v>2230</v>
      </c>
      <c r="N584" s="574" t="s">
        <v>2231</v>
      </c>
      <c r="O584" s="574" t="s">
        <v>2759</v>
      </c>
      <c r="P584" s="574" t="s">
        <v>2932</v>
      </c>
      <c r="Q584" s="574" t="s">
        <v>2234</v>
      </c>
      <c r="R584" s="574" t="s">
        <v>2225</v>
      </c>
      <c r="S584" s="574" t="s">
        <v>2235</v>
      </c>
      <c r="T584" s="574" t="s">
        <v>2236</v>
      </c>
      <c r="U584" s="574" t="s">
        <v>3066</v>
      </c>
      <c r="V584" s="574" t="s">
        <v>2238</v>
      </c>
      <c r="W584" s="574" t="s">
        <v>2239</v>
      </c>
      <c r="X584" s="574" t="s">
        <v>3067</v>
      </c>
      <c r="Y584" s="575" t="s">
        <v>2484</v>
      </c>
      <c r="Z584" s="575" t="s">
        <v>2484</v>
      </c>
      <c r="AA584" s="574" t="s">
        <v>1693</v>
      </c>
      <c r="AB584" s="574" t="s">
        <v>2319</v>
      </c>
      <c r="AC584" s="574" t="s">
        <v>2320</v>
      </c>
      <c r="AD584" s="574" t="s">
        <v>2321</v>
      </c>
      <c r="AE584" s="574" t="s">
        <v>1446</v>
      </c>
      <c r="AF584" s="574" t="s">
        <v>2321</v>
      </c>
      <c r="AG584" s="576">
        <v>0</v>
      </c>
      <c r="AH584" s="576">
        <v>843200</v>
      </c>
    </row>
    <row r="585" spans="1:34" customFormat="1" x14ac:dyDescent="0.25">
      <c r="A585" s="574" t="s">
        <v>2219</v>
      </c>
      <c r="B585" s="574" t="s">
        <v>2220</v>
      </c>
      <c r="C585" s="574" t="s">
        <v>2221</v>
      </c>
      <c r="D585" s="574" t="s">
        <v>2220</v>
      </c>
      <c r="E585" s="574" t="s">
        <v>2222</v>
      </c>
      <c r="F585" s="574" t="s">
        <v>2223</v>
      </c>
      <c r="G585" s="574" t="s">
        <v>2224</v>
      </c>
      <c r="H585" s="574" t="s">
        <v>2225</v>
      </c>
      <c r="I585" s="574" t="s">
        <v>2226</v>
      </c>
      <c r="J585" s="574" t="s">
        <v>2227</v>
      </c>
      <c r="K585" s="574" t="s">
        <v>2228</v>
      </c>
      <c r="L585" s="574" t="s">
        <v>2229</v>
      </c>
      <c r="M585" s="574" t="s">
        <v>2230</v>
      </c>
      <c r="N585" s="574" t="s">
        <v>2231</v>
      </c>
      <c r="O585" s="574" t="s">
        <v>2759</v>
      </c>
      <c r="P585" s="574" t="s">
        <v>2932</v>
      </c>
      <c r="Q585" s="574" t="s">
        <v>2234</v>
      </c>
      <c r="R585" s="574" t="s">
        <v>2225</v>
      </c>
      <c r="S585" s="574" t="s">
        <v>2235</v>
      </c>
      <c r="T585" s="574" t="s">
        <v>2236</v>
      </c>
      <c r="U585" s="574" t="s">
        <v>3068</v>
      </c>
      <c r="V585" s="574" t="s">
        <v>2238</v>
      </c>
      <c r="W585" s="574" t="s">
        <v>2239</v>
      </c>
      <c r="X585" s="574" t="s">
        <v>3069</v>
      </c>
      <c r="Y585" s="575" t="s">
        <v>3070</v>
      </c>
      <c r="Z585" s="575" t="s">
        <v>3070</v>
      </c>
      <c r="AA585" s="574" t="s">
        <v>1693</v>
      </c>
      <c r="AB585" s="574" t="s">
        <v>2319</v>
      </c>
      <c r="AC585" s="574" t="s">
        <v>2962</v>
      </c>
      <c r="AD585" s="574" t="s">
        <v>126</v>
      </c>
      <c r="AE585" s="574" t="s">
        <v>1522</v>
      </c>
      <c r="AF585" s="574" t="s">
        <v>126</v>
      </c>
      <c r="AG585" s="576">
        <v>0</v>
      </c>
      <c r="AH585" s="576">
        <v>29990.880000000001</v>
      </c>
    </row>
    <row r="586" spans="1:34" customFormat="1" x14ac:dyDescent="0.25">
      <c r="A586" s="574" t="s">
        <v>2219</v>
      </c>
      <c r="B586" s="574" t="s">
        <v>2220</v>
      </c>
      <c r="C586" s="574" t="s">
        <v>2221</v>
      </c>
      <c r="D586" s="574" t="s">
        <v>2220</v>
      </c>
      <c r="E586" s="574" t="s">
        <v>2222</v>
      </c>
      <c r="F586" s="574" t="s">
        <v>2223</v>
      </c>
      <c r="G586" s="574" t="s">
        <v>2224</v>
      </c>
      <c r="H586" s="574" t="s">
        <v>2225</v>
      </c>
      <c r="I586" s="574" t="s">
        <v>2226</v>
      </c>
      <c r="J586" s="574" t="s">
        <v>2227</v>
      </c>
      <c r="K586" s="574" t="s">
        <v>2228</v>
      </c>
      <c r="L586" s="574" t="s">
        <v>2229</v>
      </c>
      <c r="M586" s="574" t="s">
        <v>2230</v>
      </c>
      <c r="N586" s="574" t="s">
        <v>2231</v>
      </c>
      <c r="O586" s="574" t="s">
        <v>2759</v>
      </c>
      <c r="P586" s="574" t="s">
        <v>2932</v>
      </c>
      <c r="Q586" s="574" t="s">
        <v>2234</v>
      </c>
      <c r="R586" s="574" t="s">
        <v>2225</v>
      </c>
      <c r="S586" s="574" t="s">
        <v>2235</v>
      </c>
      <c r="T586" s="574" t="s">
        <v>2236</v>
      </c>
      <c r="U586" s="574" t="s">
        <v>3071</v>
      </c>
      <c r="V586" s="574" t="s">
        <v>2238</v>
      </c>
      <c r="W586" s="574" t="s">
        <v>2239</v>
      </c>
      <c r="X586" s="574" t="s">
        <v>3072</v>
      </c>
      <c r="Y586" s="575" t="s">
        <v>3070</v>
      </c>
      <c r="Z586" s="575" t="s">
        <v>3070</v>
      </c>
      <c r="AA586" s="574" t="s">
        <v>1693</v>
      </c>
      <c r="AB586" s="574" t="s">
        <v>2319</v>
      </c>
      <c r="AC586" s="574" t="s">
        <v>2962</v>
      </c>
      <c r="AD586" s="574" t="s">
        <v>126</v>
      </c>
      <c r="AE586" s="574" t="s">
        <v>1522</v>
      </c>
      <c r="AF586" s="574" t="s">
        <v>126</v>
      </c>
      <c r="AG586" s="576">
        <v>0</v>
      </c>
      <c r="AH586" s="576">
        <v>15635</v>
      </c>
    </row>
    <row r="587" spans="1:34" customFormat="1" x14ac:dyDescent="0.25">
      <c r="A587" s="574" t="s">
        <v>2219</v>
      </c>
      <c r="B587" s="574" t="s">
        <v>2220</v>
      </c>
      <c r="C587" s="574" t="s">
        <v>2221</v>
      </c>
      <c r="D587" s="574" t="s">
        <v>2220</v>
      </c>
      <c r="E587" s="574" t="s">
        <v>2222</v>
      </c>
      <c r="F587" s="574" t="s">
        <v>2223</v>
      </c>
      <c r="G587" s="574" t="s">
        <v>2224</v>
      </c>
      <c r="H587" s="574" t="s">
        <v>2225</v>
      </c>
      <c r="I587" s="574" t="s">
        <v>2226</v>
      </c>
      <c r="J587" s="574" t="s">
        <v>2227</v>
      </c>
      <c r="K587" s="574" t="s">
        <v>2228</v>
      </c>
      <c r="L587" s="574" t="s">
        <v>2229</v>
      </c>
      <c r="M587" s="574" t="s">
        <v>2230</v>
      </c>
      <c r="N587" s="574" t="s">
        <v>2231</v>
      </c>
      <c r="O587" s="574" t="s">
        <v>2759</v>
      </c>
      <c r="P587" s="574" t="s">
        <v>2932</v>
      </c>
      <c r="Q587" s="574" t="s">
        <v>2234</v>
      </c>
      <c r="R587" s="574" t="s">
        <v>2225</v>
      </c>
      <c r="S587" s="574" t="s">
        <v>2235</v>
      </c>
      <c r="T587" s="574" t="s">
        <v>2236</v>
      </c>
      <c r="U587" s="574" t="s">
        <v>3073</v>
      </c>
      <c r="V587" s="574" t="s">
        <v>2238</v>
      </c>
      <c r="W587" s="574" t="s">
        <v>2239</v>
      </c>
      <c r="X587" s="574" t="s">
        <v>3074</v>
      </c>
      <c r="Y587" s="575" t="s">
        <v>3070</v>
      </c>
      <c r="Z587" s="575" t="s">
        <v>3070</v>
      </c>
      <c r="AA587" s="574" t="s">
        <v>1691</v>
      </c>
      <c r="AB587" s="574" t="s">
        <v>2297</v>
      </c>
      <c r="AC587" s="574" t="s">
        <v>2298</v>
      </c>
      <c r="AD587" s="574" t="s">
        <v>2299</v>
      </c>
      <c r="AE587" s="574" t="s">
        <v>1468</v>
      </c>
      <c r="AF587" s="574" t="s">
        <v>2299</v>
      </c>
      <c r="AG587" s="576">
        <v>0</v>
      </c>
      <c r="AH587" s="576">
        <v>199000</v>
      </c>
    </row>
    <row r="588" spans="1:34" customFormat="1" x14ac:dyDescent="0.25">
      <c r="A588" s="574" t="s">
        <v>2219</v>
      </c>
      <c r="B588" s="574" t="s">
        <v>2220</v>
      </c>
      <c r="C588" s="574" t="s">
        <v>2221</v>
      </c>
      <c r="D588" s="574" t="s">
        <v>2220</v>
      </c>
      <c r="E588" s="574" t="s">
        <v>2222</v>
      </c>
      <c r="F588" s="574" t="s">
        <v>2223</v>
      </c>
      <c r="G588" s="574" t="s">
        <v>2224</v>
      </c>
      <c r="H588" s="574" t="s">
        <v>2225</v>
      </c>
      <c r="I588" s="574" t="s">
        <v>2226</v>
      </c>
      <c r="J588" s="574" t="s">
        <v>2227</v>
      </c>
      <c r="K588" s="574" t="s">
        <v>2228</v>
      </c>
      <c r="L588" s="574" t="s">
        <v>2229</v>
      </c>
      <c r="M588" s="574" t="s">
        <v>2230</v>
      </c>
      <c r="N588" s="574" t="s">
        <v>2231</v>
      </c>
      <c r="O588" s="574" t="s">
        <v>2759</v>
      </c>
      <c r="P588" s="574" t="s">
        <v>2932</v>
      </c>
      <c r="Q588" s="574" t="s">
        <v>2234</v>
      </c>
      <c r="R588" s="574" t="s">
        <v>2225</v>
      </c>
      <c r="S588" s="574" t="s">
        <v>2235</v>
      </c>
      <c r="T588" s="574" t="s">
        <v>2236</v>
      </c>
      <c r="U588" s="574" t="s">
        <v>3075</v>
      </c>
      <c r="V588" s="574" t="s">
        <v>2238</v>
      </c>
      <c r="W588" s="574" t="s">
        <v>2239</v>
      </c>
      <c r="X588" s="574" t="s">
        <v>3076</v>
      </c>
      <c r="Y588" s="575" t="s">
        <v>3070</v>
      </c>
      <c r="Z588" s="575" t="s">
        <v>3070</v>
      </c>
      <c r="AA588" s="574" t="s">
        <v>1691</v>
      </c>
      <c r="AB588" s="574" t="s">
        <v>2297</v>
      </c>
      <c r="AC588" s="574" t="s">
        <v>2298</v>
      </c>
      <c r="AD588" s="574" t="s">
        <v>2299</v>
      </c>
      <c r="AE588" s="574" t="s">
        <v>1468</v>
      </c>
      <c r="AF588" s="574" t="s">
        <v>2299</v>
      </c>
      <c r="AG588" s="576">
        <v>0</v>
      </c>
      <c r="AH588" s="576">
        <v>138250</v>
      </c>
    </row>
    <row r="589" spans="1:34" customFormat="1" x14ac:dyDescent="0.25">
      <c r="A589" s="574" t="s">
        <v>2219</v>
      </c>
      <c r="B589" s="574" t="s">
        <v>2220</v>
      </c>
      <c r="C589" s="574" t="s">
        <v>2221</v>
      </c>
      <c r="D589" s="574" t="s">
        <v>2220</v>
      </c>
      <c r="E589" s="574" t="s">
        <v>2222</v>
      </c>
      <c r="F589" s="574" t="s">
        <v>2223</v>
      </c>
      <c r="G589" s="574" t="s">
        <v>2224</v>
      </c>
      <c r="H589" s="574" t="s">
        <v>2225</v>
      </c>
      <c r="I589" s="574" t="s">
        <v>2226</v>
      </c>
      <c r="J589" s="574" t="s">
        <v>2227</v>
      </c>
      <c r="K589" s="574" t="s">
        <v>2228</v>
      </c>
      <c r="L589" s="574" t="s">
        <v>2229</v>
      </c>
      <c r="M589" s="574" t="s">
        <v>2230</v>
      </c>
      <c r="N589" s="574" t="s">
        <v>2231</v>
      </c>
      <c r="O589" s="574" t="s">
        <v>2759</v>
      </c>
      <c r="P589" s="574" t="s">
        <v>2932</v>
      </c>
      <c r="Q589" s="574" t="s">
        <v>2234</v>
      </c>
      <c r="R589" s="574" t="s">
        <v>2225</v>
      </c>
      <c r="S589" s="574" t="s">
        <v>2235</v>
      </c>
      <c r="T589" s="574" t="s">
        <v>2236</v>
      </c>
      <c r="U589" s="574" t="s">
        <v>3077</v>
      </c>
      <c r="V589" s="574" t="s">
        <v>2238</v>
      </c>
      <c r="W589" s="574" t="s">
        <v>2239</v>
      </c>
      <c r="X589" s="574" t="s">
        <v>3078</v>
      </c>
      <c r="Y589" s="575" t="s">
        <v>3070</v>
      </c>
      <c r="Z589" s="575" t="s">
        <v>3070</v>
      </c>
      <c r="AA589" s="574" t="s">
        <v>1691</v>
      </c>
      <c r="AB589" s="574" t="s">
        <v>2297</v>
      </c>
      <c r="AC589" s="574" t="s">
        <v>2298</v>
      </c>
      <c r="AD589" s="574" t="s">
        <v>2299</v>
      </c>
      <c r="AE589" s="574" t="s">
        <v>1468</v>
      </c>
      <c r="AF589" s="574" t="s">
        <v>2299</v>
      </c>
      <c r="AG589" s="576">
        <v>0</v>
      </c>
      <c r="AH589" s="576">
        <v>41250</v>
      </c>
    </row>
    <row r="590" spans="1:34" customFormat="1" x14ac:dyDescent="0.25">
      <c r="A590" s="574" t="s">
        <v>2219</v>
      </c>
      <c r="B590" s="574" t="s">
        <v>2220</v>
      </c>
      <c r="C590" s="574" t="s">
        <v>2221</v>
      </c>
      <c r="D590" s="574" t="s">
        <v>2220</v>
      </c>
      <c r="E590" s="574" t="s">
        <v>2222</v>
      </c>
      <c r="F590" s="574" t="s">
        <v>2223</v>
      </c>
      <c r="G590" s="574" t="s">
        <v>2224</v>
      </c>
      <c r="H590" s="574" t="s">
        <v>2225</v>
      </c>
      <c r="I590" s="574" t="s">
        <v>2226</v>
      </c>
      <c r="J590" s="574" t="s">
        <v>2227</v>
      </c>
      <c r="K590" s="574" t="s">
        <v>2228</v>
      </c>
      <c r="L590" s="574" t="s">
        <v>2229</v>
      </c>
      <c r="M590" s="574" t="s">
        <v>2230</v>
      </c>
      <c r="N590" s="574" t="s">
        <v>2231</v>
      </c>
      <c r="O590" s="574" t="s">
        <v>2759</v>
      </c>
      <c r="P590" s="574" t="s">
        <v>2932</v>
      </c>
      <c r="Q590" s="574" t="s">
        <v>2234</v>
      </c>
      <c r="R590" s="574" t="s">
        <v>2225</v>
      </c>
      <c r="S590" s="574" t="s">
        <v>2235</v>
      </c>
      <c r="T590" s="574" t="s">
        <v>2236</v>
      </c>
      <c r="U590" s="574" t="s">
        <v>3079</v>
      </c>
      <c r="V590" s="574" t="s">
        <v>2238</v>
      </c>
      <c r="W590" s="574" t="s">
        <v>2239</v>
      </c>
      <c r="X590" s="574" t="s">
        <v>3080</v>
      </c>
      <c r="Y590" s="575" t="s">
        <v>3070</v>
      </c>
      <c r="Z590" s="575" t="s">
        <v>3070</v>
      </c>
      <c r="AA590" s="574" t="s">
        <v>1691</v>
      </c>
      <c r="AB590" s="574" t="s">
        <v>2297</v>
      </c>
      <c r="AC590" s="574" t="s">
        <v>2298</v>
      </c>
      <c r="AD590" s="574" t="s">
        <v>2299</v>
      </c>
      <c r="AE590" s="574" t="s">
        <v>1468</v>
      </c>
      <c r="AF590" s="574" t="s">
        <v>2299</v>
      </c>
      <c r="AG590" s="576">
        <v>0</v>
      </c>
      <c r="AH590" s="576">
        <v>141250</v>
      </c>
    </row>
    <row r="591" spans="1:34" customFormat="1" x14ac:dyDescent="0.25">
      <c r="A591" s="574" t="s">
        <v>2219</v>
      </c>
      <c r="B591" s="574" t="s">
        <v>2220</v>
      </c>
      <c r="C591" s="574" t="s">
        <v>2221</v>
      </c>
      <c r="D591" s="574" t="s">
        <v>2220</v>
      </c>
      <c r="E591" s="574" t="s">
        <v>2222</v>
      </c>
      <c r="F591" s="574" t="s">
        <v>2223</v>
      </c>
      <c r="G591" s="574" t="s">
        <v>2224</v>
      </c>
      <c r="H591" s="574" t="s">
        <v>2225</v>
      </c>
      <c r="I591" s="574" t="s">
        <v>2226</v>
      </c>
      <c r="J591" s="574" t="s">
        <v>2227</v>
      </c>
      <c r="K591" s="574" t="s">
        <v>2228</v>
      </c>
      <c r="L591" s="574" t="s">
        <v>2229</v>
      </c>
      <c r="M591" s="574" t="s">
        <v>2230</v>
      </c>
      <c r="N591" s="574" t="s">
        <v>2231</v>
      </c>
      <c r="O591" s="574" t="s">
        <v>2759</v>
      </c>
      <c r="P591" s="574" t="s">
        <v>2932</v>
      </c>
      <c r="Q591" s="574" t="s">
        <v>2234</v>
      </c>
      <c r="R591" s="574" t="s">
        <v>2225</v>
      </c>
      <c r="S591" s="574" t="s">
        <v>2235</v>
      </c>
      <c r="T591" s="574" t="s">
        <v>2236</v>
      </c>
      <c r="U591" s="574" t="s">
        <v>3081</v>
      </c>
      <c r="V591" s="574" t="s">
        <v>2238</v>
      </c>
      <c r="W591" s="574" t="s">
        <v>2239</v>
      </c>
      <c r="X591" s="574" t="s">
        <v>3082</v>
      </c>
      <c r="Y591" s="575" t="s">
        <v>3070</v>
      </c>
      <c r="Z591" s="575" t="s">
        <v>3070</v>
      </c>
      <c r="AA591" s="574" t="s">
        <v>1691</v>
      </c>
      <c r="AB591" s="574" t="s">
        <v>2297</v>
      </c>
      <c r="AC591" s="574" t="s">
        <v>2298</v>
      </c>
      <c r="AD591" s="574" t="s">
        <v>2299</v>
      </c>
      <c r="AE591" s="574" t="s">
        <v>1468</v>
      </c>
      <c r="AF591" s="574" t="s">
        <v>2299</v>
      </c>
      <c r="AG591" s="576">
        <v>0</v>
      </c>
      <c r="AH591" s="576">
        <v>142500</v>
      </c>
    </row>
    <row r="592" spans="1:34" customFormat="1" x14ac:dyDescent="0.25">
      <c r="A592" s="574" t="s">
        <v>2219</v>
      </c>
      <c r="B592" s="574" t="s">
        <v>2220</v>
      </c>
      <c r="C592" s="574" t="s">
        <v>2221</v>
      </c>
      <c r="D592" s="574" t="s">
        <v>2220</v>
      </c>
      <c r="E592" s="574" t="s">
        <v>2222</v>
      </c>
      <c r="F592" s="574" t="s">
        <v>2223</v>
      </c>
      <c r="G592" s="574" t="s">
        <v>2224</v>
      </c>
      <c r="H592" s="574" t="s">
        <v>2225</v>
      </c>
      <c r="I592" s="574" t="s">
        <v>2226</v>
      </c>
      <c r="J592" s="574" t="s">
        <v>2227</v>
      </c>
      <c r="K592" s="574" t="s">
        <v>2228</v>
      </c>
      <c r="L592" s="574" t="s">
        <v>2229</v>
      </c>
      <c r="M592" s="574" t="s">
        <v>2230</v>
      </c>
      <c r="N592" s="574" t="s">
        <v>2231</v>
      </c>
      <c r="O592" s="574" t="s">
        <v>2759</v>
      </c>
      <c r="P592" s="574" t="s">
        <v>2932</v>
      </c>
      <c r="Q592" s="574" t="s">
        <v>2234</v>
      </c>
      <c r="R592" s="574" t="s">
        <v>2225</v>
      </c>
      <c r="S592" s="574" t="s">
        <v>2235</v>
      </c>
      <c r="T592" s="574" t="s">
        <v>2236</v>
      </c>
      <c r="U592" s="574" t="s">
        <v>3081</v>
      </c>
      <c r="V592" s="574" t="s">
        <v>2238</v>
      </c>
      <c r="W592" s="574" t="s">
        <v>2239</v>
      </c>
      <c r="X592" s="574" t="s">
        <v>3082</v>
      </c>
      <c r="Y592" s="575" t="s">
        <v>3070</v>
      </c>
      <c r="Z592" s="575" t="s">
        <v>3070</v>
      </c>
      <c r="AA592" s="574" t="s">
        <v>1693</v>
      </c>
      <c r="AB592" s="574" t="s">
        <v>2319</v>
      </c>
      <c r="AC592" s="574" t="s">
        <v>2320</v>
      </c>
      <c r="AD592" s="574" t="s">
        <v>2321</v>
      </c>
      <c r="AE592" s="574" t="s">
        <v>1446</v>
      </c>
      <c r="AF592" s="574" t="s">
        <v>2321</v>
      </c>
      <c r="AG592" s="576">
        <v>0</v>
      </c>
      <c r="AH592" s="576">
        <v>78750</v>
      </c>
    </row>
    <row r="593" spans="1:34" customFormat="1" x14ac:dyDescent="0.25">
      <c r="A593" s="574" t="s">
        <v>2219</v>
      </c>
      <c r="B593" s="574" t="s">
        <v>2220</v>
      </c>
      <c r="C593" s="574" t="s">
        <v>2221</v>
      </c>
      <c r="D593" s="574" t="s">
        <v>2220</v>
      </c>
      <c r="E593" s="574" t="s">
        <v>2222</v>
      </c>
      <c r="F593" s="574" t="s">
        <v>2223</v>
      </c>
      <c r="G593" s="574" t="s">
        <v>2224</v>
      </c>
      <c r="H593" s="574" t="s">
        <v>2225</v>
      </c>
      <c r="I593" s="574" t="s">
        <v>2226</v>
      </c>
      <c r="J593" s="574" t="s">
        <v>2227</v>
      </c>
      <c r="K593" s="574" t="s">
        <v>2228</v>
      </c>
      <c r="L593" s="574" t="s">
        <v>2229</v>
      </c>
      <c r="M593" s="574" t="s">
        <v>2230</v>
      </c>
      <c r="N593" s="574" t="s">
        <v>2231</v>
      </c>
      <c r="O593" s="574" t="s">
        <v>2759</v>
      </c>
      <c r="P593" s="574" t="s">
        <v>2932</v>
      </c>
      <c r="Q593" s="574" t="s">
        <v>2234</v>
      </c>
      <c r="R593" s="574" t="s">
        <v>2225</v>
      </c>
      <c r="S593" s="574" t="s">
        <v>2235</v>
      </c>
      <c r="T593" s="574" t="s">
        <v>2236</v>
      </c>
      <c r="U593" s="574" t="s">
        <v>3083</v>
      </c>
      <c r="V593" s="574" t="s">
        <v>2238</v>
      </c>
      <c r="W593" s="574" t="s">
        <v>2239</v>
      </c>
      <c r="X593" s="574" t="s">
        <v>3084</v>
      </c>
      <c r="Y593" s="575" t="s">
        <v>3070</v>
      </c>
      <c r="Z593" s="575" t="s">
        <v>3070</v>
      </c>
      <c r="AA593" s="574" t="s">
        <v>1693</v>
      </c>
      <c r="AB593" s="574" t="s">
        <v>2319</v>
      </c>
      <c r="AC593" s="574" t="s">
        <v>2320</v>
      </c>
      <c r="AD593" s="574" t="s">
        <v>2321</v>
      </c>
      <c r="AE593" s="574" t="s">
        <v>1446</v>
      </c>
      <c r="AF593" s="574" t="s">
        <v>2321</v>
      </c>
      <c r="AG593" s="576">
        <v>0</v>
      </c>
      <c r="AH593" s="576">
        <v>177000</v>
      </c>
    </row>
    <row r="594" spans="1:34" customFormat="1" x14ac:dyDescent="0.25">
      <c r="A594" s="574" t="s">
        <v>2219</v>
      </c>
      <c r="B594" s="574" t="s">
        <v>2220</v>
      </c>
      <c r="C594" s="574" t="s">
        <v>2221</v>
      </c>
      <c r="D594" s="574" t="s">
        <v>2220</v>
      </c>
      <c r="E594" s="574" t="s">
        <v>2222</v>
      </c>
      <c r="F594" s="574" t="s">
        <v>2223</v>
      </c>
      <c r="G594" s="574" t="s">
        <v>2224</v>
      </c>
      <c r="H594" s="574" t="s">
        <v>2225</v>
      </c>
      <c r="I594" s="574" t="s">
        <v>2226</v>
      </c>
      <c r="J594" s="574" t="s">
        <v>2227</v>
      </c>
      <c r="K594" s="574" t="s">
        <v>2228</v>
      </c>
      <c r="L594" s="574" t="s">
        <v>2229</v>
      </c>
      <c r="M594" s="574" t="s">
        <v>2230</v>
      </c>
      <c r="N594" s="574" t="s">
        <v>2231</v>
      </c>
      <c r="O594" s="574" t="s">
        <v>2759</v>
      </c>
      <c r="P594" s="574" t="s">
        <v>2932</v>
      </c>
      <c r="Q594" s="574" t="s">
        <v>2234</v>
      </c>
      <c r="R594" s="574" t="s">
        <v>2225</v>
      </c>
      <c r="S594" s="574" t="s">
        <v>2235</v>
      </c>
      <c r="T594" s="574" t="s">
        <v>2236</v>
      </c>
      <c r="U594" s="574" t="s">
        <v>3085</v>
      </c>
      <c r="V594" s="574" t="s">
        <v>2238</v>
      </c>
      <c r="W594" s="574" t="s">
        <v>2239</v>
      </c>
      <c r="X594" s="574" t="s">
        <v>3086</v>
      </c>
      <c r="Y594" s="575" t="s">
        <v>3070</v>
      </c>
      <c r="Z594" s="575" t="s">
        <v>3070</v>
      </c>
      <c r="AA594" s="574" t="s">
        <v>1693</v>
      </c>
      <c r="AB594" s="574" t="s">
        <v>2319</v>
      </c>
      <c r="AC594" s="574" t="s">
        <v>2320</v>
      </c>
      <c r="AD594" s="574" t="s">
        <v>2321</v>
      </c>
      <c r="AE594" s="574" t="s">
        <v>1446</v>
      </c>
      <c r="AF594" s="574" t="s">
        <v>2321</v>
      </c>
      <c r="AG594" s="576">
        <v>0</v>
      </c>
      <c r="AH594" s="576">
        <v>15557.41</v>
      </c>
    </row>
    <row r="595" spans="1:34" customFormat="1" x14ac:dyDescent="0.25">
      <c r="A595" s="574" t="s">
        <v>2219</v>
      </c>
      <c r="B595" s="574" t="s">
        <v>2220</v>
      </c>
      <c r="C595" s="574" t="s">
        <v>2221</v>
      </c>
      <c r="D595" s="574" t="s">
        <v>2220</v>
      </c>
      <c r="E595" s="574" t="s">
        <v>2222</v>
      </c>
      <c r="F595" s="574" t="s">
        <v>2223</v>
      </c>
      <c r="G595" s="574" t="s">
        <v>2224</v>
      </c>
      <c r="H595" s="574" t="s">
        <v>2225</v>
      </c>
      <c r="I595" s="574" t="s">
        <v>2226</v>
      </c>
      <c r="J595" s="574" t="s">
        <v>2227</v>
      </c>
      <c r="K595" s="574" t="s">
        <v>2228</v>
      </c>
      <c r="L595" s="574" t="s">
        <v>2229</v>
      </c>
      <c r="M595" s="574" t="s">
        <v>2230</v>
      </c>
      <c r="N595" s="574" t="s">
        <v>2231</v>
      </c>
      <c r="O595" s="574" t="s">
        <v>2759</v>
      </c>
      <c r="P595" s="574" t="s">
        <v>2932</v>
      </c>
      <c r="Q595" s="574" t="s">
        <v>2234</v>
      </c>
      <c r="R595" s="574" t="s">
        <v>2225</v>
      </c>
      <c r="S595" s="574" t="s">
        <v>2235</v>
      </c>
      <c r="T595" s="574" t="s">
        <v>2236</v>
      </c>
      <c r="U595" s="574" t="s">
        <v>3087</v>
      </c>
      <c r="V595" s="574" t="s">
        <v>2238</v>
      </c>
      <c r="W595" s="574" t="s">
        <v>2239</v>
      </c>
      <c r="X595" s="574" t="s">
        <v>3088</v>
      </c>
      <c r="Y595" s="575" t="s">
        <v>3070</v>
      </c>
      <c r="Z595" s="575" t="s">
        <v>3070</v>
      </c>
      <c r="AA595" s="574" t="s">
        <v>1693</v>
      </c>
      <c r="AB595" s="574" t="s">
        <v>2319</v>
      </c>
      <c r="AC595" s="574" t="s">
        <v>2320</v>
      </c>
      <c r="AD595" s="574" t="s">
        <v>2321</v>
      </c>
      <c r="AE595" s="574" t="s">
        <v>1446</v>
      </c>
      <c r="AF595" s="574" t="s">
        <v>2321</v>
      </c>
      <c r="AG595" s="576">
        <v>0</v>
      </c>
      <c r="AH595" s="576">
        <v>10553.92</v>
      </c>
    </row>
    <row r="596" spans="1:34" customFormat="1" x14ac:dyDescent="0.25">
      <c r="A596" s="574" t="s">
        <v>2219</v>
      </c>
      <c r="B596" s="574" t="s">
        <v>2220</v>
      </c>
      <c r="C596" s="574" t="s">
        <v>2221</v>
      </c>
      <c r="D596" s="574" t="s">
        <v>2220</v>
      </c>
      <c r="E596" s="574" t="s">
        <v>2222</v>
      </c>
      <c r="F596" s="574" t="s">
        <v>2223</v>
      </c>
      <c r="G596" s="574" t="s">
        <v>2224</v>
      </c>
      <c r="H596" s="574" t="s">
        <v>2225</v>
      </c>
      <c r="I596" s="574" t="s">
        <v>2226</v>
      </c>
      <c r="J596" s="574" t="s">
        <v>2227</v>
      </c>
      <c r="K596" s="574" t="s">
        <v>2228</v>
      </c>
      <c r="L596" s="574" t="s">
        <v>2229</v>
      </c>
      <c r="M596" s="574" t="s">
        <v>2230</v>
      </c>
      <c r="N596" s="574" t="s">
        <v>2231</v>
      </c>
      <c r="O596" s="574" t="s">
        <v>2759</v>
      </c>
      <c r="P596" s="574" t="s">
        <v>2932</v>
      </c>
      <c r="Q596" s="574" t="s">
        <v>2234</v>
      </c>
      <c r="R596" s="574" t="s">
        <v>2225</v>
      </c>
      <c r="S596" s="574" t="s">
        <v>2235</v>
      </c>
      <c r="T596" s="574" t="s">
        <v>2236</v>
      </c>
      <c r="U596" s="574" t="s">
        <v>3089</v>
      </c>
      <c r="V596" s="574" t="s">
        <v>2238</v>
      </c>
      <c r="W596" s="574" t="s">
        <v>2239</v>
      </c>
      <c r="X596" s="574" t="s">
        <v>3090</v>
      </c>
      <c r="Y596" s="575" t="s">
        <v>3070</v>
      </c>
      <c r="Z596" s="575" t="s">
        <v>3070</v>
      </c>
      <c r="AA596" s="574" t="s">
        <v>1693</v>
      </c>
      <c r="AB596" s="574" t="s">
        <v>2319</v>
      </c>
      <c r="AC596" s="574" t="s">
        <v>2320</v>
      </c>
      <c r="AD596" s="574" t="s">
        <v>2321</v>
      </c>
      <c r="AE596" s="574" t="s">
        <v>1446</v>
      </c>
      <c r="AF596" s="574" t="s">
        <v>2321</v>
      </c>
      <c r="AG596" s="576">
        <v>0</v>
      </c>
      <c r="AH596" s="576">
        <v>70800</v>
      </c>
    </row>
    <row r="597" spans="1:34" customFormat="1" x14ac:dyDescent="0.25">
      <c r="A597" s="574" t="s">
        <v>2219</v>
      </c>
      <c r="B597" s="574" t="s">
        <v>2220</v>
      </c>
      <c r="C597" s="574" t="s">
        <v>2221</v>
      </c>
      <c r="D597" s="574" t="s">
        <v>2220</v>
      </c>
      <c r="E597" s="574" t="s">
        <v>2222</v>
      </c>
      <c r="F597" s="574" t="s">
        <v>2223</v>
      </c>
      <c r="G597" s="574" t="s">
        <v>2224</v>
      </c>
      <c r="H597" s="574" t="s">
        <v>2225</v>
      </c>
      <c r="I597" s="574" t="s">
        <v>2226</v>
      </c>
      <c r="J597" s="574" t="s">
        <v>2227</v>
      </c>
      <c r="K597" s="574" t="s">
        <v>2228</v>
      </c>
      <c r="L597" s="574" t="s">
        <v>2229</v>
      </c>
      <c r="M597" s="574" t="s">
        <v>2230</v>
      </c>
      <c r="N597" s="574" t="s">
        <v>2231</v>
      </c>
      <c r="O597" s="574" t="s">
        <v>2759</v>
      </c>
      <c r="P597" s="574" t="s">
        <v>2932</v>
      </c>
      <c r="Q597" s="574" t="s">
        <v>2234</v>
      </c>
      <c r="R597" s="574" t="s">
        <v>2225</v>
      </c>
      <c r="S597" s="574" t="s">
        <v>2235</v>
      </c>
      <c r="T597" s="574" t="s">
        <v>2236</v>
      </c>
      <c r="U597" s="574" t="s">
        <v>3091</v>
      </c>
      <c r="V597" s="574" t="s">
        <v>2238</v>
      </c>
      <c r="W597" s="574" t="s">
        <v>2239</v>
      </c>
      <c r="X597" s="574" t="s">
        <v>3092</v>
      </c>
      <c r="Y597" s="575" t="s">
        <v>3070</v>
      </c>
      <c r="Z597" s="575" t="s">
        <v>3070</v>
      </c>
      <c r="AA597" s="574" t="s">
        <v>1691</v>
      </c>
      <c r="AB597" s="574" t="s">
        <v>2297</v>
      </c>
      <c r="AC597" s="574" t="s">
        <v>2298</v>
      </c>
      <c r="AD597" s="574" t="s">
        <v>2299</v>
      </c>
      <c r="AE597" s="574" t="s">
        <v>1468</v>
      </c>
      <c r="AF597" s="574" t="s">
        <v>2299</v>
      </c>
      <c r="AG597" s="576">
        <v>0</v>
      </c>
      <c r="AH597" s="576">
        <v>85000</v>
      </c>
    </row>
    <row r="598" spans="1:34" customFormat="1" x14ac:dyDescent="0.25">
      <c r="A598" s="574" t="s">
        <v>2219</v>
      </c>
      <c r="B598" s="574" t="s">
        <v>2220</v>
      </c>
      <c r="C598" s="574" t="s">
        <v>2221</v>
      </c>
      <c r="D598" s="574" t="s">
        <v>2220</v>
      </c>
      <c r="E598" s="574" t="s">
        <v>2222</v>
      </c>
      <c r="F598" s="574" t="s">
        <v>2223</v>
      </c>
      <c r="G598" s="574" t="s">
        <v>2224</v>
      </c>
      <c r="H598" s="574" t="s">
        <v>2225</v>
      </c>
      <c r="I598" s="574" t="s">
        <v>2226</v>
      </c>
      <c r="J598" s="574" t="s">
        <v>2227</v>
      </c>
      <c r="K598" s="574" t="s">
        <v>2228</v>
      </c>
      <c r="L598" s="574" t="s">
        <v>2229</v>
      </c>
      <c r="M598" s="574" t="s">
        <v>2230</v>
      </c>
      <c r="N598" s="574" t="s">
        <v>2231</v>
      </c>
      <c r="O598" s="574" t="s">
        <v>2759</v>
      </c>
      <c r="P598" s="574" t="s">
        <v>2932</v>
      </c>
      <c r="Q598" s="574" t="s">
        <v>2234</v>
      </c>
      <c r="R598" s="574" t="s">
        <v>2225</v>
      </c>
      <c r="S598" s="574" t="s">
        <v>2235</v>
      </c>
      <c r="T598" s="574" t="s">
        <v>2236</v>
      </c>
      <c r="U598" s="574" t="s">
        <v>2489</v>
      </c>
      <c r="V598" s="574" t="s">
        <v>2238</v>
      </c>
      <c r="W598" s="574" t="s">
        <v>2239</v>
      </c>
      <c r="X598" s="574" t="s">
        <v>2490</v>
      </c>
      <c r="Y598" s="575" t="s">
        <v>2491</v>
      </c>
      <c r="Z598" s="575" t="s">
        <v>2491</v>
      </c>
      <c r="AA598" s="574" t="s">
        <v>2954</v>
      </c>
      <c r="AB598" s="574" t="s">
        <v>2955</v>
      </c>
      <c r="AC598" s="574" t="s">
        <v>2956</v>
      </c>
      <c r="AD598" s="574" t="s">
        <v>2957</v>
      </c>
      <c r="AE598" s="574" t="s">
        <v>2958</v>
      </c>
      <c r="AF598" s="574" t="s">
        <v>113</v>
      </c>
      <c r="AG598" s="576">
        <v>0</v>
      </c>
      <c r="AH598" s="576">
        <v>78173.820000000007</v>
      </c>
    </row>
    <row r="599" spans="1:34" customFormat="1" x14ac:dyDescent="0.25">
      <c r="A599" s="574" t="s">
        <v>2219</v>
      </c>
      <c r="B599" s="574" t="s">
        <v>2220</v>
      </c>
      <c r="C599" s="574" t="s">
        <v>2221</v>
      </c>
      <c r="D599" s="574" t="s">
        <v>2220</v>
      </c>
      <c r="E599" s="574" t="s">
        <v>2222</v>
      </c>
      <c r="F599" s="574" t="s">
        <v>2223</v>
      </c>
      <c r="G599" s="574" t="s">
        <v>2224</v>
      </c>
      <c r="H599" s="574" t="s">
        <v>2225</v>
      </c>
      <c r="I599" s="574" t="s">
        <v>2226</v>
      </c>
      <c r="J599" s="574" t="s">
        <v>2227</v>
      </c>
      <c r="K599" s="574" t="s">
        <v>2228</v>
      </c>
      <c r="L599" s="574" t="s">
        <v>2229</v>
      </c>
      <c r="M599" s="574" t="s">
        <v>2230</v>
      </c>
      <c r="N599" s="574" t="s">
        <v>2231</v>
      </c>
      <c r="O599" s="574" t="s">
        <v>2759</v>
      </c>
      <c r="P599" s="574" t="s">
        <v>2932</v>
      </c>
      <c r="Q599" s="574" t="s">
        <v>2234</v>
      </c>
      <c r="R599" s="574" t="s">
        <v>2225</v>
      </c>
      <c r="S599" s="574" t="s">
        <v>2235</v>
      </c>
      <c r="T599" s="574" t="s">
        <v>2236</v>
      </c>
      <c r="U599" s="574" t="s">
        <v>3093</v>
      </c>
      <c r="V599" s="574" t="s">
        <v>2238</v>
      </c>
      <c r="W599" s="574" t="s">
        <v>2239</v>
      </c>
      <c r="X599" s="574" t="s">
        <v>3094</v>
      </c>
      <c r="Y599" s="575" t="s">
        <v>2491</v>
      </c>
      <c r="Z599" s="575" t="s">
        <v>2491</v>
      </c>
      <c r="AA599" s="574" t="s">
        <v>1693</v>
      </c>
      <c r="AB599" s="574" t="s">
        <v>2319</v>
      </c>
      <c r="AC599" s="574" t="s">
        <v>2320</v>
      </c>
      <c r="AD599" s="574" t="s">
        <v>2321</v>
      </c>
      <c r="AE599" s="574" t="s">
        <v>1446</v>
      </c>
      <c r="AF599" s="574" t="s">
        <v>2321</v>
      </c>
      <c r="AG599" s="576">
        <v>0</v>
      </c>
      <c r="AH599" s="576">
        <v>182168.4</v>
      </c>
    </row>
    <row r="600" spans="1:34" customFormat="1" x14ac:dyDescent="0.25">
      <c r="A600" s="574" t="s">
        <v>2219</v>
      </c>
      <c r="B600" s="574" t="s">
        <v>2220</v>
      </c>
      <c r="C600" s="574" t="s">
        <v>2221</v>
      </c>
      <c r="D600" s="574" t="s">
        <v>2220</v>
      </c>
      <c r="E600" s="574" t="s">
        <v>2222</v>
      </c>
      <c r="F600" s="574" t="s">
        <v>2223</v>
      </c>
      <c r="G600" s="574" t="s">
        <v>2224</v>
      </c>
      <c r="H600" s="574" t="s">
        <v>2225</v>
      </c>
      <c r="I600" s="574" t="s">
        <v>2226</v>
      </c>
      <c r="J600" s="574" t="s">
        <v>2227</v>
      </c>
      <c r="K600" s="574" t="s">
        <v>2228</v>
      </c>
      <c r="L600" s="574" t="s">
        <v>2229</v>
      </c>
      <c r="M600" s="574" t="s">
        <v>2230</v>
      </c>
      <c r="N600" s="574" t="s">
        <v>2231</v>
      </c>
      <c r="O600" s="574" t="s">
        <v>2759</v>
      </c>
      <c r="P600" s="574" t="s">
        <v>2932</v>
      </c>
      <c r="Q600" s="574" t="s">
        <v>2234</v>
      </c>
      <c r="R600" s="574" t="s">
        <v>2225</v>
      </c>
      <c r="S600" s="574" t="s">
        <v>2235</v>
      </c>
      <c r="T600" s="574" t="s">
        <v>2236</v>
      </c>
      <c r="U600" s="574" t="s">
        <v>3095</v>
      </c>
      <c r="V600" s="574" t="s">
        <v>2238</v>
      </c>
      <c r="W600" s="574" t="s">
        <v>2239</v>
      </c>
      <c r="X600" s="574" t="s">
        <v>3096</v>
      </c>
      <c r="Y600" s="575" t="s">
        <v>2671</v>
      </c>
      <c r="Z600" s="575" t="s">
        <v>2671</v>
      </c>
      <c r="AA600" s="574" t="s">
        <v>1692</v>
      </c>
      <c r="AB600" s="574" t="s">
        <v>2307</v>
      </c>
      <c r="AC600" s="574" t="s">
        <v>2308</v>
      </c>
      <c r="AD600" s="574" t="s">
        <v>2309</v>
      </c>
      <c r="AE600" s="574" t="s">
        <v>1490</v>
      </c>
      <c r="AF600" s="574" t="s">
        <v>176</v>
      </c>
      <c r="AG600" s="576">
        <v>0</v>
      </c>
      <c r="AH600" s="576">
        <v>98000</v>
      </c>
    </row>
    <row r="601" spans="1:34" customFormat="1" x14ac:dyDescent="0.25">
      <c r="A601" s="574" t="s">
        <v>2219</v>
      </c>
      <c r="B601" s="574" t="s">
        <v>2220</v>
      </c>
      <c r="C601" s="574" t="s">
        <v>2221</v>
      </c>
      <c r="D601" s="574" t="s">
        <v>2220</v>
      </c>
      <c r="E601" s="574" t="s">
        <v>2222</v>
      </c>
      <c r="F601" s="574" t="s">
        <v>2223</v>
      </c>
      <c r="G601" s="574" t="s">
        <v>2224</v>
      </c>
      <c r="H601" s="574" t="s">
        <v>2225</v>
      </c>
      <c r="I601" s="574" t="s">
        <v>2226</v>
      </c>
      <c r="J601" s="574" t="s">
        <v>2227</v>
      </c>
      <c r="K601" s="574" t="s">
        <v>2228</v>
      </c>
      <c r="L601" s="574" t="s">
        <v>2229</v>
      </c>
      <c r="M601" s="574" t="s">
        <v>2230</v>
      </c>
      <c r="N601" s="574" t="s">
        <v>2231</v>
      </c>
      <c r="O601" s="574" t="s">
        <v>2759</v>
      </c>
      <c r="P601" s="574" t="s">
        <v>2932</v>
      </c>
      <c r="Q601" s="574" t="s">
        <v>2234</v>
      </c>
      <c r="R601" s="574" t="s">
        <v>2225</v>
      </c>
      <c r="S601" s="574" t="s">
        <v>2235</v>
      </c>
      <c r="T601" s="574" t="s">
        <v>2236</v>
      </c>
      <c r="U601" s="574" t="s">
        <v>3097</v>
      </c>
      <c r="V601" s="574" t="s">
        <v>2238</v>
      </c>
      <c r="W601" s="574" t="s">
        <v>2239</v>
      </c>
      <c r="X601" s="574" t="s">
        <v>3098</v>
      </c>
      <c r="Y601" s="575" t="s">
        <v>2496</v>
      </c>
      <c r="Z601" s="575" t="s">
        <v>2496</v>
      </c>
      <c r="AA601" s="574" t="s">
        <v>1688</v>
      </c>
      <c r="AB601" s="574" t="s">
        <v>2430</v>
      </c>
      <c r="AC601" s="574" t="s">
        <v>2431</v>
      </c>
      <c r="AD601" s="574" t="s">
        <v>99</v>
      </c>
      <c r="AE601" s="574" t="s">
        <v>1531</v>
      </c>
      <c r="AF601" s="574" t="s">
        <v>99</v>
      </c>
      <c r="AG601" s="576">
        <v>0</v>
      </c>
      <c r="AH601" s="576">
        <v>183950</v>
      </c>
    </row>
    <row r="602" spans="1:34" customFormat="1" x14ac:dyDescent="0.25">
      <c r="A602" s="574" t="s">
        <v>2219</v>
      </c>
      <c r="B602" s="574" t="s">
        <v>2220</v>
      </c>
      <c r="C602" s="574" t="s">
        <v>2221</v>
      </c>
      <c r="D602" s="574" t="s">
        <v>2220</v>
      </c>
      <c r="E602" s="574" t="s">
        <v>2222</v>
      </c>
      <c r="F602" s="574" t="s">
        <v>2223</v>
      </c>
      <c r="G602" s="574" t="s">
        <v>2224</v>
      </c>
      <c r="H602" s="574" t="s">
        <v>2225</v>
      </c>
      <c r="I602" s="574" t="s">
        <v>2226</v>
      </c>
      <c r="J602" s="574" t="s">
        <v>2227</v>
      </c>
      <c r="K602" s="574" t="s">
        <v>2228</v>
      </c>
      <c r="L602" s="574" t="s">
        <v>2229</v>
      </c>
      <c r="M602" s="574" t="s">
        <v>2230</v>
      </c>
      <c r="N602" s="574" t="s">
        <v>2231</v>
      </c>
      <c r="O602" s="574" t="s">
        <v>2759</v>
      </c>
      <c r="P602" s="574" t="s">
        <v>2932</v>
      </c>
      <c r="Q602" s="574" t="s">
        <v>2234</v>
      </c>
      <c r="R602" s="574" t="s">
        <v>2225</v>
      </c>
      <c r="S602" s="574" t="s">
        <v>2235</v>
      </c>
      <c r="T602" s="574" t="s">
        <v>2236</v>
      </c>
      <c r="U602" s="574" t="s">
        <v>3099</v>
      </c>
      <c r="V602" s="574" t="s">
        <v>2238</v>
      </c>
      <c r="W602" s="574" t="s">
        <v>2239</v>
      </c>
      <c r="X602" s="574" t="s">
        <v>3100</v>
      </c>
      <c r="Y602" s="575" t="s">
        <v>2496</v>
      </c>
      <c r="Z602" s="575" t="s">
        <v>2496</v>
      </c>
      <c r="AA602" s="574" t="s">
        <v>1693</v>
      </c>
      <c r="AB602" s="574" t="s">
        <v>2319</v>
      </c>
      <c r="AC602" s="574" t="s">
        <v>2320</v>
      </c>
      <c r="AD602" s="574" t="s">
        <v>2321</v>
      </c>
      <c r="AE602" s="574" t="s">
        <v>1446</v>
      </c>
      <c r="AF602" s="574" t="s">
        <v>2321</v>
      </c>
      <c r="AG602" s="576">
        <v>0</v>
      </c>
      <c r="AH602" s="576">
        <v>92699.62</v>
      </c>
    </row>
    <row r="603" spans="1:34" customFormat="1" x14ac:dyDescent="0.25">
      <c r="A603" s="574" t="s">
        <v>2219</v>
      </c>
      <c r="B603" s="574" t="s">
        <v>2220</v>
      </c>
      <c r="C603" s="574" t="s">
        <v>2221</v>
      </c>
      <c r="D603" s="574" t="s">
        <v>2220</v>
      </c>
      <c r="E603" s="574" t="s">
        <v>2222</v>
      </c>
      <c r="F603" s="574" t="s">
        <v>2223</v>
      </c>
      <c r="G603" s="574" t="s">
        <v>2224</v>
      </c>
      <c r="H603" s="574" t="s">
        <v>2225</v>
      </c>
      <c r="I603" s="574" t="s">
        <v>2226</v>
      </c>
      <c r="J603" s="574" t="s">
        <v>2227</v>
      </c>
      <c r="K603" s="574" t="s">
        <v>2228</v>
      </c>
      <c r="L603" s="574" t="s">
        <v>2229</v>
      </c>
      <c r="M603" s="574" t="s">
        <v>2230</v>
      </c>
      <c r="N603" s="574" t="s">
        <v>2231</v>
      </c>
      <c r="O603" s="574" t="s">
        <v>2759</v>
      </c>
      <c r="P603" s="574" t="s">
        <v>2932</v>
      </c>
      <c r="Q603" s="574" t="s">
        <v>2234</v>
      </c>
      <c r="R603" s="574" t="s">
        <v>2225</v>
      </c>
      <c r="S603" s="574" t="s">
        <v>2235</v>
      </c>
      <c r="T603" s="574" t="s">
        <v>2236</v>
      </c>
      <c r="U603" s="574" t="s">
        <v>3101</v>
      </c>
      <c r="V603" s="574" t="s">
        <v>2238</v>
      </c>
      <c r="W603" s="574" t="s">
        <v>2239</v>
      </c>
      <c r="X603" s="574" t="s">
        <v>3102</v>
      </c>
      <c r="Y603" s="575" t="s">
        <v>2724</v>
      </c>
      <c r="Z603" s="575" t="s">
        <v>2724</v>
      </c>
      <c r="AA603" s="574" t="s">
        <v>1688</v>
      </c>
      <c r="AB603" s="574" t="s">
        <v>2430</v>
      </c>
      <c r="AC603" s="574" t="s">
        <v>2431</v>
      </c>
      <c r="AD603" s="574" t="s">
        <v>99</v>
      </c>
      <c r="AE603" s="574" t="s">
        <v>1531</v>
      </c>
      <c r="AF603" s="574" t="s">
        <v>99</v>
      </c>
      <c r="AG603" s="576">
        <v>0</v>
      </c>
      <c r="AH603" s="576">
        <v>115000</v>
      </c>
    </row>
    <row r="604" spans="1:34" customFormat="1" x14ac:dyDescent="0.25">
      <c r="A604" s="574" t="s">
        <v>2219</v>
      </c>
      <c r="B604" s="574" t="s">
        <v>2220</v>
      </c>
      <c r="C604" s="574" t="s">
        <v>2221</v>
      </c>
      <c r="D604" s="574" t="s">
        <v>2220</v>
      </c>
      <c r="E604" s="574" t="s">
        <v>2222</v>
      </c>
      <c r="F604" s="574" t="s">
        <v>2223</v>
      </c>
      <c r="G604" s="574" t="s">
        <v>2224</v>
      </c>
      <c r="H604" s="574" t="s">
        <v>2225</v>
      </c>
      <c r="I604" s="574" t="s">
        <v>2226</v>
      </c>
      <c r="J604" s="574" t="s">
        <v>2227</v>
      </c>
      <c r="K604" s="574" t="s">
        <v>2228</v>
      </c>
      <c r="L604" s="574" t="s">
        <v>2229</v>
      </c>
      <c r="M604" s="574" t="s">
        <v>2230</v>
      </c>
      <c r="N604" s="574" t="s">
        <v>2231</v>
      </c>
      <c r="O604" s="574" t="s">
        <v>2759</v>
      </c>
      <c r="P604" s="574" t="s">
        <v>2932</v>
      </c>
      <c r="Q604" s="574" t="s">
        <v>2234</v>
      </c>
      <c r="R604" s="574" t="s">
        <v>2225</v>
      </c>
      <c r="S604" s="574" t="s">
        <v>2235</v>
      </c>
      <c r="T604" s="574" t="s">
        <v>2236</v>
      </c>
      <c r="U604" s="574" t="s">
        <v>3103</v>
      </c>
      <c r="V604" s="574" t="s">
        <v>2238</v>
      </c>
      <c r="W604" s="574" t="s">
        <v>2239</v>
      </c>
      <c r="X604" s="574" t="s">
        <v>3104</v>
      </c>
      <c r="Y604" s="575" t="s">
        <v>2724</v>
      </c>
      <c r="Z604" s="575" t="s">
        <v>2724</v>
      </c>
      <c r="AA604" s="574" t="s">
        <v>1693</v>
      </c>
      <c r="AB604" s="574" t="s">
        <v>2319</v>
      </c>
      <c r="AC604" s="574" t="s">
        <v>2320</v>
      </c>
      <c r="AD604" s="574" t="s">
        <v>2321</v>
      </c>
      <c r="AE604" s="574" t="s">
        <v>1446</v>
      </c>
      <c r="AF604" s="574" t="s">
        <v>2321</v>
      </c>
      <c r="AG604" s="576">
        <v>0</v>
      </c>
      <c r="AH604" s="576">
        <v>212400</v>
      </c>
    </row>
    <row r="605" spans="1:34" customFormat="1" x14ac:dyDescent="0.25">
      <c r="A605" s="574" t="s">
        <v>2219</v>
      </c>
      <c r="B605" s="574" t="s">
        <v>2220</v>
      </c>
      <c r="C605" s="574" t="s">
        <v>2221</v>
      </c>
      <c r="D605" s="574" t="s">
        <v>2220</v>
      </c>
      <c r="E605" s="574" t="s">
        <v>2222</v>
      </c>
      <c r="F605" s="574" t="s">
        <v>2223</v>
      </c>
      <c r="G605" s="574" t="s">
        <v>2224</v>
      </c>
      <c r="H605" s="574" t="s">
        <v>2225</v>
      </c>
      <c r="I605" s="574" t="s">
        <v>2226</v>
      </c>
      <c r="J605" s="574" t="s">
        <v>2227</v>
      </c>
      <c r="K605" s="574" t="s">
        <v>2228</v>
      </c>
      <c r="L605" s="574" t="s">
        <v>2229</v>
      </c>
      <c r="M605" s="574" t="s">
        <v>2230</v>
      </c>
      <c r="N605" s="574" t="s">
        <v>2231</v>
      </c>
      <c r="O605" s="574" t="s">
        <v>2759</v>
      </c>
      <c r="P605" s="574" t="s">
        <v>2932</v>
      </c>
      <c r="Q605" s="574" t="s">
        <v>2234</v>
      </c>
      <c r="R605" s="574" t="s">
        <v>2225</v>
      </c>
      <c r="S605" s="574" t="s">
        <v>2235</v>
      </c>
      <c r="T605" s="574" t="s">
        <v>2236</v>
      </c>
      <c r="U605" s="574" t="s">
        <v>3105</v>
      </c>
      <c r="V605" s="574" t="s">
        <v>2238</v>
      </c>
      <c r="W605" s="574" t="s">
        <v>2239</v>
      </c>
      <c r="X605" s="574" t="s">
        <v>3106</v>
      </c>
      <c r="Y605" s="575" t="s">
        <v>2726</v>
      </c>
      <c r="Z605" s="575" t="s">
        <v>2726</v>
      </c>
      <c r="AA605" s="574" t="s">
        <v>1692</v>
      </c>
      <c r="AB605" s="574" t="s">
        <v>2307</v>
      </c>
      <c r="AC605" s="574" t="s">
        <v>2308</v>
      </c>
      <c r="AD605" s="574" t="s">
        <v>2309</v>
      </c>
      <c r="AE605" s="574" t="s">
        <v>1490</v>
      </c>
      <c r="AF605" s="574" t="s">
        <v>176</v>
      </c>
      <c r="AG605" s="576">
        <v>0</v>
      </c>
      <c r="AH605" s="576">
        <v>140800</v>
      </c>
    </row>
    <row r="606" spans="1:34" customFormat="1" x14ac:dyDescent="0.25">
      <c r="A606" s="574" t="s">
        <v>2219</v>
      </c>
      <c r="B606" s="574" t="s">
        <v>2220</v>
      </c>
      <c r="C606" s="574" t="s">
        <v>2221</v>
      </c>
      <c r="D606" s="574" t="s">
        <v>2220</v>
      </c>
      <c r="E606" s="574" t="s">
        <v>2222</v>
      </c>
      <c r="F606" s="574" t="s">
        <v>2223</v>
      </c>
      <c r="G606" s="574" t="s">
        <v>2224</v>
      </c>
      <c r="H606" s="574" t="s">
        <v>2225</v>
      </c>
      <c r="I606" s="574" t="s">
        <v>2226</v>
      </c>
      <c r="J606" s="574" t="s">
        <v>2227</v>
      </c>
      <c r="K606" s="574" t="s">
        <v>2228</v>
      </c>
      <c r="L606" s="574" t="s">
        <v>2229</v>
      </c>
      <c r="M606" s="574" t="s">
        <v>2230</v>
      </c>
      <c r="N606" s="574" t="s">
        <v>2231</v>
      </c>
      <c r="O606" s="574" t="s">
        <v>2759</v>
      </c>
      <c r="P606" s="574" t="s">
        <v>2932</v>
      </c>
      <c r="Q606" s="574" t="s">
        <v>2234</v>
      </c>
      <c r="R606" s="574" t="s">
        <v>2225</v>
      </c>
      <c r="S606" s="574" t="s">
        <v>2235</v>
      </c>
      <c r="T606" s="574" t="s">
        <v>2236</v>
      </c>
      <c r="U606" s="574" t="s">
        <v>3105</v>
      </c>
      <c r="V606" s="574" t="s">
        <v>2238</v>
      </c>
      <c r="W606" s="574" t="s">
        <v>2239</v>
      </c>
      <c r="X606" s="574" t="s">
        <v>3106</v>
      </c>
      <c r="Y606" s="575" t="s">
        <v>2726</v>
      </c>
      <c r="Z606" s="575" t="s">
        <v>2726</v>
      </c>
      <c r="AA606" s="574" t="s">
        <v>1693</v>
      </c>
      <c r="AB606" s="574" t="s">
        <v>2319</v>
      </c>
      <c r="AC606" s="574" t="s">
        <v>2320</v>
      </c>
      <c r="AD606" s="574" t="s">
        <v>2321</v>
      </c>
      <c r="AE606" s="574" t="s">
        <v>1446</v>
      </c>
      <c r="AF606" s="574" t="s">
        <v>2321</v>
      </c>
      <c r="AG606" s="576">
        <v>0</v>
      </c>
      <c r="AH606" s="576">
        <v>77760</v>
      </c>
    </row>
    <row r="607" spans="1:34" customFormat="1" x14ac:dyDescent="0.25">
      <c r="A607" s="574" t="s">
        <v>2219</v>
      </c>
      <c r="B607" s="574" t="s">
        <v>2220</v>
      </c>
      <c r="C607" s="574" t="s">
        <v>2221</v>
      </c>
      <c r="D607" s="574" t="s">
        <v>2220</v>
      </c>
      <c r="E607" s="574" t="s">
        <v>2222</v>
      </c>
      <c r="F607" s="574" t="s">
        <v>2223</v>
      </c>
      <c r="G607" s="574" t="s">
        <v>2224</v>
      </c>
      <c r="H607" s="574" t="s">
        <v>2225</v>
      </c>
      <c r="I607" s="574" t="s">
        <v>2226</v>
      </c>
      <c r="J607" s="574" t="s">
        <v>2227</v>
      </c>
      <c r="K607" s="574" t="s">
        <v>2228</v>
      </c>
      <c r="L607" s="574" t="s">
        <v>2229</v>
      </c>
      <c r="M607" s="574" t="s">
        <v>2230</v>
      </c>
      <c r="N607" s="574" t="s">
        <v>2231</v>
      </c>
      <c r="O607" s="574" t="s">
        <v>2759</v>
      </c>
      <c r="P607" s="574" t="s">
        <v>2932</v>
      </c>
      <c r="Q607" s="574" t="s">
        <v>2234</v>
      </c>
      <c r="R607" s="574" t="s">
        <v>2225</v>
      </c>
      <c r="S607" s="574" t="s">
        <v>2235</v>
      </c>
      <c r="T607" s="574" t="s">
        <v>2236</v>
      </c>
      <c r="U607" s="574" t="s">
        <v>3107</v>
      </c>
      <c r="V607" s="574" t="s">
        <v>2238</v>
      </c>
      <c r="W607" s="574" t="s">
        <v>2239</v>
      </c>
      <c r="X607" s="574" t="s">
        <v>3108</v>
      </c>
      <c r="Y607" s="575" t="s">
        <v>2726</v>
      </c>
      <c r="Z607" s="575" t="s">
        <v>2726</v>
      </c>
      <c r="AA607" s="574" t="s">
        <v>1693</v>
      </c>
      <c r="AB607" s="574" t="s">
        <v>2319</v>
      </c>
      <c r="AC607" s="574" t="s">
        <v>2402</v>
      </c>
      <c r="AD607" s="574" t="s">
        <v>2403</v>
      </c>
      <c r="AE607" s="574" t="s">
        <v>1486</v>
      </c>
      <c r="AF607" s="574" t="s">
        <v>2403</v>
      </c>
      <c r="AG607" s="576">
        <v>0</v>
      </c>
      <c r="AH607" s="576">
        <v>141600</v>
      </c>
    </row>
    <row r="608" spans="1:34" customFormat="1" x14ac:dyDescent="0.25">
      <c r="A608" s="574" t="s">
        <v>2219</v>
      </c>
      <c r="B608" s="574" t="s">
        <v>2220</v>
      </c>
      <c r="C608" s="574" t="s">
        <v>2221</v>
      </c>
      <c r="D608" s="574" t="s">
        <v>2220</v>
      </c>
      <c r="E608" s="574" t="s">
        <v>2222</v>
      </c>
      <c r="F608" s="574" t="s">
        <v>2223</v>
      </c>
      <c r="G608" s="574" t="s">
        <v>2224</v>
      </c>
      <c r="H608" s="574" t="s">
        <v>2225</v>
      </c>
      <c r="I608" s="574" t="s">
        <v>2226</v>
      </c>
      <c r="J608" s="574" t="s">
        <v>2227</v>
      </c>
      <c r="K608" s="574" t="s">
        <v>2228</v>
      </c>
      <c r="L608" s="574" t="s">
        <v>2229</v>
      </c>
      <c r="M608" s="574" t="s">
        <v>2230</v>
      </c>
      <c r="N608" s="574" t="s">
        <v>2231</v>
      </c>
      <c r="O608" s="574" t="s">
        <v>2759</v>
      </c>
      <c r="P608" s="574" t="s">
        <v>2932</v>
      </c>
      <c r="Q608" s="574" t="s">
        <v>2234</v>
      </c>
      <c r="R608" s="574" t="s">
        <v>2225</v>
      </c>
      <c r="S608" s="574" t="s">
        <v>2235</v>
      </c>
      <c r="T608" s="574" t="s">
        <v>2236</v>
      </c>
      <c r="U608" s="574" t="s">
        <v>3109</v>
      </c>
      <c r="V608" s="574" t="s">
        <v>2238</v>
      </c>
      <c r="W608" s="574" t="s">
        <v>2239</v>
      </c>
      <c r="X608" s="574" t="s">
        <v>3110</v>
      </c>
      <c r="Y608" s="575" t="s">
        <v>2726</v>
      </c>
      <c r="Z608" s="575" t="s">
        <v>2726</v>
      </c>
      <c r="AA608" s="574" t="s">
        <v>1693</v>
      </c>
      <c r="AB608" s="574" t="s">
        <v>2319</v>
      </c>
      <c r="AC608" s="574" t="s">
        <v>2402</v>
      </c>
      <c r="AD608" s="574" t="s">
        <v>2403</v>
      </c>
      <c r="AE608" s="574" t="s">
        <v>1486</v>
      </c>
      <c r="AF608" s="574" t="s">
        <v>2403</v>
      </c>
      <c r="AG608" s="576">
        <v>0</v>
      </c>
      <c r="AH608" s="576">
        <v>188800</v>
      </c>
    </row>
    <row r="609" spans="1:34" customFormat="1" x14ac:dyDescent="0.25">
      <c r="A609" s="574" t="s">
        <v>2219</v>
      </c>
      <c r="B609" s="574" t="s">
        <v>2220</v>
      </c>
      <c r="C609" s="574" t="s">
        <v>2221</v>
      </c>
      <c r="D609" s="574" t="s">
        <v>2220</v>
      </c>
      <c r="E609" s="574" t="s">
        <v>2222</v>
      </c>
      <c r="F609" s="574" t="s">
        <v>2223</v>
      </c>
      <c r="G609" s="574" t="s">
        <v>2224</v>
      </c>
      <c r="H609" s="574" t="s">
        <v>2225</v>
      </c>
      <c r="I609" s="574" t="s">
        <v>2226</v>
      </c>
      <c r="J609" s="574" t="s">
        <v>2227</v>
      </c>
      <c r="K609" s="574" t="s">
        <v>2228</v>
      </c>
      <c r="L609" s="574" t="s">
        <v>2229</v>
      </c>
      <c r="M609" s="574" t="s">
        <v>2230</v>
      </c>
      <c r="N609" s="574" t="s">
        <v>2231</v>
      </c>
      <c r="O609" s="574" t="s">
        <v>2759</v>
      </c>
      <c r="P609" s="574" t="s">
        <v>2932</v>
      </c>
      <c r="Q609" s="574" t="s">
        <v>2234</v>
      </c>
      <c r="R609" s="574" t="s">
        <v>2225</v>
      </c>
      <c r="S609" s="574" t="s">
        <v>2235</v>
      </c>
      <c r="T609" s="574" t="s">
        <v>2236</v>
      </c>
      <c r="U609" s="574" t="s">
        <v>3111</v>
      </c>
      <c r="V609" s="574" t="s">
        <v>2238</v>
      </c>
      <c r="W609" s="574" t="s">
        <v>2239</v>
      </c>
      <c r="X609" s="574" t="s">
        <v>3112</v>
      </c>
      <c r="Y609" s="575" t="s">
        <v>2501</v>
      </c>
      <c r="Z609" s="575" t="s">
        <v>2501</v>
      </c>
      <c r="AA609" s="574" t="s">
        <v>1693</v>
      </c>
      <c r="AB609" s="574" t="s">
        <v>2319</v>
      </c>
      <c r="AC609" s="574" t="s">
        <v>2320</v>
      </c>
      <c r="AD609" s="574" t="s">
        <v>2321</v>
      </c>
      <c r="AE609" s="574" t="s">
        <v>1446</v>
      </c>
      <c r="AF609" s="574" t="s">
        <v>2321</v>
      </c>
      <c r="AG609" s="576">
        <v>0</v>
      </c>
      <c r="AH609" s="576">
        <v>60531.05</v>
      </c>
    </row>
    <row r="610" spans="1:34" customFormat="1" x14ac:dyDescent="0.25">
      <c r="A610" s="574" t="s">
        <v>2219</v>
      </c>
      <c r="B610" s="574" t="s">
        <v>2220</v>
      </c>
      <c r="C610" s="574" t="s">
        <v>2221</v>
      </c>
      <c r="D610" s="574" t="s">
        <v>2220</v>
      </c>
      <c r="E610" s="574" t="s">
        <v>2222</v>
      </c>
      <c r="F610" s="574" t="s">
        <v>2223</v>
      </c>
      <c r="G610" s="574" t="s">
        <v>2224</v>
      </c>
      <c r="H610" s="574" t="s">
        <v>2225</v>
      </c>
      <c r="I610" s="574" t="s">
        <v>2226</v>
      </c>
      <c r="J610" s="574" t="s">
        <v>2227</v>
      </c>
      <c r="K610" s="574" t="s">
        <v>2228</v>
      </c>
      <c r="L610" s="574" t="s">
        <v>2229</v>
      </c>
      <c r="M610" s="574" t="s">
        <v>2230</v>
      </c>
      <c r="N610" s="574" t="s">
        <v>2231</v>
      </c>
      <c r="O610" s="574" t="s">
        <v>2759</v>
      </c>
      <c r="P610" s="574" t="s">
        <v>2932</v>
      </c>
      <c r="Q610" s="574" t="s">
        <v>2234</v>
      </c>
      <c r="R610" s="574" t="s">
        <v>2225</v>
      </c>
      <c r="S610" s="574" t="s">
        <v>2235</v>
      </c>
      <c r="T610" s="574" t="s">
        <v>2236</v>
      </c>
      <c r="U610" s="574" t="s">
        <v>3113</v>
      </c>
      <c r="V610" s="574" t="s">
        <v>2238</v>
      </c>
      <c r="W610" s="574" t="s">
        <v>2239</v>
      </c>
      <c r="X610" s="574" t="s">
        <v>3114</v>
      </c>
      <c r="Y610" s="575" t="s">
        <v>2501</v>
      </c>
      <c r="Z610" s="575" t="s">
        <v>2501</v>
      </c>
      <c r="AA610" s="574" t="s">
        <v>1691</v>
      </c>
      <c r="AB610" s="574" t="s">
        <v>2297</v>
      </c>
      <c r="AC610" s="574" t="s">
        <v>2298</v>
      </c>
      <c r="AD610" s="574" t="s">
        <v>2299</v>
      </c>
      <c r="AE610" s="574" t="s">
        <v>1468</v>
      </c>
      <c r="AF610" s="574" t="s">
        <v>2299</v>
      </c>
      <c r="AG610" s="576">
        <v>0</v>
      </c>
      <c r="AH610" s="576">
        <v>136500</v>
      </c>
    </row>
    <row r="611" spans="1:34" customFormat="1" x14ac:dyDescent="0.25">
      <c r="A611" s="574" t="s">
        <v>2219</v>
      </c>
      <c r="B611" s="574" t="s">
        <v>2220</v>
      </c>
      <c r="C611" s="574" t="s">
        <v>2221</v>
      </c>
      <c r="D611" s="574" t="s">
        <v>2220</v>
      </c>
      <c r="E611" s="574" t="s">
        <v>2222</v>
      </c>
      <c r="F611" s="574" t="s">
        <v>2223</v>
      </c>
      <c r="G611" s="574" t="s">
        <v>2224</v>
      </c>
      <c r="H611" s="574" t="s">
        <v>2225</v>
      </c>
      <c r="I611" s="574" t="s">
        <v>2226</v>
      </c>
      <c r="J611" s="574" t="s">
        <v>2227</v>
      </c>
      <c r="K611" s="574" t="s">
        <v>2228</v>
      </c>
      <c r="L611" s="574" t="s">
        <v>2229</v>
      </c>
      <c r="M611" s="574" t="s">
        <v>2230</v>
      </c>
      <c r="N611" s="574" t="s">
        <v>2231</v>
      </c>
      <c r="O611" s="574" t="s">
        <v>2759</v>
      </c>
      <c r="P611" s="574" t="s">
        <v>2932</v>
      </c>
      <c r="Q611" s="574" t="s">
        <v>2234</v>
      </c>
      <c r="R611" s="574" t="s">
        <v>2225</v>
      </c>
      <c r="S611" s="574" t="s">
        <v>2235</v>
      </c>
      <c r="T611" s="574" t="s">
        <v>2236</v>
      </c>
      <c r="U611" s="574" t="s">
        <v>3115</v>
      </c>
      <c r="V611" s="574" t="s">
        <v>2238</v>
      </c>
      <c r="W611" s="574" t="s">
        <v>2239</v>
      </c>
      <c r="X611" s="574" t="s">
        <v>3116</v>
      </c>
      <c r="Y611" s="575" t="s">
        <v>2501</v>
      </c>
      <c r="Z611" s="575" t="s">
        <v>2501</v>
      </c>
      <c r="AA611" s="574" t="s">
        <v>1691</v>
      </c>
      <c r="AB611" s="574" t="s">
        <v>2297</v>
      </c>
      <c r="AC611" s="574" t="s">
        <v>2298</v>
      </c>
      <c r="AD611" s="574" t="s">
        <v>2299</v>
      </c>
      <c r="AE611" s="574" t="s">
        <v>1468</v>
      </c>
      <c r="AF611" s="574" t="s">
        <v>2299</v>
      </c>
      <c r="AG611" s="576">
        <v>0</v>
      </c>
      <c r="AH611" s="576">
        <v>138000</v>
      </c>
    </row>
    <row r="612" spans="1:34" customFormat="1" x14ac:dyDescent="0.25">
      <c r="A612" s="574" t="s">
        <v>2219</v>
      </c>
      <c r="B612" s="574" t="s">
        <v>2220</v>
      </c>
      <c r="C612" s="574" t="s">
        <v>2221</v>
      </c>
      <c r="D612" s="574" t="s">
        <v>2220</v>
      </c>
      <c r="E612" s="574" t="s">
        <v>2222</v>
      </c>
      <c r="F612" s="574" t="s">
        <v>2223</v>
      </c>
      <c r="G612" s="574" t="s">
        <v>2224</v>
      </c>
      <c r="H612" s="574" t="s">
        <v>2225</v>
      </c>
      <c r="I612" s="574" t="s">
        <v>2226</v>
      </c>
      <c r="J612" s="574" t="s">
        <v>2227</v>
      </c>
      <c r="K612" s="574" t="s">
        <v>2228</v>
      </c>
      <c r="L612" s="574" t="s">
        <v>2229</v>
      </c>
      <c r="M612" s="574" t="s">
        <v>2230</v>
      </c>
      <c r="N612" s="574" t="s">
        <v>2231</v>
      </c>
      <c r="O612" s="574" t="s">
        <v>2759</v>
      </c>
      <c r="P612" s="574" t="s">
        <v>2932</v>
      </c>
      <c r="Q612" s="574" t="s">
        <v>2234</v>
      </c>
      <c r="R612" s="574" t="s">
        <v>2225</v>
      </c>
      <c r="S612" s="574" t="s">
        <v>2235</v>
      </c>
      <c r="T612" s="574" t="s">
        <v>2236</v>
      </c>
      <c r="U612" s="574" t="s">
        <v>2499</v>
      </c>
      <c r="V612" s="574" t="s">
        <v>2238</v>
      </c>
      <c r="W612" s="574" t="s">
        <v>2239</v>
      </c>
      <c r="X612" s="574" t="s">
        <v>2500</v>
      </c>
      <c r="Y612" s="575" t="s">
        <v>2501</v>
      </c>
      <c r="Z612" s="575" t="s">
        <v>2501</v>
      </c>
      <c r="AA612" s="574" t="s">
        <v>1686</v>
      </c>
      <c r="AB612" s="574" t="s">
        <v>2965</v>
      </c>
      <c r="AC612" s="574" t="s">
        <v>2966</v>
      </c>
      <c r="AD612" s="574" t="s">
        <v>2967</v>
      </c>
      <c r="AE612" s="574" t="s">
        <v>3000</v>
      </c>
      <c r="AF612" s="574" t="s">
        <v>3001</v>
      </c>
      <c r="AG612" s="576">
        <v>0</v>
      </c>
      <c r="AH612" s="576">
        <v>106766.39999999999</v>
      </c>
    </row>
    <row r="613" spans="1:34" customFormat="1" x14ac:dyDescent="0.25">
      <c r="A613" s="574" t="s">
        <v>2219</v>
      </c>
      <c r="B613" s="574" t="s">
        <v>2220</v>
      </c>
      <c r="C613" s="574" t="s">
        <v>2221</v>
      </c>
      <c r="D613" s="574" t="s">
        <v>2220</v>
      </c>
      <c r="E613" s="574" t="s">
        <v>2222</v>
      </c>
      <c r="F613" s="574" t="s">
        <v>2223</v>
      </c>
      <c r="G613" s="574" t="s">
        <v>2224</v>
      </c>
      <c r="H613" s="574" t="s">
        <v>2225</v>
      </c>
      <c r="I613" s="574" t="s">
        <v>2226</v>
      </c>
      <c r="J613" s="574" t="s">
        <v>2227</v>
      </c>
      <c r="K613" s="574" t="s">
        <v>2228</v>
      </c>
      <c r="L613" s="574" t="s">
        <v>2229</v>
      </c>
      <c r="M613" s="574" t="s">
        <v>2230</v>
      </c>
      <c r="N613" s="574" t="s">
        <v>2231</v>
      </c>
      <c r="O613" s="574" t="s">
        <v>2759</v>
      </c>
      <c r="P613" s="574" t="s">
        <v>2932</v>
      </c>
      <c r="Q613" s="574" t="s">
        <v>2234</v>
      </c>
      <c r="R613" s="574" t="s">
        <v>2225</v>
      </c>
      <c r="S613" s="574" t="s">
        <v>2235</v>
      </c>
      <c r="T613" s="574" t="s">
        <v>2236</v>
      </c>
      <c r="U613" s="574" t="s">
        <v>2499</v>
      </c>
      <c r="V613" s="574" t="s">
        <v>2238</v>
      </c>
      <c r="W613" s="574" t="s">
        <v>2239</v>
      </c>
      <c r="X613" s="574" t="s">
        <v>2500</v>
      </c>
      <c r="Y613" s="575" t="s">
        <v>2501</v>
      </c>
      <c r="Z613" s="575" t="s">
        <v>2501</v>
      </c>
      <c r="AA613" s="574" t="s">
        <v>1693</v>
      </c>
      <c r="AB613" s="574" t="s">
        <v>2319</v>
      </c>
      <c r="AC613" s="574" t="s">
        <v>2962</v>
      </c>
      <c r="AD613" s="574" t="s">
        <v>126</v>
      </c>
      <c r="AE613" s="574" t="s">
        <v>1522</v>
      </c>
      <c r="AF613" s="574" t="s">
        <v>126</v>
      </c>
      <c r="AG613" s="576">
        <v>0</v>
      </c>
      <c r="AH613" s="576">
        <v>462538.76</v>
      </c>
    </row>
    <row r="614" spans="1:34" customFormat="1" x14ac:dyDescent="0.25">
      <c r="A614" s="574" t="s">
        <v>2219</v>
      </c>
      <c r="B614" s="574" t="s">
        <v>2220</v>
      </c>
      <c r="C614" s="574" t="s">
        <v>2221</v>
      </c>
      <c r="D614" s="574" t="s">
        <v>2220</v>
      </c>
      <c r="E614" s="574" t="s">
        <v>2222</v>
      </c>
      <c r="F614" s="574" t="s">
        <v>2223</v>
      </c>
      <c r="G614" s="574" t="s">
        <v>2224</v>
      </c>
      <c r="H614" s="574" t="s">
        <v>2225</v>
      </c>
      <c r="I614" s="574" t="s">
        <v>2226</v>
      </c>
      <c r="J614" s="574" t="s">
        <v>2227</v>
      </c>
      <c r="K614" s="574" t="s">
        <v>2228</v>
      </c>
      <c r="L614" s="574" t="s">
        <v>2229</v>
      </c>
      <c r="M614" s="574" t="s">
        <v>2230</v>
      </c>
      <c r="N614" s="574" t="s">
        <v>2231</v>
      </c>
      <c r="O614" s="574" t="s">
        <v>2759</v>
      </c>
      <c r="P614" s="574" t="s">
        <v>2932</v>
      </c>
      <c r="Q614" s="574" t="s">
        <v>2234</v>
      </c>
      <c r="R614" s="574" t="s">
        <v>2225</v>
      </c>
      <c r="S614" s="574" t="s">
        <v>2235</v>
      </c>
      <c r="T614" s="574" t="s">
        <v>2236</v>
      </c>
      <c r="U614" s="574" t="s">
        <v>3117</v>
      </c>
      <c r="V614" s="574" t="s">
        <v>2238</v>
      </c>
      <c r="W614" s="574" t="s">
        <v>2239</v>
      </c>
      <c r="X614" s="574" t="s">
        <v>3118</v>
      </c>
      <c r="Y614" s="575" t="s">
        <v>2501</v>
      </c>
      <c r="Z614" s="575" t="s">
        <v>2501</v>
      </c>
      <c r="AA614" s="574" t="s">
        <v>1691</v>
      </c>
      <c r="AB614" s="574" t="s">
        <v>2297</v>
      </c>
      <c r="AC614" s="574" t="s">
        <v>2298</v>
      </c>
      <c r="AD614" s="574" t="s">
        <v>2299</v>
      </c>
      <c r="AE614" s="574" t="s">
        <v>1468</v>
      </c>
      <c r="AF614" s="574" t="s">
        <v>2299</v>
      </c>
      <c r="AG614" s="576">
        <v>0</v>
      </c>
      <c r="AH614" s="576">
        <v>95000</v>
      </c>
    </row>
    <row r="615" spans="1:34" customFormat="1" x14ac:dyDescent="0.25">
      <c r="A615" s="574" t="s">
        <v>2219</v>
      </c>
      <c r="B615" s="574" t="s">
        <v>2220</v>
      </c>
      <c r="C615" s="574" t="s">
        <v>2221</v>
      </c>
      <c r="D615" s="574" t="s">
        <v>2220</v>
      </c>
      <c r="E615" s="574" t="s">
        <v>2222</v>
      </c>
      <c r="F615" s="574" t="s">
        <v>2223</v>
      </c>
      <c r="G615" s="574" t="s">
        <v>2224</v>
      </c>
      <c r="H615" s="574" t="s">
        <v>2225</v>
      </c>
      <c r="I615" s="574" t="s">
        <v>2226</v>
      </c>
      <c r="J615" s="574" t="s">
        <v>2227</v>
      </c>
      <c r="K615" s="574" t="s">
        <v>2228</v>
      </c>
      <c r="L615" s="574" t="s">
        <v>2229</v>
      </c>
      <c r="M615" s="574" t="s">
        <v>2230</v>
      </c>
      <c r="N615" s="574" t="s">
        <v>2231</v>
      </c>
      <c r="O615" s="574" t="s">
        <v>2759</v>
      </c>
      <c r="P615" s="574" t="s">
        <v>2932</v>
      </c>
      <c r="Q615" s="574" t="s">
        <v>2234</v>
      </c>
      <c r="R615" s="574" t="s">
        <v>2225</v>
      </c>
      <c r="S615" s="574" t="s">
        <v>2235</v>
      </c>
      <c r="T615" s="574" t="s">
        <v>2236</v>
      </c>
      <c r="U615" s="574" t="s">
        <v>3119</v>
      </c>
      <c r="V615" s="574" t="s">
        <v>2238</v>
      </c>
      <c r="W615" s="574" t="s">
        <v>2239</v>
      </c>
      <c r="X615" s="574" t="s">
        <v>3120</v>
      </c>
      <c r="Y615" s="575" t="s">
        <v>2501</v>
      </c>
      <c r="Z615" s="575" t="s">
        <v>2501</v>
      </c>
      <c r="AA615" s="574" t="s">
        <v>1691</v>
      </c>
      <c r="AB615" s="574" t="s">
        <v>2297</v>
      </c>
      <c r="AC615" s="574" t="s">
        <v>2298</v>
      </c>
      <c r="AD615" s="574" t="s">
        <v>2299</v>
      </c>
      <c r="AE615" s="574" t="s">
        <v>1468</v>
      </c>
      <c r="AF615" s="574" t="s">
        <v>2299</v>
      </c>
      <c r="AG615" s="576">
        <v>0</v>
      </c>
      <c r="AH615" s="576">
        <v>255000</v>
      </c>
    </row>
    <row r="616" spans="1:34" customFormat="1" x14ac:dyDescent="0.25">
      <c r="A616" s="574" t="s">
        <v>2219</v>
      </c>
      <c r="B616" s="574" t="s">
        <v>2220</v>
      </c>
      <c r="C616" s="574" t="s">
        <v>2221</v>
      </c>
      <c r="D616" s="574" t="s">
        <v>2220</v>
      </c>
      <c r="E616" s="574" t="s">
        <v>2222</v>
      </c>
      <c r="F616" s="574" t="s">
        <v>2223</v>
      </c>
      <c r="G616" s="574" t="s">
        <v>2224</v>
      </c>
      <c r="H616" s="574" t="s">
        <v>2225</v>
      </c>
      <c r="I616" s="574" t="s">
        <v>2226</v>
      </c>
      <c r="J616" s="574" t="s">
        <v>2227</v>
      </c>
      <c r="K616" s="574" t="s">
        <v>2228</v>
      </c>
      <c r="L616" s="574" t="s">
        <v>2229</v>
      </c>
      <c r="M616" s="574" t="s">
        <v>2230</v>
      </c>
      <c r="N616" s="574" t="s">
        <v>2231</v>
      </c>
      <c r="O616" s="574" t="s">
        <v>2759</v>
      </c>
      <c r="P616" s="574" t="s">
        <v>2932</v>
      </c>
      <c r="Q616" s="574" t="s">
        <v>2234</v>
      </c>
      <c r="R616" s="574" t="s">
        <v>2225</v>
      </c>
      <c r="S616" s="574" t="s">
        <v>2235</v>
      </c>
      <c r="T616" s="574" t="s">
        <v>2236</v>
      </c>
      <c r="U616" s="574" t="s">
        <v>3121</v>
      </c>
      <c r="V616" s="574" t="s">
        <v>2238</v>
      </c>
      <c r="W616" s="574" t="s">
        <v>2239</v>
      </c>
      <c r="X616" s="574" t="s">
        <v>3122</v>
      </c>
      <c r="Y616" s="575" t="s">
        <v>3123</v>
      </c>
      <c r="Z616" s="575" t="s">
        <v>3123</v>
      </c>
      <c r="AA616" s="574" t="s">
        <v>1693</v>
      </c>
      <c r="AB616" s="574" t="s">
        <v>2319</v>
      </c>
      <c r="AC616" s="574" t="s">
        <v>2320</v>
      </c>
      <c r="AD616" s="574" t="s">
        <v>2321</v>
      </c>
      <c r="AE616" s="574" t="s">
        <v>1446</v>
      </c>
      <c r="AF616" s="574" t="s">
        <v>2321</v>
      </c>
      <c r="AG616" s="576">
        <v>0</v>
      </c>
      <c r="AH616" s="576">
        <v>37760</v>
      </c>
    </row>
    <row r="617" spans="1:34" customFormat="1" x14ac:dyDescent="0.25">
      <c r="A617" s="574" t="s">
        <v>2219</v>
      </c>
      <c r="B617" s="574" t="s">
        <v>2220</v>
      </c>
      <c r="C617" s="574" t="s">
        <v>2221</v>
      </c>
      <c r="D617" s="574" t="s">
        <v>2220</v>
      </c>
      <c r="E617" s="574" t="s">
        <v>2222</v>
      </c>
      <c r="F617" s="574" t="s">
        <v>2223</v>
      </c>
      <c r="G617" s="574" t="s">
        <v>2224</v>
      </c>
      <c r="H617" s="574" t="s">
        <v>2225</v>
      </c>
      <c r="I617" s="574" t="s">
        <v>2226</v>
      </c>
      <c r="J617" s="574" t="s">
        <v>2227</v>
      </c>
      <c r="K617" s="574" t="s">
        <v>2228</v>
      </c>
      <c r="L617" s="574" t="s">
        <v>2229</v>
      </c>
      <c r="M617" s="574" t="s">
        <v>2230</v>
      </c>
      <c r="N617" s="574" t="s">
        <v>2231</v>
      </c>
      <c r="O617" s="574" t="s">
        <v>2759</v>
      </c>
      <c r="P617" s="574" t="s">
        <v>2932</v>
      </c>
      <c r="Q617" s="574" t="s">
        <v>2234</v>
      </c>
      <c r="R617" s="574" t="s">
        <v>2225</v>
      </c>
      <c r="S617" s="574" t="s">
        <v>2235</v>
      </c>
      <c r="T617" s="574" t="s">
        <v>2236</v>
      </c>
      <c r="U617" s="574" t="s">
        <v>3124</v>
      </c>
      <c r="V617" s="574" t="s">
        <v>2238</v>
      </c>
      <c r="W617" s="574" t="s">
        <v>2239</v>
      </c>
      <c r="X617" s="574" t="s">
        <v>3125</v>
      </c>
      <c r="Y617" s="575" t="s">
        <v>3123</v>
      </c>
      <c r="Z617" s="575" t="s">
        <v>3123</v>
      </c>
      <c r="AA617" s="574" t="s">
        <v>1691</v>
      </c>
      <c r="AB617" s="574" t="s">
        <v>2297</v>
      </c>
      <c r="AC617" s="574" t="s">
        <v>2298</v>
      </c>
      <c r="AD617" s="574" t="s">
        <v>2299</v>
      </c>
      <c r="AE617" s="574" t="s">
        <v>1468</v>
      </c>
      <c r="AF617" s="574" t="s">
        <v>2299</v>
      </c>
      <c r="AG617" s="576">
        <v>0</v>
      </c>
      <c r="AH617" s="576">
        <v>7500</v>
      </c>
    </row>
    <row r="618" spans="1:34" customFormat="1" x14ac:dyDescent="0.25">
      <c r="A618" s="574" t="s">
        <v>2219</v>
      </c>
      <c r="B618" s="574" t="s">
        <v>2220</v>
      </c>
      <c r="C618" s="574" t="s">
        <v>2221</v>
      </c>
      <c r="D618" s="574" t="s">
        <v>2220</v>
      </c>
      <c r="E618" s="574" t="s">
        <v>2222</v>
      </c>
      <c r="F618" s="574" t="s">
        <v>2223</v>
      </c>
      <c r="G618" s="574" t="s">
        <v>2224</v>
      </c>
      <c r="H618" s="574" t="s">
        <v>2225</v>
      </c>
      <c r="I618" s="574" t="s">
        <v>2226</v>
      </c>
      <c r="J618" s="574" t="s">
        <v>2227</v>
      </c>
      <c r="K618" s="574" t="s">
        <v>2228</v>
      </c>
      <c r="L618" s="574" t="s">
        <v>2229</v>
      </c>
      <c r="M618" s="574" t="s">
        <v>2230</v>
      </c>
      <c r="N618" s="574" t="s">
        <v>2231</v>
      </c>
      <c r="O618" s="574" t="s">
        <v>2759</v>
      </c>
      <c r="P618" s="574" t="s">
        <v>2932</v>
      </c>
      <c r="Q618" s="574" t="s">
        <v>2234</v>
      </c>
      <c r="R618" s="574" t="s">
        <v>2225</v>
      </c>
      <c r="S618" s="574" t="s">
        <v>2235</v>
      </c>
      <c r="T618" s="574" t="s">
        <v>2236</v>
      </c>
      <c r="U618" s="574" t="s">
        <v>3126</v>
      </c>
      <c r="V618" s="574" t="s">
        <v>2238</v>
      </c>
      <c r="W618" s="574" t="s">
        <v>2239</v>
      </c>
      <c r="X618" s="574" t="s">
        <v>3127</v>
      </c>
      <c r="Y618" s="575" t="s">
        <v>3123</v>
      </c>
      <c r="Z618" s="575" t="s">
        <v>3123</v>
      </c>
      <c r="AA618" s="574" t="s">
        <v>1691</v>
      </c>
      <c r="AB618" s="574" t="s">
        <v>2297</v>
      </c>
      <c r="AC618" s="574" t="s">
        <v>2298</v>
      </c>
      <c r="AD618" s="574" t="s">
        <v>2299</v>
      </c>
      <c r="AE618" s="574" t="s">
        <v>1468</v>
      </c>
      <c r="AF618" s="574" t="s">
        <v>2299</v>
      </c>
      <c r="AG618" s="576">
        <v>0</v>
      </c>
      <c r="AH618" s="576">
        <v>246500</v>
      </c>
    </row>
    <row r="619" spans="1:34" customFormat="1" x14ac:dyDescent="0.25">
      <c r="A619" s="574" t="s">
        <v>2219</v>
      </c>
      <c r="B619" s="574" t="s">
        <v>2220</v>
      </c>
      <c r="C619" s="574" t="s">
        <v>2221</v>
      </c>
      <c r="D619" s="574" t="s">
        <v>2220</v>
      </c>
      <c r="E619" s="574" t="s">
        <v>2222</v>
      </c>
      <c r="F619" s="574" t="s">
        <v>2223</v>
      </c>
      <c r="G619" s="574" t="s">
        <v>2224</v>
      </c>
      <c r="H619" s="574" t="s">
        <v>2225</v>
      </c>
      <c r="I619" s="574" t="s">
        <v>2226</v>
      </c>
      <c r="J619" s="574" t="s">
        <v>2227</v>
      </c>
      <c r="K619" s="574" t="s">
        <v>2228</v>
      </c>
      <c r="L619" s="574" t="s">
        <v>2229</v>
      </c>
      <c r="M619" s="574" t="s">
        <v>2230</v>
      </c>
      <c r="N619" s="574" t="s">
        <v>2231</v>
      </c>
      <c r="O619" s="574" t="s">
        <v>2759</v>
      </c>
      <c r="P619" s="574" t="s">
        <v>2932</v>
      </c>
      <c r="Q619" s="574" t="s">
        <v>2234</v>
      </c>
      <c r="R619" s="574" t="s">
        <v>2225</v>
      </c>
      <c r="S619" s="574" t="s">
        <v>2235</v>
      </c>
      <c r="T619" s="574" t="s">
        <v>2236</v>
      </c>
      <c r="U619" s="574" t="s">
        <v>3128</v>
      </c>
      <c r="V619" s="574" t="s">
        <v>2238</v>
      </c>
      <c r="W619" s="574" t="s">
        <v>2239</v>
      </c>
      <c r="X619" s="574" t="s">
        <v>3129</v>
      </c>
      <c r="Y619" s="575" t="s">
        <v>2504</v>
      </c>
      <c r="Z619" s="575" t="s">
        <v>2504</v>
      </c>
      <c r="AA619" s="574" t="s">
        <v>1693</v>
      </c>
      <c r="AB619" s="574" t="s">
        <v>2319</v>
      </c>
      <c r="AC619" s="574" t="s">
        <v>2320</v>
      </c>
      <c r="AD619" s="574" t="s">
        <v>2321</v>
      </c>
      <c r="AE619" s="574" t="s">
        <v>1446</v>
      </c>
      <c r="AF619" s="574" t="s">
        <v>2321</v>
      </c>
      <c r="AG619" s="576">
        <v>0</v>
      </c>
      <c r="AH619" s="576">
        <v>109740</v>
      </c>
    </row>
    <row r="620" spans="1:34" customFormat="1" x14ac:dyDescent="0.25">
      <c r="A620" s="574" t="s">
        <v>2219</v>
      </c>
      <c r="B620" s="574" t="s">
        <v>2220</v>
      </c>
      <c r="C620" s="574" t="s">
        <v>2221</v>
      </c>
      <c r="D620" s="574" t="s">
        <v>2220</v>
      </c>
      <c r="E620" s="574" t="s">
        <v>2222</v>
      </c>
      <c r="F620" s="574" t="s">
        <v>2223</v>
      </c>
      <c r="G620" s="574" t="s">
        <v>2224</v>
      </c>
      <c r="H620" s="574" t="s">
        <v>2225</v>
      </c>
      <c r="I620" s="574" t="s">
        <v>2226</v>
      </c>
      <c r="J620" s="574" t="s">
        <v>2227</v>
      </c>
      <c r="K620" s="574" t="s">
        <v>2228</v>
      </c>
      <c r="L620" s="574" t="s">
        <v>2229</v>
      </c>
      <c r="M620" s="574" t="s">
        <v>2230</v>
      </c>
      <c r="N620" s="574" t="s">
        <v>2231</v>
      </c>
      <c r="O620" s="574" t="s">
        <v>2759</v>
      </c>
      <c r="P620" s="574" t="s">
        <v>2932</v>
      </c>
      <c r="Q620" s="574" t="s">
        <v>2234</v>
      </c>
      <c r="R620" s="574" t="s">
        <v>2225</v>
      </c>
      <c r="S620" s="574" t="s">
        <v>2235</v>
      </c>
      <c r="T620" s="574" t="s">
        <v>2236</v>
      </c>
      <c r="U620" s="574" t="s">
        <v>3130</v>
      </c>
      <c r="V620" s="574" t="s">
        <v>2238</v>
      </c>
      <c r="W620" s="574" t="s">
        <v>2239</v>
      </c>
      <c r="X620" s="574" t="s">
        <v>3131</v>
      </c>
      <c r="Y620" s="575" t="s">
        <v>2672</v>
      </c>
      <c r="Z620" s="575" t="s">
        <v>2672</v>
      </c>
      <c r="AA620" s="574" t="s">
        <v>2949</v>
      </c>
      <c r="AB620" s="574" t="s">
        <v>2950</v>
      </c>
      <c r="AC620" s="574" t="s">
        <v>2951</v>
      </c>
      <c r="AD620" s="574" t="s">
        <v>2952</v>
      </c>
      <c r="AE620" s="574" t="s">
        <v>2953</v>
      </c>
      <c r="AF620" s="574" t="s">
        <v>2952</v>
      </c>
      <c r="AG620" s="576">
        <v>0</v>
      </c>
      <c r="AH620" s="576">
        <v>307620.09999999998</v>
      </c>
    </row>
    <row r="621" spans="1:34" customFormat="1" x14ac:dyDescent="0.25">
      <c r="A621" s="574" t="s">
        <v>2219</v>
      </c>
      <c r="B621" s="574" t="s">
        <v>2220</v>
      </c>
      <c r="C621" s="574" t="s">
        <v>2221</v>
      </c>
      <c r="D621" s="574" t="s">
        <v>2220</v>
      </c>
      <c r="E621" s="574" t="s">
        <v>2222</v>
      </c>
      <c r="F621" s="574" t="s">
        <v>2223</v>
      </c>
      <c r="G621" s="574" t="s">
        <v>2224</v>
      </c>
      <c r="H621" s="574" t="s">
        <v>2225</v>
      </c>
      <c r="I621" s="574" t="s">
        <v>2226</v>
      </c>
      <c r="J621" s="574" t="s">
        <v>2227</v>
      </c>
      <c r="K621" s="574" t="s">
        <v>2228</v>
      </c>
      <c r="L621" s="574" t="s">
        <v>2229</v>
      </c>
      <c r="M621" s="574" t="s">
        <v>2230</v>
      </c>
      <c r="N621" s="574" t="s">
        <v>2231</v>
      </c>
      <c r="O621" s="574" t="s">
        <v>2759</v>
      </c>
      <c r="P621" s="574" t="s">
        <v>2932</v>
      </c>
      <c r="Q621" s="574" t="s">
        <v>2234</v>
      </c>
      <c r="R621" s="574" t="s">
        <v>2225</v>
      </c>
      <c r="S621" s="574" t="s">
        <v>2235</v>
      </c>
      <c r="T621" s="574" t="s">
        <v>2236</v>
      </c>
      <c r="U621" s="574" t="s">
        <v>3132</v>
      </c>
      <c r="V621" s="574" t="s">
        <v>2238</v>
      </c>
      <c r="W621" s="574" t="s">
        <v>2239</v>
      </c>
      <c r="X621" s="574" t="s">
        <v>3133</v>
      </c>
      <c r="Y621" s="575" t="s">
        <v>2507</v>
      </c>
      <c r="Z621" s="575" t="s">
        <v>2507</v>
      </c>
      <c r="AA621" s="574" t="s">
        <v>1691</v>
      </c>
      <c r="AB621" s="574" t="s">
        <v>2297</v>
      </c>
      <c r="AC621" s="574" t="s">
        <v>2298</v>
      </c>
      <c r="AD621" s="574" t="s">
        <v>2299</v>
      </c>
      <c r="AE621" s="574" t="s">
        <v>1468</v>
      </c>
      <c r="AF621" s="574" t="s">
        <v>2299</v>
      </c>
      <c r="AG621" s="576">
        <v>0</v>
      </c>
      <c r="AH621" s="576">
        <v>17184</v>
      </c>
    </row>
    <row r="622" spans="1:34" customFormat="1" x14ac:dyDescent="0.25">
      <c r="A622" s="574" t="s">
        <v>2219</v>
      </c>
      <c r="B622" s="574" t="s">
        <v>2220</v>
      </c>
      <c r="C622" s="574" t="s">
        <v>2221</v>
      </c>
      <c r="D622" s="574" t="s">
        <v>2220</v>
      </c>
      <c r="E622" s="574" t="s">
        <v>2222</v>
      </c>
      <c r="F622" s="574" t="s">
        <v>2223</v>
      </c>
      <c r="G622" s="574" t="s">
        <v>2224</v>
      </c>
      <c r="H622" s="574" t="s">
        <v>2225</v>
      </c>
      <c r="I622" s="574" t="s">
        <v>2226</v>
      </c>
      <c r="J622" s="574" t="s">
        <v>2227</v>
      </c>
      <c r="K622" s="574" t="s">
        <v>2228</v>
      </c>
      <c r="L622" s="574" t="s">
        <v>2229</v>
      </c>
      <c r="M622" s="574" t="s">
        <v>2230</v>
      </c>
      <c r="N622" s="574" t="s">
        <v>2231</v>
      </c>
      <c r="O622" s="574" t="s">
        <v>2759</v>
      </c>
      <c r="P622" s="574" t="s">
        <v>2932</v>
      </c>
      <c r="Q622" s="574" t="s">
        <v>2234</v>
      </c>
      <c r="R622" s="574" t="s">
        <v>2225</v>
      </c>
      <c r="S622" s="574" t="s">
        <v>2235</v>
      </c>
      <c r="T622" s="574" t="s">
        <v>2236</v>
      </c>
      <c r="U622" s="574" t="s">
        <v>3134</v>
      </c>
      <c r="V622" s="574" t="s">
        <v>2238</v>
      </c>
      <c r="W622" s="574" t="s">
        <v>2239</v>
      </c>
      <c r="X622" s="574" t="s">
        <v>3135</v>
      </c>
      <c r="Y622" s="575" t="s">
        <v>2507</v>
      </c>
      <c r="Z622" s="575" t="s">
        <v>2507</v>
      </c>
      <c r="AA622" s="574" t="s">
        <v>1693</v>
      </c>
      <c r="AB622" s="574" t="s">
        <v>2319</v>
      </c>
      <c r="AC622" s="574" t="s">
        <v>2320</v>
      </c>
      <c r="AD622" s="574" t="s">
        <v>2321</v>
      </c>
      <c r="AE622" s="574" t="s">
        <v>1446</v>
      </c>
      <c r="AF622" s="574" t="s">
        <v>2321</v>
      </c>
      <c r="AG622" s="576">
        <v>0</v>
      </c>
      <c r="AH622" s="576">
        <v>89970</v>
      </c>
    </row>
    <row r="623" spans="1:34" customFormat="1" x14ac:dyDescent="0.25">
      <c r="A623" s="574" t="s">
        <v>2219</v>
      </c>
      <c r="B623" s="574" t="s">
        <v>2220</v>
      </c>
      <c r="C623" s="574" t="s">
        <v>2221</v>
      </c>
      <c r="D623" s="574" t="s">
        <v>2220</v>
      </c>
      <c r="E623" s="574" t="s">
        <v>2222</v>
      </c>
      <c r="F623" s="574" t="s">
        <v>2223</v>
      </c>
      <c r="G623" s="574" t="s">
        <v>2224</v>
      </c>
      <c r="H623" s="574" t="s">
        <v>2225</v>
      </c>
      <c r="I623" s="574" t="s">
        <v>2226</v>
      </c>
      <c r="J623" s="574" t="s">
        <v>2227</v>
      </c>
      <c r="K623" s="574" t="s">
        <v>2228</v>
      </c>
      <c r="L623" s="574" t="s">
        <v>2229</v>
      </c>
      <c r="M623" s="574" t="s">
        <v>2230</v>
      </c>
      <c r="N623" s="574" t="s">
        <v>2231</v>
      </c>
      <c r="O623" s="574" t="s">
        <v>2759</v>
      </c>
      <c r="P623" s="574" t="s">
        <v>2932</v>
      </c>
      <c r="Q623" s="574" t="s">
        <v>2234</v>
      </c>
      <c r="R623" s="574" t="s">
        <v>2225</v>
      </c>
      <c r="S623" s="574" t="s">
        <v>2235</v>
      </c>
      <c r="T623" s="574" t="s">
        <v>2236</v>
      </c>
      <c r="U623" s="574" t="s">
        <v>3136</v>
      </c>
      <c r="V623" s="574" t="s">
        <v>2238</v>
      </c>
      <c r="W623" s="574" t="s">
        <v>2239</v>
      </c>
      <c r="X623" s="574" t="s">
        <v>3137</v>
      </c>
      <c r="Y623" s="575" t="s">
        <v>2507</v>
      </c>
      <c r="Z623" s="575" t="s">
        <v>2507</v>
      </c>
      <c r="AA623" s="574" t="s">
        <v>1693</v>
      </c>
      <c r="AB623" s="574" t="s">
        <v>2319</v>
      </c>
      <c r="AC623" s="574" t="s">
        <v>2320</v>
      </c>
      <c r="AD623" s="574" t="s">
        <v>2321</v>
      </c>
      <c r="AE623" s="574" t="s">
        <v>1446</v>
      </c>
      <c r="AF623" s="574" t="s">
        <v>2321</v>
      </c>
      <c r="AG623" s="576">
        <v>0</v>
      </c>
      <c r="AH623" s="576">
        <v>212400</v>
      </c>
    </row>
    <row r="624" spans="1:34" customFormat="1" x14ac:dyDescent="0.25">
      <c r="A624" s="574" t="s">
        <v>2219</v>
      </c>
      <c r="B624" s="574" t="s">
        <v>2220</v>
      </c>
      <c r="C624" s="574" t="s">
        <v>2221</v>
      </c>
      <c r="D624" s="574" t="s">
        <v>2220</v>
      </c>
      <c r="E624" s="574" t="s">
        <v>2222</v>
      </c>
      <c r="F624" s="574" t="s">
        <v>2223</v>
      </c>
      <c r="G624" s="574" t="s">
        <v>2224</v>
      </c>
      <c r="H624" s="574" t="s">
        <v>2225</v>
      </c>
      <c r="I624" s="574" t="s">
        <v>2226</v>
      </c>
      <c r="J624" s="574" t="s">
        <v>2227</v>
      </c>
      <c r="K624" s="574" t="s">
        <v>2228</v>
      </c>
      <c r="L624" s="574" t="s">
        <v>2229</v>
      </c>
      <c r="M624" s="574" t="s">
        <v>2230</v>
      </c>
      <c r="N624" s="574" t="s">
        <v>2231</v>
      </c>
      <c r="O624" s="574" t="s">
        <v>2759</v>
      </c>
      <c r="P624" s="574" t="s">
        <v>2932</v>
      </c>
      <c r="Q624" s="574" t="s">
        <v>2234</v>
      </c>
      <c r="R624" s="574" t="s">
        <v>2225</v>
      </c>
      <c r="S624" s="574" t="s">
        <v>2235</v>
      </c>
      <c r="T624" s="574" t="s">
        <v>2236</v>
      </c>
      <c r="U624" s="574" t="s">
        <v>3138</v>
      </c>
      <c r="V624" s="574" t="s">
        <v>2238</v>
      </c>
      <c r="W624" s="574" t="s">
        <v>2239</v>
      </c>
      <c r="X624" s="574" t="s">
        <v>3139</v>
      </c>
      <c r="Y624" s="575" t="s">
        <v>2507</v>
      </c>
      <c r="Z624" s="575" t="s">
        <v>2507</v>
      </c>
      <c r="AA624" s="574" t="s">
        <v>1691</v>
      </c>
      <c r="AB624" s="574" t="s">
        <v>2297</v>
      </c>
      <c r="AC624" s="574" t="s">
        <v>2298</v>
      </c>
      <c r="AD624" s="574" t="s">
        <v>2299</v>
      </c>
      <c r="AE624" s="574" t="s">
        <v>1468</v>
      </c>
      <c r="AF624" s="574" t="s">
        <v>2299</v>
      </c>
      <c r="AG624" s="576">
        <v>0</v>
      </c>
      <c r="AH624" s="576">
        <v>200000</v>
      </c>
    </row>
    <row r="625" spans="1:34" customFormat="1" x14ac:dyDescent="0.25">
      <c r="A625" s="574" t="s">
        <v>2219</v>
      </c>
      <c r="B625" s="574" t="s">
        <v>2220</v>
      </c>
      <c r="C625" s="574" t="s">
        <v>2221</v>
      </c>
      <c r="D625" s="574" t="s">
        <v>2220</v>
      </c>
      <c r="E625" s="574" t="s">
        <v>2222</v>
      </c>
      <c r="F625" s="574" t="s">
        <v>2223</v>
      </c>
      <c r="G625" s="574" t="s">
        <v>2224</v>
      </c>
      <c r="H625" s="574" t="s">
        <v>2225</v>
      </c>
      <c r="I625" s="574" t="s">
        <v>2226</v>
      </c>
      <c r="J625" s="574" t="s">
        <v>2227</v>
      </c>
      <c r="K625" s="574" t="s">
        <v>2228</v>
      </c>
      <c r="L625" s="574" t="s">
        <v>2229</v>
      </c>
      <c r="M625" s="574" t="s">
        <v>2230</v>
      </c>
      <c r="N625" s="574" t="s">
        <v>2231</v>
      </c>
      <c r="O625" s="574" t="s">
        <v>2759</v>
      </c>
      <c r="P625" s="574" t="s">
        <v>2932</v>
      </c>
      <c r="Q625" s="574" t="s">
        <v>2234</v>
      </c>
      <c r="R625" s="574" t="s">
        <v>2225</v>
      </c>
      <c r="S625" s="574" t="s">
        <v>2235</v>
      </c>
      <c r="T625" s="574" t="s">
        <v>2236</v>
      </c>
      <c r="U625" s="574" t="s">
        <v>3140</v>
      </c>
      <c r="V625" s="574" t="s">
        <v>2238</v>
      </c>
      <c r="W625" s="574" t="s">
        <v>2239</v>
      </c>
      <c r="X625" s="574" t="s">
        <v>3141</v>
      </c>
      <c r="Y625" s="575" t="s">
        <v>2507</v>
      </c>
      <c r="Z625" s="575" t="s">
        <v>2507</v>
      </c>
      <c r="AA625" s="574" t="s">
        <v>1693</v>
      </c>
      <c r="AB625" s="574" t="s">
        <v>2319</v>
      </c>
      <c r="AC625" s="574" t="s">
        <v>2320</v>
      </c>
      <c r="AD625" s="574" t="s">
        <v>2321</v>
      </c>
      <c r="AE625" s="574" t="s">
        <v>1446</v>
      </c>
      <c r="AF625" s="574" t="s">
        <v>2321</v>
      </c>
      <c r="AG625" s="576">
        <v>0</v>
      </c>
      <c r="AH625" s="576">
        <v>137175</v>
      </c>
    </row>
    <row r="626" spans="1:34" customFormat="1" x14ac:dyDescent="0.25">
      <c r="A626" s="574" t="s">
        <v>2219</v>
      </c>
      <c r="B626" s="574" t="s">
        <v>2220</v>
      </c>
      <c r="C626" s="574" t="s">
        <v>2221</v>
      </c>
      <c r="D626" s="574" t="s">
        <v>2220</v>
      </c>
      <c r="E626" s="574" t="s">
        <v>2222</v>
      </c>
      <c r="F626" s="574" t="s">
        <v>2223</v>
      </c>
      <c r="G626" s="574" t="s">
        <v>2224</v>
      </c>
      <c r="H626" s="574" t="s">
        <v>2225</v>
      </c>
      <c r="I626" s="574" t="s">
        <v>2226</v>
      </c>
      <c r="J626" s="574" t="s">
        <v>2227</v>
      </c>
      <c r="K626" s="574" t="s">
        <v>2228</v>
      </c>
      <c r="L626" s="574" t="s">
        <v>2229</v>
      </c>
      <c r="M626" s="574" t="s">
        <v>2230</v>
      </c>
      <c r="N626" s="574" t="s">
        <v>2231</v>
      </c>
      <c r="O626" s="574" t="s">
        <v>2759</v>
      </c>
      <c r="P626" s="574" t="s">
        <v>2932</v>
      </c>
      <c r="Q626" s="574" t="s">
        <v>2234</v>
      </c>
      <c r="R626" s="574" t="s">
        <v>2225</v>
      </c>
      <c r="S626" s="574" t="s">
        <v>2235</v>
      </c>
      <c r="T626" s="574" t="s">
        <v>2236</v>
      </c>
      <c r="U626" s="574" t="s">
        <v>3142</v>
      </c>
      <c r="V626" s="574" t="s">
        <v>2238</v>
      </c>
      <c r="W626" s="574" t="s">
        <v>2239</v>
      </c>
      <c r="X626" s="574" t="s">
        <v>3143</v>
      </c>
      <c r="Y626" s="575" t="s">
        <v>2507</v>
      </c>
      <c r="Z626" s="575" t="s">
        <v>2507</v>
      </c>
      <c r="AA626" s="574" t="s">
        <v>1693</v>
      </c>
      <c r="AB626" s="574" t="s">
        <v>2319</v>
      </c>
      <c r="AC626" s="574" t="s">
        <v>2320</v>
      </c>
      <c r="AD626" s="574" t="s">
        <v>2321</v>
      </c>
      <c r="AE626" s="574" t="s">
        <v>1446</v>
      </c>
      <c r="AF626" s="574" t="s">
        <v>2321</v>
      </c>
      <c r="AG626" s="576">
        <v>0</v>
      </c>
      <c r="AH626" s="576">
        <v>241900</v>
      </c>
    </row>
    <row r="627" spans="1:34" customFormat="1" x14ac:dyDescent="0.25">
      <c r="A627" s="574" t="s">
        <v>2219</v>
      </c>
      <c r="B627" s="574" t="s">
        <v>2220</v>
      </c>
      <c r="C627" s="574" t="s">
        <v>2221</v>
      </c>
      <c r="D627" s="574" t="s">
        <v>2220</v>
      </c>
      <c r="E627" s="574" t="s">
        <v>2222</v>
      </c>
      <c r="F627" s="574" t="s">
        <v>2223</v>
      </c>
      <c r="G627" s="574" t="s">
        <v>2224</v>
      </c>
      <c r="H627" s="574" t="s">
        <v>2225</v>
      </c>
      <c r="I627" s="574" t="s">
        <v>2226</v>
      </c>
      <c r="J627" s="574" t="s">
        <v>2227</v>
      </c>
      <c r="K627" s="574" t="s">
        <v>2228</v>
      </c>
      <c r="L627" s="574" t="s">
        <v>2229</v>
      </c>
      <c r="M627" s="574" t="s">
        <v>2230</v>
      </c>
      <c r="N627" s="574" t="s">
        <v>2231</v>
      </c>
      <c r="O627" s="574" t="s">
        <v>2759</v>
      </c>
      <c r="P627" s="574" t="s">
        <v>2932</v>
      </c>
      <c r="Q627" s="574" t="s">
        <v>2234</v>
      </c>
      <c r="R627" s="574" t="s">
        <v>2225</v>
      </c>
      <c r="S627" s="574" t="s">
        <v>2235</v>
      </c>
      <c r="T627" s="574" t="s">
        <v>2236</v>
      </c>
      <c r="U627" s="574" t="s">
        <v>3144</v>
      </c>
      <c r="V627" s="574" t="s">
        <v>2238</v>
      </c>
      <c r="W627" s="574" t="s">
        <v>2239</v>
      </c>
      <c r="X627" s="574" t="s">
        <v>3145</v>
      </c>
      <c r="Y627" s="575" t="s">
        <v>2507</v>
      </c>
      <c r="Z627" s="575" t="s">
        <v>2507</v>
      </c>
      <c r="AA627" s="574" t="s">
        <v>1691</v>
      </c>
      <c r="AB627" s="574" t="s">
        <v>2297</v>
      </c>
      <c r="AC627" s="574" t="s">
        <v>2298</v>
      </c>
      <c r="AD627" s="574" t="s">
        <v>2299</v>
      </c>
      <c r="AE627" s="574" t="s">
        <v>1468</v>
      </c>
      <c r="AF627" s="574" t="s">
        <v>2299</v>
      </c>
      <c r="AG627" s="576">
        <v>0</v>
      </c>
      <c r="AH627" s="576">
        <v>85629.6</v>
      </c>
    </row>
    <row r="628" spans="1:34" customFormat="1" x14ac:dyDescent="0.25">
      <c r="A628" s="574" t="s">
        <v>2219</v>
      </c>
      <c r="B628" s="574" t="s">
        <v>2220</v>
      </c>
      <c r="C628" s="574" t="s">
        <v>2221</v>
      </c>
      <c r="D628" s="574" t="s">
        <v>2220</v>
      </c>
      <c r="E628" s="574" t="s">
        <v>2222</v>
      </c>
      <c r="F628" s="574" t="s">
        <v>2223</v>
      </c>
      <c r="G628" s="574" t="s">
        <v>2224</v>
      </c>
      <c r="H628" s="574" t="s">
        <v>2225</v>
      </c>
      <c r="I628" s="574" t="s">
        <v>2226</v>
      </c>
      <c r="J628" s="574" t="s">
        <v>2227</v>
      </c>
      <c r="K628" s="574" t="s">
        <v>2228</v>
      </c>
      <c r="L628" s="574" t="s">
        <v>2229</v>
      </c>
      <c r="M628" s="574" t="s">
        <v>2230</v>
      </c>
      <c r="N628" s="574" t="s">
        <v>2231</v>
      </c>
      <c r="O628" s="574" t="s">
        <v>2759</v>
      </c>
      <c r="P628" s="574" t="s">
        <v>2932</v>
      </c>
      <c r="Q628" s="574" t="s">
        <v>2234</v>
      </c>
      <c r="R628" s="574" t="s">
        <v>2225</v>
      </c>
      <c r="S628" s="574" t="s">
        <v>2235</v>
      </c>
      <c r="T628" s="574" t="s">
        <v>2236</v>
      </c>
      <c r="U628" s="574" t="s">
        <v>3146</v>
      </c>
      <c r="V628" s="574" t="s">
        <v>2238</v>
      </c>
      <c r="W628" s="574" t="s">
        <v>2239</v>
      </c>
      <c r="X628" s="574" t="s">
        <v>3147</v>
      </c>
      <c r="Y628" s="575" t="s">
        <v>2673</v>
      </c>
      <c r="Z628" s="575" t="s">
        <v>2673</v>
      </c>
      <c r="AA628" s="574" t="s">
        <v>1691</v>
      </c>
      <c r="AB628" s="574" t="s">
        <v>2297</v>
      </c>
      <c r="AC628" s="574" t="s">
        <v>2298</v>
      </c>
      <c r="AD628" s="574" t="s">
        <v>2299</v>
      </c>
      <c r="AE628" s="574" t="s">
        <v>1468</v>
      </c>
      <c r="AF628" s="574" t="s">
        <v>2299</v>
      </c>
      <c r="AG628" s="576">
        <v>0</v>
      </c>
      <c r="AH628" s="576">
        <v>210000</v>
      </c>
    </row>
    <row r="629" spans="1:34" customFormat="1" x14ac:dyDescent="0.25">
      <c r="A629" s="574" t="s">
        <v>2219</v>
      </c>
      <c r="B629" s="574" t="s">
        <v>2220</v>
      </c>
      <c r="C629" s="574" t="s">
        <v>2221</v>
      </c>
      <c r="D629" s="574" t="s">
        <v>2220</v>
      </c>
      <c r="E629" s="574" t="s">
        <v>2222</v>
      </c>
      <c r="F629" s="574" t="s">
        <v>2223</v>
      </c>
      <c r="G629" s="574" t="s">
        <v>2224</v>
      </c>
      <c r="H629" s="574" t="s">
        <v>2225</v>
      </c>
      <c r="I629" s="574" t="s">
        <v>2226</v>
      </c>
      <c r="J629" s="574" t="s">
        <v>2227</v>
      </c>
      <c r="K629" s="574" t="s">
        <v>2228</v>
      </c>
      <c r="L629" s="574" t="s">
        <v>2229</v>
      </c>
      <c r="M629" s="574" t="s">
        <v>2230</v>
      </c>
      <c r="N629" s="574" t="s">
        <v>2231</v>
      </c>
      <c r="O629" s="574" t="s">
        <v>2759</v>
      </c>
      <c r="P629" s="574" t="s">
        <v>2932</v>
      </c>
      <c r="Q629" s="574" t="s">
        <v>2234</v>
      </c>
      <c r="R629" s="574" t="s">
        <v>2225</v>
      </c>
      <c r="S629" s="574" t="s">
        <v>2235</v>
      </c>
      <c r="T629" s="574" t="s">
        <v>2236</v>
      </c>
      <c r="U629" s="574" t="s">
        <v>3148</v>
      </c>
      <c r="V629" s="574" t="s">
        <v>2238</v>
      </c>
      <c r="W629" s="574" t="s">
        <v>2239</v>
      </c>
      <c r="X629" s="574" t="s">
        <v>3149</v>
      </c>
      <c r="Y629" s="575" t="s">
        <v>2512</v>
      </c>
      <c r="Z629" s="575" t="s">
        <v>2512</v>
      </c>
      <c r="AA629" s="574" t="s">
        <v>1693</v>
      </c>
      <c r="AB629" s="574" t="s">
        <v>2319</v>
      </c>
      <c r="AC629" s="574" t="s">
        <v>2320</v>
      </c>
      <c r="AD629" s="574" t="s">
        <v>2321</v>
      </c>
      <c r="AE629" s="574" t="s">
        <v>1446</v>
      </c>
      <c r="AF629" s="574" t="s">
        <v>2321</v>
      </c>
      <c r="AG629" s="576">
        <v>0</v>
      </c>
      <c r="AH629" s="576">
        <v>64900</v>
      </c>
    </row>
    <row r="630" spans="1:34" customFormat="1" x14ac:dyDescent="0.25">
      <c r="A630" s="574" t="s">
        <v>2219</v>
      </c>
      <c r="B630" s="574" t="s">
        <v>2220</v>
      </c>
      <c r="C630" s="574" t="s">
        <v>2221</v>
      </c>
      <c r="D630" s="574" t="s">
        <v>2220</v>
      </c>
      <c r="E630" s="574" t="s">
        <v>2222</v>
      </c>
      <c r="F630" s="574" t="s">
        <v>2223</v>
      </c>
      <c r="G630" s="574" t="s">
        <v>2224</v>
      </c>
      <c r="H630" s="574" t="s">
        <v>2225</v>
      </c>
      <c r="I630" s="574" t="s">
        <v>2226</v>
      </c>
      <c r="J630" s="574" t="s">
        <v>2227</v>
      </c>
      <c r="K630" s="574" t="s">
        <v>2228</v>
      </c>
      <c r="L630" s="574" t="s">
        <v>2229</v>
      </c>
      <c r="M630" s="574" t="s">
        <v>2230</v>
      </c>
      <c r="N630" s="574" t="s">
        <v>2231</v>
      </c>
      <c r="O630" s="574" t="s">
        <v>2759</v>
      </c>
      <c r="P630" s="574" t="s">
        <v>2932</v>
      </c>
      <c r="Q630" s="574" t="s">
        <v>2234</v>
      </c>
      <c r="R630" s="574" t="s">
        <v>2225</v>
      </c>
      <c r="S630" s="574" t="s">
        <v>2235</v>
      </c>
      <c r="T630" s="574" t="s">
        <v>2236</v>
      </c>
      <c r="U630" s="574" t="s">
        <v>3150</v>
      </c>
      <c r="V630" s="574" t="s">
        <v>2238</v>
      </c>
      <c r="W630" s="574" t="s">
        <v>2239</v>
      </c>
      <c r="X630" s="574" t="s">
        <v>3151</v>
      </c>
      <c r="Y630" s="575" t="s">
        <v>2512</v>
      </c>
      <c r="Z630" s="575" t="s">
        <v>2512</v>
      </c>
      <c r="AA630" s="574" t="s">
        <v>1693</v>
      </c>
      <c r="AB630" s="574" t="s">
        <v>2319</v>
      </c>
      <c r="AC630" s="574" t="s">
        <v>2320</v>
      </c>
      <c r="AD630" s="574" t="s">
        <v>2321</v>
      </c>
      <c r="AE630" s="574" t="s">
        <v>1446</v>
      </c>
      <c r="AF630" s="574" t="s">
        <v>2321</v>
      </c>
      <c r="AG630" s="576">
        <v>0</v>
      </c>
      <c r="AH630" s="576">
        <v>202134</v>
      </c>
    </row>
    <row r="631" spans="1:34" customFormat="1" x14ac:dyDescent="0.25">
      <c r="A631" s="574" t="s">
        <v>2219</v>
      </c>
      <c r="B631" s="574" t="s">
        <v>2220</v>
      </c>
      <c r="C631" s="574" t="s">
        <v>2221</v>
      </c>
      <c r="D631" s="574" t="s">
        <v>2220</v>
      </c>
      <c r="E631" s="574" t="s">
        <v>2222</v>
      </c>
      <c r="F631" s="574" t="s">
        <v>2223</v>
      </c>
      <c r="G631" s="574" t="s">
        <v>2224</v>
      </c>
      <c r="H631" s="574" t="s">
        <v>2225</v>
      </c>
      <c r="I631" s="574" t="s">
        <v>2226</v>
      </c>
      <c r="J631" s="574" t="s">
        <v>2227</v>
      </c>
      <c r="K631" s="574" t="s">
        <v>2228</v>
      </c>
      <c r="L631" s="574" t="s">
        <v>2229</v>
      </c>
      <c r="M631" s="574" t="s">
        <v>2230</v>
      </c>
      <c r="N631" s="574" t="s">
        <v>2231</v>
      </c>
      <c r="O631" s="574" t="s">
        <v>2759</v>
      </c>
      <c r="P631" s="574" t="s">
        <v>2932</v>
      </c>
      <c r="Q631" s="574" t="s">
        <v>2234</v>
      </c>
      <c r="R631" s="574" t="s">
        <v>2225</v>
      </c>
      <c r="S631" s="574" t="s">
        <v>2235</v>
      </c>
      <c r="T631" s="574" t="s">
        <v>2236</v>
      </c>
      <c r="U631" s="574" t="s">
        <v>3152</v>
      </c>
      <c r="V631" s="574" t="s">
        <v>2238</v>
      </c>
      <c r="W631" s="574" t="s">
        <v>2239</v>
      </c>
      <c r="X631" s="574" t="s">
        <v>3153</v>
      </c>
      <c r="Y631" s="575" t="s">
        <v>2512</v>
      </c>
      <c r="Z631" s="575" t="s">
        <v>2512</v>
      </c>
      <c r="AA631" s="574" t="s">
        <v>1693</v>
      </c>
      <c r="AB631" s="574" t="s">
        <v>2319</v>
      </c>
      <c r="AC631" s="574" t="s">
        <v>2320</v>
      </c>
      <c r="AD631" s="574" t="s">
        <v>2321</v>
      </c>
      <c r="AE631" s="574" t="s">
        <v>1446</v>
      </c>
      <c r="AF631" s="574" t="s">
        <v>2321</v>
      </c>
      <c r="AG631" s="576">
        <v>0</v>
      </c>
      <c r="AH631" s="576">
        <v>108000</v>
      </c>
    </row>
    <row r="632" spans="1:34" customFormat="1" x14ac:dyDescent="0.25">
      <c r="A632" s="574" t="s">
        <v>2219</v>
      </c>
      <c r="B632" s="574" t="s">
        <v>2220</v>
      </c>
      <c r="C632" s="574" t="s">
        <v>2221</v>
      </c>
      <c r="D632" s="574" t="s">
        <v>2220</v>
      </c>
      <c r="E632" s="574" t="s">
        <v>2222</v>
      </c>
      <c r="F632" s="574" t="s">
        <v>2223</v>
      </c>
      <c r="G632" s="574" t="s">
        <v>2224</v>
      </c>
      <c r="H632" s="574" t="s">
        <v>2225</v>
      </c>
      <c r="I632" s="574" t="s">
        <v>2226</v>
      </c>
      <c r="J632" s="574" t="s">
        <v>2227</v>
      </c>
      <c r="K632" s="574" t="s">
        <v>2228</v>
      </c>
      <c r="L632" s="574" t="s">
        <v>2229</v>
      </c>
      <c r="M632" s="574" t="s">
        <v>2230</v>
      </c>
      <c r="N632" s="574" t="s">
        <v>2231</v>
      </c>
      <c r="O632" s="574" t="s">
        <v>2759</v>
      </c>
      <c r="P632" s="574" t="s">
        <v>2932</v>
      </c>
      <c r="Q632" s="574" t="s">
        <v>2234</v>
      </c>
      <c r="R632" s="574" t="s">
        <v>2225</v>
      </c>
      <c r="S632" s="574" t="s">
        <v>2235</v>
      </c>
      <c r="T632" s="574" t="s">
        <v>2236</v>
      </c>
      <c r="U632" s="574" t="s">
        <v>3154</v>
      </c>
      <c r="V632" s="574" t="s">
        <v>2238</v>
      </c>
      <c r="W632" s="574" t="s">
        <v>2239</v>
      </c>
      <c r="X632" s="574" t="s">
        <v>3155</v>
      </c>
      <c r="Y632" s="575" t="s">
        <v>2517</v>
      </c>
      <c r="Z632" s="575" t="s">
        <v>2517</v>
      </c>
      <c r="AA632" s="574" t="s">
        <v>1693</v>
      </c>
      <c r="AB632" s="574" t="s">
        <v>2319</v>
      </c>
      <c r="AC632" s="574" t="s">
        <v>2320</v>
      </c>
      <c r="AD632" s="574" t="s">
        <v>2321</v>
      </c>
      <c r="AE632" s="574" t="s">
        <v>1446</v>
      </c>
      <c r="AF632" s="574" t="s">
        <v>2321</v>
      </c>
      <c r="AG632" s="576">
        <v>0</v>
      </c>
      <c r="AH632" s="576">
        <v>210000</v>
      </c>
    </row>
    <row r="633" spans="1:34" customFormat="1" x14ac:dyDescent="0.25">
      <c r="A633" s="574" t="s">
        <v>2219</v>
      </c>
      <c r="B633" s="574" t="s">
        <v>2220</v>
      </c>
      <c r="C633" s="574" t="s">
        <v>2221</v>
      </c>
      <c r="D633" s="574" t="s">
        <v>2220</v>
      </c>
      <c r="E633" s="574" t="s">
        <v>2222</v>
      </c>
      <c r="F633" s="574" t="s">
        <v>2223</v>
      </c>
      <c r="G633" s="574" t="s">
        <v>2224</v>
      </c>
      <c r="H633" s="574" t="s">
        <v>2225</v>
      </c>
      <c r="I633" s="574" t="s">
        <v>2226</v>
      </c>
      <c r="J633" s="574" t="s">
        <v>2227</v>
      </c>
      <c r="K633" s="574" t="s">
        <v>2228</v>
      </c>
      <c r="L633" s="574" t="s">
        <v>2229</v>
      </c>
      <c r="M633" s="574" t="s">
        <v>2230</v>
      </c>
      <c r="N633" s="574" t="s">
        <v>2231</v>
      </c>
      <c r="O633" s="574" t="s">
        <v>2759</v>
      </c>
      <c r="P633" s="574" t="s">
        <v>2932</v>
      </c>
      <c r="Q633" s="574" t="s">
        <v>2234</v>
      </c>
      <c r="R633" s="574" t="s">
        <v>2225</v>
      </c>
      <c r="S633" s="574" t="s">
        <v>2235</v>
      </c>
      <c r="T633" s="574" t="s">
        <v>2236</v>
      </c>
      <c r="U633" s="574" t="s">
        <v>3156</v>
      </c>
      <c r="V633" s="574" t="s">
        <v>2238</v>
      </c>
      <c r="W633" s="574" t="s">
        <v>2239</v>
      </c>
      <c r="X633" s="574" t="s">
        <v>3157</v>
      </c>
      <c r="Y633" s="575" t="s">
        <v>2517</v>
      </c>
      <c r="Z633" s="575" t="s">
        <v>2517</v>
      </c>
      <c r="AA633" s="574" t="s">
        <v>1693</v>
      </c>
      <c r="AB633" s="574" t="s">
        <v>2319</v>
      </c>
      <c r="AC633" s="574" t="s">
        <v>2402</v>
      </c>
      <c r="AD633" s="574" t="s">
        <v>2403</v>
      </c>
      <c r="AE633" s="574" t="s">
        <v>1486</v>
      </c>
      <c r="AF633" s="574" t="s">
        <v>2403</v>
      </c>
      <c r="AG633" s="576">
        <v>0</v>
      </c>
      <c r="AH633" s="576">
        <v>240012</v>
      </c>
    </row>
    <row r="634" spans="1:34" customFormat="1" x14ac:dyDescent="0.25">
      <c r="A634" s="574" t="s">
        <v>2219</v>
      </c>
      <c r="B634" s="574" t="s">
        <v>2220</v>
      </c>
      <c r="C634" s="574" t="s">
        <v>2221</v>
      </c>
      <c r="D634" s="574" t="s">
        <v>2220</v>
      </c>
      <c r="E634" s="574" t="s">
        <v>2222</v>
      </c>
      <c r="F634" s="574" t="s">
        <v>2223</v>
      </c>
      <c r="G634" s="574" t="s">
        <v>2224</v>
      </c>
      <c r="H634" s="574" t="s">
        <v>2225</v>
      </c>
      <c r="I634" s="574" t="s">
        <v>2226</v>
      </c>
      <c r="J634" s="574" t="s">
        <v>2227</v>
      </c>
      <c r="K634" s="574" t="s">
        <v>2228</v>
      </c>
      <c r="L634" s="574" t="s">
        <v>2229</v>
      </c>
      <c r="M634" s="574" t="s">
        <v>2230</v>
      </c>
      <c r="N634" s="574" t="s">
        <v>2231</v>
      </c>
      <c r="O634" s="574" t="s">
        <v>2759</v>
      </c>
      <c r="P634" s="574" t="s">
        <v>2932</v>
      </c>
      <c r="Q634" s="574" t="s">
        <v>2234</v>
      </c>
      <c r="R634" s="574" t="s">
        <v>2225</v>
      </c>
      <c r="S634" s="574" t="s">
        <v>2235</v>
      </c>
      <c r="T634" s="574" t="s">
        <v>2236</v>
      </c>
      <c r="U634" s="574" t="s">
        <v>2526</v>
      </c>
      <c r="V634" s="574" t="s">
        <v>2238</v>
      </c>
      <c r="W634" s="574" t="s">
        <v>2239</v>
      </c>
      <c r="X634" s="574" t="s">
        <v>2527</v>
      </c>
      <c r="Y634" s="575" t="s">
        <v>2528</v>
      </c>
      <c r="Z634" s="575" t="s">
        <v>2528</v>
      </c>
      <c r="AA634" s="574" t="s">
        <v>1693</v>
      </c>
      <c r="AB634" s="574" t="s">
        <v>2319</v>
      </c>
      <c r="AC634" s="574" t="s">
        <v>3004</v>
      </c>
      <c r="AD634" s="574" t="s">
        <v>125</v>
      </c>
      <c r="AE634" s="574" t="s">
        <v>1655</v>
      </c>
      <c r="AF634" s="574" t="s">
        <v>125</v>
      </c>
      <c r="AG634" s="576">
        <v>0</v>
      </c>
      <c r="AH634" s="576">
        <v>223746.57</v>
      </c>
    </row>
    <row r="635" spans="1:34" customFormat="1" x14ac:dyDescent="0.25">
      <c r="A635" s="574" t="s">
        <v>2219</v>
      </c>
      <c r="B635" s="574" t="s">
        <v>2220</v>
      </c>
      <c r="C635" s="574" t="s">
        <v>2221</v>
      </c>
      <c r="D635" s="574" t="s">
        <v>2220</v>
      </c>
      <c r="E635" s="574" t="s">
        <v>2222</v>
      </c>
      <c r="F635" s="574" t="s">
        <v>2223</v>
      </c>
      <c r="G635" s="574" t="s">
        <v>2224</v>
      </c>
      <c r="H635" s="574" t="s">
        <v>2225</v>
      </c>
      <c r="I635" s="574" t="s">
        <v>2226</v>
      </c>
      <c r="J635" s="574" t="s">
        <v>2227</v>
      </c>
      <c r="K635" s="574" t="s">
        <v>2228</v>
      </c>
      <c r="L635" s="574" t="s">
        <v>2229</v>
      </c>
      <c r="M635" s="574" t="s">
        <v>2230</v>
      </c>
      <c r="N635" s="574" t="s">
        <v>2231</v>
      </c>
      <c r="O635" s="574" t="s">
        <v>2759</v>
      </c>
      <c r="P635" s="574" t="s">
        <v>2932</v>
      </c>
      <c r="Q635" s="574" t="s">
        <v>2234</v>
      </c>
      <c r="R635" s="574" t="s">
        <v>2225</v>
      </c>
      <c r="S635" s="574" t="s">
        <v>2235</v>
      </c>
      <c r="T635" s="574" t="s">
        <v>2236</v>
      </c>
      <c r="U635" s="574" t="s">
        <v>3158</v>
      </c>
      <c r="V635" s="574" t="s">
        <v>2238</v>
      </c>
      <c r="W635" s="574" t="s">
        <v>2239</v>
      </c>
      <c r="X635" s="574" t="s">
        <v>3159</v>
      </c>
      <c r="Y635" s="575" t="s">
        <v>2528</v>
      </c>
      <c r="Z635" s="575" t="s">
        <v>2528</v>
      </c>
      <c r="AA635" s="574" t="s">
        <v>1691</v>
      </c>
      <c r="AB635" s="574" t="s">
        <v>2297</v>
      </c>
      <c r="AC635" s="574" t="s">
        <v>2298</v>
      </c>
      <c r="AD635" s="574" t="s">
        <v>2299</v>
      </c>
      <c r="AE635" s="574" t="s">
        <v>1468</v>
      </c>
      <c r="AF635" s="574" t="s">
        <v>2299</v>
      </c>
      <c r="AG635" s="576">
        <v>0</v>
      </c>
      <c r="AH635" s="576">
        <v>177500</v>
      </c>
    </row>
    <row r="636" spans="1:34" customFormat="1" x14ac:dyDescent="0.25">
      <c r="A636" s="574" t="s">
        <v>2219</v>
      </c>
      <c r="B636" s="574" t="s">
        <v>2220</v>
      </c>
      <c r="C636" s="574" t="s">
        <v>2221</v>
      </c>
      <c r="D636" s="574" t="s">
        <v>2220</v>
      </c>
      <c r="E636" s="574" t="s">
        <v>2222</v>
      </c>
      <c r="F636" s="574" t="s">
        <v>2223</v>
      </c>
      <c r="G636" s="574" t="s">
        <v>2224</v>
      </c>
      <c r="H636" s="574" t="s">
        <v>2225</v>
      </c>
      <c r="I636" s="574" t="s">
        <v>2226</v>
      </c>
      <c r="J636" s="574" t="s">
        <v>2227</v>
      </c>
      <c r="K636" s="574" t="s">
        <v>2228</v>
      </c>
      <c r="L636" s="574" t="s">
        <v>2229</v>
      </c>
      <c r="M636" s="574" t="s">
        <v>2230</v>
      </c>
      <c r="N636" s="574" t="s">
        <v>2231</v>
      </c>
      <c r="O636" s="574" t="s">
        <v>2759</v>
      </c>
      <c r="P636" s="574" t="s">
        <v>2932</v>
      </c>
      <c r="Q636" s="574" t="s">
        <v>2234</v>
      </c>
      <c r="R636" s="574" t="s">
        <v>2225</v>
      </c>
      <c r="S636" s="574" t="s">
        <v>2235</v>
      </c>
      <c r="T636" s="574" t="s">
        <v>2236</v>
      </c>
      <c r="U636" s="574" t="s">
        <v>3160</v>
      </c>
      <c r="V636" s="574" t="s">
        <v>2238</v>
      </c>
      <c r="W636" s="574" t="s">
        <v>2239</v>
      </c>
      <c r="X636" s="574" t="s">
        <v>3161</v>
      </c>
      <c r="Y636" s="575" t="s">
        <v>2528</v>
      </c>
      <c r="Z636" s="575" t="s">
        <v>2528</v>
      </c>
      <c r="AA636" s="574" t="s">
        <v>1693</v>
      </c>
      <c r="AB636" s="574" t="s">
        <v>2319</v>
      </c>
      <c r="AC636" s="574" t="s">
        <v>2320</v>
      </c>
      <c r="AD636" s="574" t="s">
        <v>2321</v>
      </c>
      <c r="AE636" s="574" t="s">
        <v>1446</v>
      </c>
      <c r="AF636" s="574" t="s">
        <v>2321</v>
      </c>
      <c r="AG636" s="576">
        <v>0</v>
      </c>
      <c r="AH636" s="576">
        <v>240000</v>
      </c>
    </row>
    <row r="637" spans="1:34" customFormat="1" x14ac:dyDescent="0.25">
      <c r="A637" s="574" t="s">
        <v>2219</v>
      </c>
      <c r="B637" s="574" t="s">
        <v>2220</v>
      </c>
      <c r="C637" s="574" t="s">
        <v>2221</v>
      </c>
      <c r="D637" s="574" t="s">
        <v>2220</v>
      </c>
      <c r="E637" s="574" t="s">
        <v>2222</v>
      </c>
      <c r="F637" s="574" t="s">
        <v>2223</v>
      </c>
      <c r="G637" s="574" t="s">
        <v>2224</v>
      </c>
      <c r="H637" s="574" t="s">
        <v>2225</v>
      </c>
      <c r="I637" s="574" t="s">
        <v>2226</v>
      </c>
      <c r="J637" s="574" t="s">
        <v>2227</v>
      </c>
      <c r="K637" s="574" t="s">
        <v>2228</v>
      </c>
      <c r="L637" s="574" t="s">
        <v>2229</v>
      </c>
      <c r="M637" s="574" t="s">
        <v>2230</v>
      </c>
      <c r="N637" s="574" t="s">
        <v>2231</v>
      </c>
      <c r="O637" s="574" t="s">
        <v>2759</v>
      </c>
      <c r="P637" s="574" t="s">
        <v>2932</v>
      </c>
      <c r="Q637" s="574" t="s">
        <v>2234</v>
      </c>
      <c r="R637" s="574" t="s">
        <v>2225</v>
      </c>
      <c r="S637" s="574" t="s">
        <v>2235</v>
      </c>
      <c r="T637" s="574" t="s">
        <v>2236</v>
      </c>
      <c r="U637" s="574" t="s">
        <v>3162</v>
      </c>
      <c r="V637" s="574" t="s">
        <v>2238</v>
      </c>
      <c r="W637" s="574" t="s">
        <v>2239</v>
      </c>
      <c r="X637" s="574" t="s">
        <v>3163</v>
      </c>
      <c r="Y637" s="575" t="s">
        <v>2528</v>
      </c>
      <c r="Z637" s="575" t="s">
        <v>2528</v>
      </c>
      <c r="AA637" s="574" t="s">
        <v>1693</v>
      </c>
      <c r="AB637" s="574" t="s">
        <v>2319</v>
      </c>
      <c r="AC637" s="574" t="s">
        <v>2320</v>
      </c>
      <c r="AD637" s="574" t="s">
        <v>2321</v>
      </c>
      <c r="AE637" s="574" t="s">
        <v>1446</v>
      </c>
      <c r="AF637" s="574" t="s">
        <v>2321</v>
      </c>
      <c r="AG637" s="576">
        <v>0</v>
      </c>
      <c r="AH637" s="576">
        <v>88500</v>
      </c>
    </row>
    <row r="638" spans="1:34" customFormat="1" x14ac:dyDescent="0.25">
      <c r="A638" s="574" t="s">
        <v>2219</v>
      </c>
      <c r="B638" s="574" t="s">
        <v>2220</v>
      </c>
      <c r="C638" s="574" t="s">
        <v>2221</v>
      </c>
      <c r="D638" s="574" t="s">
        <v>2220</v>
      </c>
      <c r="E638" s="574" t="s">
        <v>2222</v>
      </c>
      <c r="F638" s="574" t="s">
        <v>2223</v>
      </c>
      <c r="G638" s="574" t="s">
        <v>2224</v>
      </c>
      <c r="H638" s="574" t="s">
        <v>2225</v>
      </c>
      <c r="I638" s="574" t="s">
        <v>2226</v>
      </c>
      <c r="J638" s="574" t="s">
        <v>2227</v>
      </c>
      <c r="K638" s="574" t="s">
        <v>2228</v>
      </c>
      <c r="L638" s="574" t="s">
        <v>2229</v>
      </c>
      <c r="M638" s="574" t="s">
        <v>2230</v>
      </c>
      <c r="N638" s="574" t="s">
        <v>2231</v>
      </c>
      <c r="O638" s="574" t="s">
        <v>2759</v>
      </c>
      <c r="P638" s="574" t="s">
        <v>2932</v>
      </c>
      <c r="Q638" s="574" t="s">
        <v>2234</v>
      </c>
      <c r="R638" s="574" t="s">
        <v>2225</v>
      </c>
      <c r="S638" s="574" t="s">
        <v>2235</v>
      </c>
      <c r="T638" s="574" t="s">
        <v>2236</v>
      </c>
      <c r="U638" s="574" t="s">
        <v>3164</v>
      </c>
      <c r="V638" s="574" t="s">
        <v>2238</v>
      </c>
      <c r="W638" s="574" t="s">
        <v>2239</v>
      </c>
      <c r="X638" s="574" t="s">
        <v>3165</v>
      </c>
      <c r="Y638" s="575" t="s">
        <v>2528</v>
      </c>
      <c r="Z638" s="575" t="s">
        <v>2528</v>
      </c>
      <c r="AA638" s="574" t="s">
        <v>1688</v>
      </c>
      <c r="AB638" s="574" t="s">
        <v>2430</v>
      </c>
      <c r="AC638" s="574" t="s">
        <v>2431</v>
      </c>
      <c r="AD638" s="574" t="s">
        <v>99</v>
      </c>
      <c r="AE638" s="574" t="s">
        <v>1531</v>
      </c>
      <c r="AF638" s="574" t="s">
        <v>99</v>
      </c>
      <c r="AG638" s="576">
        <v>0</v>
      </c>
      <c r="AH638" s="576">
        <v>572725</v>
      </c>
    </row>
    <row r="639" spans="1:34" customFormat="1" x14ac:dyDescent="0.25">
      <c r="A639" s="574" t="s">
        <v>2219</v>
      </c>
      <c r="B639" s="574" t="s">
        <v>2220</v>
      </c>
      <c r="C639" s="574" t="s">
        <v>2221</v>
      </c>
      <c r="D639" s="574" t="s">
        <v>2220</v>
      </c>
      <c r="E639" s="574" t="s">
        <v>2222</v>
      </c>
      <c r="F639" s="574" t="s">
        <v>2223</v>
      </c>
      <c r="G639" s="574" t="s">
        <v>2224</v>
      </c>
      <c r="H639" s="574" t="s">
        <v>2225</v>
      </c>
      <c r="I639" s="574" t="s">
        <v>2226</v>
      </c>
      <c r="J639" s="574" t="s">
        <v>2227</v>
      </c>
      <c r="K639" s="574" t="s">
        <v>2228</v>
      </c>
      <c r="L639" s="574" t="s">
        <v>2229</v>
      </c>
      <c r="M639" s="574" t="s">
        <v>2230</v>
      </c>
      <c r="N639" s="574" t="s">
        <v>2231</v>
      </c>
      <c r="O639" s="574" t="s">
        <v>2759</v>
      </c>
      <c r="P639" s="574" t="s">
        <v>2932</v>
      </c>
      <c r="Q639" s="574" t="s">
        <v>2234</v>
      </c>
      <c r="R639" s="574" t="s">
        <v>2225</v>
      </c>
      <c r="S639" s="574" t="s">
        <v>2235</v>
      </c>
      <c r="T639" s="574" t="s">
        <v>2236</v>
      </c>
      <c r="U639" s="574" t="s">
        <v>3166</v>
      </c>
      <c r="V639" s="574" t="s">
        <v>2238</v>
      </c>
      <c r="W639" s="574" t="s">
        <v>2239</v>
      </c>
      <c r="X639" s="574" t="s">
        <v>3167</v>
      </c>
      <c r="Y639" s="575" t="s">
        <v>2675</v>
      </c>
      <c r="Z639" s="575" t="s">
        <v>2675</v>
      </c>
      <c r="AA639" s="574" t="s">
        <v>1693</v>
      </c>
      <c r="AB639" s="574" t="s">
        <v>2319</v>
      </c>
      <c r="AC639" s="574" t="s">
        <v>2320</v>
      </c>
      <c r="AD639" s="574" t="s">
        <v>2321</v>
      </c>
      <c r="AE639" s="574" t="s">
        <v>1446</v>
      </c>
      <c r="AF639" s="574" t="s">
        <v>2321</v>
      </c>
      <c r="AG639" s="576">
        <v>0</v>
      </c>
      <c r="AH639" s="576">
        <v>448800</v>
      </c>
    </row>
    <row r="640" spans="1:34" customFormat="1" x14ac:dyDescent="0.25">
      <c r="A640" s="574" t="s">
        <v>2219</v>
      </c>
      <c r="B640" s="574" t="s">
        <v>2220</v>
      </c>
      <c r="C640" s="574" t="s">
        <v>2221</v>
      </c>
      <c r="D640" s="574" t="s">
        <v>2220</v>
      </c>
      <c r="E640" s="574" t="s">
        <v>2222</v>
      </c>
      <c r="F640" s="574" t="s">
        <v>2223</v>
      </c>
      <c r="G640" s="574" t="s">
        <v>2224</v>
      </c>
      <c r="H640" s="574" t="s">
        <v>2225</v>
      </c>
      <c r="I640" s="574" t="s">
        <v>2226</v>
      </c>
      <c r="J640" s="574" t="s">
        <v>2227</v>
      </c>
      <c r="K640" s="574" t="s">
        <v>2228</v>
      </c>
      <c r="L640" s="574" t="s">
        <v>2229</v>
      </c>
      <c r="M640" s="574" t="s">
        <v>2230</v>
      </c>
      <c r="N640" s="574" t="s">
        <v>2231</v>
      </c>
      <c r="O640" s="574" t="s">
        <v>2759</v>
      </c>
      <c r="P640" s="574" t="s">
        <v>2932</v>
      </c>
      <c r="Q640" s="574" t="s">
        <v>2234</v>
      </c>
      <c r="R640" s="574" t="s">
        <v>2225</v>
      </c>
      <c r="S640" s="574" t="s">
        <v>2235</v>
      </c>
      <c r="T640" s="574" t="s">
        <v>2236</v>
      </c>
      <c r="U640" s="574" t="s">
        <v>3168</v>
      </c>
      <c r="V640" s="574" t="s">
        <v>2238</v>
      </c>
      <c r="W640" s="574" t="s">
        <v>2239</v>
      </c>
      <c r="X640" s="574" t="s">
        <v>3169</v>
      </c>
      <c r="Y640" s="575" t="s">
        <v>2675</v>
      </c>
      <c r="Z640" s="575" t="s">
        <v>2675</v>
      </c>
      <c r="AA640" s="574" t="s">
        <v>1693</v>
      </c>
      <c r="AB640" s="574" t="s">
        <v>2319</v>
      </c>
      <c r="AC640" s="574" t="s">
        <v>2320</v>
      </c>
      <c r="AD640" s="574" t="s">
        <v>2321</v>
      </c>
      <c r="AE640" s="574" t="s">
        <v>1446</v>
      </c>
      <c r="AF640" s="574" t="s">
        <v>2321</v>
      </c>
      <c r="AG640" s="576">
        <v>0</v>
      </c>
      <c r="AH640" s="576">
        <v>283200</v>
      </c>
    </row>
    <row r="641" spans="1:34" customFormat="1" x14ac:dyDescent="0.25">
      <c r="A641" s="574" t="s">
        <v>2219</v>
      </c>
      <c r="B641" s="574" t="s">
        <v>2220</v>
      </c>
      <c r="C641" s="574" t="s">
        <v>2221</v>
      </c>
      <c r="D641" s="574" t="s">
        <v>2220</v>
      </c>
      <c r="E641" s="574" t="s">
        <v>2222</v>
      </c>
      <c r="F641" s="574" t="s">
        <v>2223</v>
      </c>
      <c r="G641" s="574" t="s">
        <v>2224</v>
      </c>
      <c r="H641" s="574" t="s">
        <v>2225</v>
      </c>
      <c r="I641" s="574" t="s">
        <v>2226</v>
      </c>
      <c r="J641" s="574" t="s">
        <v>2227</v>
      </c>
      <c r="K641" s="574" t="s">
        <v>2228</v>
      </c>
      <c r="L641" s="574" t="s">
        <v>2229</v>
      </c>
      <c r="M641" s="574" t="s">
        <v>2230</v>
      </c>
      <c r="N641" s="574" t="s">
        <v>2231</v>
      </c>
      <c r="O641" s="574" t="s">
        <v>2759</v>
      </c>
      <c r="P641" s="574" t="s">
        <v>2932</v>
      </c>
      <c r="Q641" s="574" t="s">
        <v>2234</v>
      </c>
      <c r="R641" s="574" t="s">
        <v>2225</v>
      </c>
      <c r="S641" s="574" t="s">
        <v>2235</v>
      </c>
      <c r="T641" s="574" t="s">
        <v>2236</v>
      </c>
      <c r="U641" s="574" t="s">
        <v>3170</v>
      </c>
      <c r="V641" s="574" t="s">
        <v>2238</v>
      </c>
      <c r="W641" s="574" t="s">
        <v>2239</v>
      </c>
      <c r="X641" s="574" t="s">
        <v>3171</v>
      </c>
      <c r="Y641" s="575" t="s">
        <v>2675</v>
      </c>
      <c r="Z641" s="575" t="s">
        <v>2675</v>
      </c>
      <c r="AA641" s="574" t="s">
        <v>1693</v>
      </c>
      <c r="AB641" s="574" t="s">
        <v>2319</v>
      </c>
      <c r="AC641" s="574" t="s">
        <v>2320</v>
      </c>
      <c r="AD641" s="574" t="s">
        <v>2321</v>
      </c>
      <c r="AE641" s="574" t="s">
        <v>1446</v>
      </c>
      <c r="AF641" s="574" t="s">
        <v>2321</v>
      </c>
      <c r="AG641" s="576">
        <v>0</v>
      </c>
      <c r="AH641" s="576">
        <v>204000</v>
      </c>
    </row>
    <row r="642" spans="1:34" customFormat="1" x14ac:dyDescent="0.25">
      <c r="A642" s="574" t="s">
        <v>2219</v>
      </c>
      <c r="B642" s="574" t="s">
        <v>2220</v>
      </c>
      <c r="C642" s="574" t="s">
        <v>2221</v>
      </c>
      <c r="D642" s="574" t="s">
        <v>2220</v>
      </c>
      <c r="E642" s="574" t="s">
        <v>2222</v>
      </c>
      <c r="F642" s="574" t="s">
        <v>2223</v>
      </c>
      <c r="G642" s="574" t="s">
        <v>2224</v>
      </c>
      <c r="H642" s="574" t="s">
        <v>2225</v>
      </c>
      <c r="I642" s="574" t="s">
        <v>2226</v>
      </c>
      <c r="J642" s="574" t="s">
        <v>2227</v>
      </c>
      <c r="K642" s="574" t="s">
        <v>2228</v>
      </c>
      <c r="L642" s="574" t="s">
        <v>2229</v>
      </c>
      <c r="M642" s="574" t="s">
        <v>2230</v>
      </c>
      <c r="N642" s="574" t="s">
        <v>2231</v>
      </c>
      <c r="O642" s="574" t="s">
        <v>2759</v>
      </c>
      <c r="P642" s="574" t="s">
        <v>2932</v>
      </c>
      <c r="Q642" s="574" t="s">
        <v>2234</v>
      </c>
      <c r="R642" s="574" t="s">
        <v>2225</v>
      </c>
      <c r="S642" s="574" t="s">
        <v>2235</v>
      </c>
      <c r="T642" s="574" t="s">
        <v>2236</v>
      </c>
      <c r="U642" s="574" t="s">
        <v>3172</v>
      </c>
      <c r="V642" s="574" t="s">
        <v>2238</v>
      </c>
      <c r="W642" s="574" t="s">
        <v>2239</v>
      </c>
      <c r="X642" s="574" t="s">
        <v>3173</v>
      </c>
      <c r="Y642" s="575" t="s">
        <v>2675</v>
      </c>
      <c r="Z642" s="575" t="s">
        <v>2675</v>
      </c>
      <c r="AA642" s="574" t="s">
        <v>1692</v>
      </c>
      <c r="AB642" s="574" t="s">
        <v>2307</v>
      </c>
      <c r="AC642" s="574" t="s">
        <v>2308</v>
      </c>
      <c r="AD642" s="574" t="s">
        <v>2309</v>
      </c>
      <c r="AE642" s="574" t="s">
        <v>1490</v>
      </c>
      <c r="AF642" s="574" t="s">
        <v>176</v>
      </c>
      <c r="AG642" s="576">
        <v>0</v>
      </c>
      <c r="AH642" s="576">
        <v>228000</v>
      </c>
    </row>
    <row r="643" spans="1:34" customFormat="1" x14ac:dyDescent="0.25">
      <c r="A643" s="574" t="s">
        <v>2219</v>
      </c>
      <c r="B643" s="574" t="s">
        <v>2220</v>
      </c>
      <c r="C643" s="574" t="s">
        <v>2221</v>
      </c>
      <c r="D643" s="574" t="s">
        <v>2220</v>
      </c>
      <c r="E643" s="574" t="s">
        <v>2222</v>
      </c>
      <c r="F643" s="574" t="s">
        <v>2223</v>
      </c>
      <c r="G643" s="574" t="s">
        <v>2224</v>
      </c>
      <c r="H643" s="574" t="s">
        <v>2225</v>
      </c>
      <c r="I643" s="574" t="s">
        <v>2226</v>
      </c>
      <c r="J643" s="574" t="s">
        <v>2227</v>
      </c>
      <c r="K643" s="574" t="s">
        <v>2228</v>
      </c>
      <c r="L643" s="574" t="s">
        <v>2229</v>
      </c>
      <c r="M643" s="574" t="s">
        <v>2230</v>
      </c>
      <c r="N643" s="574" t="s">
        <v>2231</v>
      </c>
      <c r="O643" s="574" t="s">
        <v>2759</v>
      </c>
      <c r="P643" s="574" t="s">
        <v>2932</v>
      </c>
      <c r="Q643" s="574" t="s">
        <v>2234</v>
      </c>
      <c r="R643" s="574" t="s">
        <v>2225</v>
      </c>
      <c r="S643" s="574" t="s">
        <v>2235</v>
      </c>
      <c r="T643" s="574" t="s">
        <v>2236</v>
      </c>
      <c r="U643" s="574" t="s">
        <v>2532</v>
      </c>
      <c r="V643" s="574" t="s">
        <v>2238</v>
      </c>
      <c r="W643" s="574" t="s">
        <v>2239</v>
      </c>
      <c r="X643" s="574" t="s">
        <v>2533</v>
      </c>
      <c r="Y643" s="575" t="s">
        <v>2531</v>
      </c>
      <c r="Z643" s="575" t="s">
        <v>2531</v>
      </c>
      <c r="AA643" s="574" t="s">
        <v>1688</v>
      </c>
      <c r="AB643" s="574" t="s">
        <v>2430</v>
      </c>
      <c r="AC643" s="574" t="s">
        <v>2431</v>
      </c>
      <c r="AD643" s="574" t="s">
        <v>99</v>
      </c>
      <c r="AE643" s="574" t="s">
        <v>1531</v>
      </c>
      <c r="AF643" s="574" t="s">
        <v>99</v>
      </c>
      <c r="AG643" s="576">
        <v>0</v>
      </c>
      <c r="AH643" s="576">
        <v>533958.91</v>
      </c>
    </row>
    <row r="644" spans="1:34" customFormat="1" x14ac:dyDescent="0.25">
      <c r="A644" s="574" t="s">
        <v>2219</v>
      </c>
      <c r="B644" s="574" t="s">
        <v>2220</v>
      </c>
      <c r="C644" s="574" t="s">
        <v>2221</v>
      </c>
      <c r="D644" s="574" t="s">
        <v>2220</v>
      </c>
      <c r="E644" s="574" t="s">
        <v>2222</v>
      </c>
      <c r="F644" s="574" t="s">
        <v>2223</v>
      </c>
      <c r="G644" s="574" t="s">
        <v>2224</v>
      </c>
      <c r="H644" s="574" t="s">
        <v>2225</v>
      </c>
      <c r="I644" s="574" t="s">
        <v>2226</v>
      </c>
      <c r="J644" s="574" t="s">
        <v>2227</v>
      </c>
      <c r="K644" s="574" t="s">
        <v>2228</v>
      </c>
      <c r="L644" s="574" t="s">
        <v>2229</v>
      </c>
      <c r="M644" s="574" t="s">
        <v>2230</v>
      </c>
      <c r="N644" s="574" t="s">
        <v>2231</v>
      </c>
      <c r="O644" s="574" t="s">
        <v>2759</v>
      </c>
      <c r="P644" s="574" t="s">
        <v>2932</v>
      </c>
      <c r="Q644" s="574" t="s">
        <v>2234</v>
      </c>
      <c r="R644" s="574" t="s">
        <v>2225</v>
      </c>
      <c r="S644" s="574" t="s">
        <v>2235</v>
      </c>
      <c r="T644" s="574" t="s">
        <v>2236</v>
      </c>
      <c r="U644" s="574" t="s">
        <v>2532</v>
      </c>
      <c r="V644" s="574" t="s">
        <v>2238</v>
      </c>
      <c r="W644" s="574" t="s">
        <v>2239</v>
      </c>
      <c r="X644" s="574" t="s">
        <v>2533</v>
      </c>
      <c r="Y644" s="575" t="s">
        <v>2531</v>
      </c>
      <c r="Z644" s="575" t="s">
        <v>2531</v>
      </c>
      <c r="AA644" s="574" t="s">
        <v>2949</v>
      </c>
      <c r="AB644" s="574" t="s">
        <v>2950</v>
      </c>
      <c r="AC644" s="574" t="s">
        <v>2951</v>
      </c>
      <c r="AD644" s="574" t="s">
        <v>2952</v>
      </c>
      <c r="AE644" s="574" t="s">
        <v>2953</v>
      </c>
      <c r="AF644" s="574" t="s">
        <v>2952</v>
      </c>
      <c r="AG644" s="576">
        <v>0</v>
      </c>
      <c r="AH644" s="576">
        <v>7537.84</v>
      </c>
    </row>
    <row r="645" spans="1:34" customFormat="1" x14ac:dyDescent="0.25">
      <c r="A645" s="574" t="s">
        <v>2219</v>
      </c>
      <c r="B645" s="574" t="s">
        <v>2220</v>
      </c>
      <c r="C645" s="574" t="s">
        <v>2221</v>
      </c>
      <c r="D645" s="574" t="s">
        <v>2220</v>
      </c>
      <c r="E645" s="574" t="s">
        <v>2222</v>
      </c>
      <c r="F645" s="574" t="s">
        <v>2223</v>
      </c>
      <c r="G645" s="574" t="s">
        <v>2224</v>
      </c>
      <c r="H645" s="574" t="s">
        <v>2225</v>
      </c>
      <c r="I645" s="574" t="s">
        <v>2226</v>
      </c>
      <c r="J645" s="574" t="s">
        <v>2227</v>
      </c>
      <c r="K645" s="574" t="s">
        <v>2228</v>
      </c>
      <c r="L645" s="574" t="s">
        <v>2229</v>
      </c>
      <c r="M645" s="574" t="s">
        <v>2230</v>
      </c>
      <c r="N645" s="574" t="s">
        <v>2231</v>
      </c>
      <c r="O645" s="574" t="s">
        <v>2759</v>
      </c>
      <c r="P645" s="574" t="s">
        <v>2932</v>
      </c>
      <c r="Q645" s="574" t="s">
        <v>2234</v>
      </c>
      <c r="R645" s="574" t="s">
        <v>2225</v>
      </c>
      <c r="S645" s="574" t="s">
        <v>2235</v>
      </c>
      <c r="T645" s="574" t="s">
        <v>2236</v>
      </c>
      <c r="U645" s="574" t="s">
        <v>2532</v>
      </c>
      <c r="V645" s="574" t="s">
        <v>2238</v>
      </c>
      <c r="W645" s="574" t="s">
        <v>2239</v>
      </c>
      <c r="X645" s="574" t="s">
        <v>2533</v>
      </c>
      <c r="Y645" s="575" t="s">
        <v>2531</v>
      </c>
      <c r="Z645" s="575" t="s">
        <v>2531</v>
      </c>
      <c r="AA645" s="574" t="s">
        <v>1693</v>
      </c>
      <c r="AB645" s="574" t="s">
        <v>2319</v>
      </c>
      <c r="AC645" s="574" t="s">
        <v>2987</v>
      </c>
      <c r="AD645" s="574" t="s">
        <v>2988</v>
      </c>
      <c r="AE645" s="574" t="s">
        <v>2989</v>
      </c>
      <c r="AF645" s="574" t="s">
        <v>2990</v>
      </c>
      <c r="AG645" s="576">
        <v>0</v>
      </c>
      <c r="AH645" s="576">
        <v>9676</v>
      </c>
    </row>
    <row r="646" spans="1:34" customFormat="1" x14ac:dyDescent="0.25">
      <c r="A646" s="574" t="s">
        <v>2219</v>
      </c>
      <c r="B646" s="574" t="s">
        <v>2220</v>
      </c>
      <c r="C646" s="574" t="s">
        <v>2221</v>
      </c>
      <c r="D646" s="574" t="s">
        <v>2220</v>
      </c>
      <c r="E646" s="574" t="s">
        <v>2222</v>
      </c>
      <c r="F646" s="574" t="s">
        <v>2223</v>
      </c>
      <c r="G646" s="574" t="s">
        <v>2224</v>
      </c>
      <c r="H646" s="574" t="s">
        <v>2225</v>
      </c>
      <c r="I646" s="574" t="s">
        <v>2226</v>
      </c>
      <c r="J646" s="574" t="s">
        <v>2227</v>
      </c>
      <c r="K646" s="574" t="s">
        <v>2228</v>
      </c>
      <c r="L646" s="574" t="s">
        <v>2229</v>
      </c>
      <c r="M646" s="574" t="s">
        <v>2230</v>
      </c>
      <c r="N646" s="574" t="s">
        <v>2231</v>
      </c>
      <c r="O646" s="574" t="s">
        <v>2759</v>
      </c>
      <c r="P646" s="574" t="s">
        <v>2932</v>
      </c>
      <c r="Q646" s="574" t="s">
        <v>2234</v>
      </c>
      <c r="R646" s="574" t="s">
        <v>2225</v>
      </c>
      <c r="S646" s="574" t="s">
        <v>2235</v>
      </c>
      <c r="T646" s="574" t="s">
        <v>2236</v>
      </c>
      <c r="U646" s="574" t="s">
        <v>3174</v>
      </c>
      <c r="V646" s="574" t="s">
        <v>2238</v>
      </c>
      <c r="W646" s="574" t="s">
        <v>2239</v>
      </c>
      <c r="X646" s="574" t="s">
        <v>3175</v>
      </c>
      <c r="Y646" s="575" t="s">
        <v>2531</v>
      </c>
      <c r="Z646" s="575" t="s">
        <v>2531</v>
      </c>
      <c r="AA646" s="574" t="s">
        <v>1688</v>
      </c>
      <c r="AB646" s="574" t="s">
        <v>2430</v>
      </c>
      <c r="AC646" s="574" t="s">
        <v>2431</v>
      </c>
      <c r="AD646" s="574" t="s">
        <v>99</v>
      </c>
      <c r="AE646" s="574" t="s">
        <v>1531</v>
      </c>
      <c r="AF646" s="574" t="s">
        <v>99</v>
      </c>
      <c r="AG646" s="576">
        <v>0</v>
      </c>
      <c r="AH646" s="576">
        <v>76832</v>
      </c>
    </row>
    <row r="647" spans="1:34" customFormat="1" x14ac:dyDescent="0.25">
      <c r="A647" s="574" t="s">
        <v>2219</v>
      </c>
      <c r="B647" s="574" t="s">
        <v>2220</v>
      </c>
      <c r="C647" s="574" t="s">
        <v>2221</v>
      </c>
      <c r="D647" s="574" t="s">
        <v>2220</v>
      </c>
      <c r="E647" s="574" t="s">
        <v>2222</v>
      </c>
      <c r="F647" s="574" t="s">
        <v>2223</v>
      </c>
      <c r="G647" s="574" t="s">
        <v>2224</v>
      </c>
      <c r="H647" s="574" t="s">
        <v>2225</v>
      </c>
      <c r="I647" s="574" t="s">
        <v>2226</v>
      </c>
      <c r="J647" s="574" t="s">
        <v>2227</v>
      </c>
      <c r="K647" s="574" t="s">
        <v>2228</v>
      </c>
      <c r="L647" s="574" t="s">
        <v>2229</v>
      </c>
      <c r="M647" s="574" t="s">
        <v>2230</v>
      </c>
      <c r="N647" s="574" t="s">
        <v>2231</v>
      </c>
      <c r="O647" s="574" t="s">
        <v>2759</v>
      </c>
      <c r="P647" s="574" t="s">
        <v>2932</v>
      </c>
      <c r="Q647" s="574" t="s">
        <v>2234</v>
      </c>
      <c r="R647" s="574" t="s">
        <v>2225</v>
      </c>
      <c r="S647" s="574" t="s">
        <v>2235</v>
      </c>
      <c r="T647" s="574" t="s">
        <v>2236</v>
      </c>
      <c r="U647" s="574" t="s">
        <v>3176</v>
      </c>
      <c r="V647" s="574" t="s">
        <v>2238</v>
      </c>
      <c r="W647" s="574" t="s">
        <v>2239</v>
      </c>
      <c r="X647" s="574" t="s">
        <v>3177</v>
      </c>
      <c r="Y647" s="575" t="s">
        <v>2543</v>
      </c>
      <c r="Z647" s="575" t="s">
        <v>2543</v>
      </c>
      <c r="AA647" s="574" t="s">
        <v>1691</v>
      </c>
      <c r="AB647" s="574" t="s">
        <v>2297</v>
      </c>
      <c r="AC647" s="574" t="s">
        <v>2298</v>
      </c>
      <c r="AD647" s="574" t="s">
        <v>2299</v>
      </c>
      <c r="AE647" s="574" t="s">
        <v>1468</v>
      </c>
      <c r="AF647" s="574" t="s">
        <v>2299</v>
      </c>
      <c r="AG647" s="576">
        <v>0</v>
      </c>
      <c r="AH647" s="576">
        <v>161848.5</v>
      </c>
    </row>
    <row r="648" spans="1:34" customFormat="1" x14ac:dyDescent="0.25">
      <c r="A648" s="574" t="s">
        <v>2219</v>
      </c>
      <c r="B648" s="574" t="s">
        <v>2220</v>
      </c>
      <c r="C648" s="574" t="s">
        <v>2221</v>
      </c>
      <c r="D648" s="574" t="s">
        <v>2220</v>
      </c>
      <c r="E648" s="574" t="s">
        <v>2222</v>
      </c>
      <c r="F648" s="574" t="s">
        <v>2223</v>
      </c>
      <c r="G648" s="574" t="s">
        <v>2224</v>
      </c>
      <c r="H648" s="574" t="s">
        <v>2225</v>
      </c>
      <c r="I648" s="574" t="s">
        <v>2226</v>
      </c>
      <c r="J648" s="574" t="s">
        <v>2227</v>
      </c>
      <c r="K648" s="574" t="s">
        <v>2228</v>
      </c>
      <c r="L648" s="574" t="s">
        <v>2229</v>
      </c>
      <c r="M648" s="574" t="s">
        <v>2230</v>
      </c>
      <c r="N648" s="574" t="s">
        <v>2231</v>
      </c>
      <c r="O648" s="574" t="s">
        <v>2759</v>
      </c>
      <c r="P648" s="574" t="s">
        <v>2932</v>
      </c>
      <c r="Q648" s="574" t="s">
        <v>2234</v>
      </c>
      <c r="R648" s="574" t="s">
        <v>2225</v>
      </c>
      <c r="S648" s="574" t="s">
        <v>2235</v>
      </c>
      <c r="T648" s="574" t="s">
        <v>2236</v>
      </c>
      <c r="U648" s="574" t="s">
        <v>3178</v>
      </c>
      <c r="V648" s="574" t="s">
        <v>2238</v>
      </c>
      <c r="W648" s="574" t="s">
        <v>2239</v>
      </c>
      <c r="X648" s="574" t="s">
        <v>3179</v>
      </c>
      <c r="Y648" s="575" t="s">
        <v>2543</v>
      </c>
      <c r="Z648" s="575" t="s">
        <v>2543</v>
      </c>
      <c r="AA648" s="574" t="s">
        <v>1691</v>
      </c>
      <c r="AB648" s="574" t="s">
        <v>2297</v>
      </c>
      <c r="AC648" s="574" t="s">
        <v>2298</v>
      </c>
      <c r="AD648" s="574" t="s">
        <v>2299</v>
      </c>
      <c r="AE648" s="574" t="s">
        <v>1468</v>
      </c>
      <c r="AF648" s="574" t="s">
        <v>2299</v>
      </c>
      <c r="AG648" s="576">
        <v>0</v>
      </c>
      <c r="AH648" s="576">
        <v>246500</v>
      </c>
    </row>
    <row r="649" spans="1:34" customFormat="1" x14ac:dyDescent="0.25">
      <c r="A649" s="574" t="s">
        <v>2219</v>
      </c>
      <c r="B649" s="574" t="s">
        <v>2220</v>
      </c>
      <c r="C649" s="574" t="s">
        <v>2221</v>
      </c>
      <c r="D649" s="574" t="s">
        <v>2220</v>
      </c>
      <c r="E649" s="574" t="s">
        <v>2222</v>
      </c>
      <c r="F649" s="574" t="s">
        <v>2223</v>
      </c>
      <c r="G649" s="574" t="s">
        <v>2224</v>
      </c>
      <c r="H649" s="574" t="s">
        <v>2225</v>
      </c>
      <c r="I649" s="574" t="s">
        <v>2226</v>
      </c>
      <c r="J649" s="574" t="s">
        <v>2227</v>
      </c>
      <c r="K649" s="574" t="s">
        <v>2228</v>
      </c>
      <c r="L649" s="574" t="s">
        <v>2229</v>
      </c>
      <c r="M649" s="574" t="s">
        <v>2230</v>
      </c>
      <c r="N649" s="574" t="s">
        <v>2231</v>
      </c>
      <c r="O649" s="574" t="s">
        <v>2759</v>
      </c>
      <c r="P649" s="574" t="s">
        <v>2932</v>
      </c>
      <c r="Q649" s="574" t="s">
        <v>2234</v>
      </c>
      <c r="R649" s="574" t="s">
        <v>2225</v>
      </c>
      <c r="S649" s="574" t="s">
        <v>2235</v>
      </c>
      <c r="T649" s="574" t="s">
        <v>2236</v>
      </c>
      <c r="U649" s="574" t="s">
        <v>3180</v>
      </c>
      <c r="V649" s="574" t="s">
        <v>2238</v>
      </c>
      <c r="W649" s="574" t="s">
        <v>2239</v>
      </c>
      <c r="X649" s="574" t="s">
        <v>3181</v>
      </c>
      <c r="Y649" s="575" t="s">
        <v>2543</v>
      </c>
      <c r="Z649" s="575" t="s">
        <v>2543</v>
      </c>
      <c r="AA649" s="574" t="s">
        <v>1691</v>
      </c>
      <c r="AB649" s="574" t="s">
        <v>2297</v>
      </c>
      <c r="AC649" s="574" t="s">
        <v>2298</v>
      </c>
      <c r="AD649" s="574" t="s">
        <v>2299</v>
      </c>
      <c r="AE649" s="574" t="s">
        <v>1468</v>
      </c>
      <c r="AF649" s="574" t="s">
        <v>2299</v>
      </c>
      <c r="AG649" s="576">
        <v>0</v>
      </c>
      <c r="AH649" s="576">
        <v>160380</v>
      </c>
    </row>
    <row r="650" spans="1:34" customFormat="1" x14ac:dyDescent="0.25">
      <c r="A650" s="574" t="s">
        <v>2219</v>
      </c>
      <c r="B650" s="574" t="s">
        <v>2220</v>
      </c>
      <c r="C650" s="574" t="s">
        <v>2221</v>
      </c>
      <c r="D650" s="574" t="s">
        <v>2220</v>
      </c>
      <c r="E650" s="574" t="s">
        <v>2222</v>
      </c>
      <c r="F650" s="574" t="s">
        <v>2223</v>
      </c>
      <c r="G650" s="574" t="s">
        <v>2224</v>
      </c>
      <c r="H650" s="574" t="s">
        <v>2225</v>
      </c>
      <c r="I650" s="574" t="s">
        <v>2226</v>
      </c>
      <c r="J650" s="574" t="s">
        <v>2227</v>
      </c>
      <c r="K650" s="574" t="s">
        <v>2228</v>
      </c>
      <c r="L650" s="574" t="s">
        <v>2229</v>
      </c>
      <c r="M650" s="574" t="s">
        <v>2230</v>
      </c>
      <c r="N650" s="574" t="s">
        <v>2231</v>
      </c>
      <c r="O650" s="574" t="s">
        <v>2759</v>
      </c>
      <c r="P650" s="574" t="s">
        <v>2932</v>
      </c>
      <c r="Q650" s="574" t="s">
        <v>2234</v>
      </c>
      <c r="R650" s="574" t="s">
        <v>2225</v>
      </c>
      <c r="S650" s="574" t="s">
        <v>2235</v>
      </c>
      <c r="T650" s="574" t="s">
        <v>2236</v>
      </c>
      <c r="U650" s="574" t="s">
        <v>3182</v>
      </c>
      <c r="V650" s="574" t="s">
        <v>2238</v>
      </c>
      <c r="W650" s="574" t="s">
        <v>2239</v>
      </c>
      <c r="X650" s="574" t="s">
        <v>3183</v>
      </c>
      <c r="Y650" s="575" t="s">
        <v>2543</v>
      </c>
      <c r="Z650" s="575" t="s">
        <v>2543</v>
      </c>
      <c r="AA650" s="574" t="s">
        <v>2949</v>
      </c>
      <c r="AB650" s="574" t="s">
        <v>2950</v>
      </c>
      <c r="AC650" s="574" t="s">
        <v>2951</v>
      </c>
      <c r="AD650" s="574" t="s">
        <v>2952</v>
      </c>
      <c r="AE650" s="574" t="s">
        <v>2953</v>
      </c>
      <c r="AF650" s="574" t="s">
        <v>2952</v>
      </c>
      <c r="AG650" s="576">
        <v>0</v>
      </c>
      <c r="AH650" s="576">
        <v>163281.62</v>
      </c>
    </row>
    <row r="651" spans="1:34" customFormat="1" x14ac:dyDescent="0.25">
      <c r="A651" s="574" t="s">
        <v>2219</v>
      </c>
      <c r="B651" s="574" t="s">
        <v>2220</v>
      </c>
      <c r="C651" s="574" t="s">
        <v>2221</v>
      </c>
      <c r="D651" s="574" t="s">
        <v>2220</v>
      </c>
      <c r="E651" s="574" t="s">
        <v>2222</v>
      </c>
      <c r="F651" s="574" t="s">
        <v>2223</v>
      </c>
      <c r="G651" s="574" t="s">
        <v>2224</v>
      </c>
      <c r="H651" s="574" t="s">
        <v>2225</v>
      </c>
      <c r="I651" s="574" t="s">
        <v>2226</v>
      </c>
      <c r="J651" s="574" t="s">
        <v>2227</v>
      </c>
      <c r="K651" s="574" t="s">
        <v>2228</v>
      </c>
      <c r="L651" s="574" t="s">
        <v>2229</v>
      </c>
      <c r="M651" s="574" t="s">
        <v>2230</v>
      </c>
      <c r="N651" s="574" t="s">
        <v>2231</v>
      </c>
      <c r="O651" s="574" t="s">
        <v>2759</v>
      </c>
      <c r="P651" s="574" t="s">
        <v>2932</v>
      </c>
      <c r="Q651" s="574" t="s">
        <v>2234</v>
      </c>
      <c r="R651" s="574" t="s">
        <v>2225</v>
      </c>
      <c r="S651" s="574" t="s">
        <v>2235</v>
      </c>
      <c r="T651" s="574" t="s">
        <v>2236</v>
      </c>
      <c r="U651" s="574" t="s">
        <v>3184</v>
      </c>
      <c r="V651" s="574" t="s">
        <v>2238</v>
      </c>
      <c r="W651" s="574" t="s">
        <v>2239</v>
      </c>
      <c r="X651" s="574" t="s">
        <v>3185</v>
      </c>
      <c r="Y651" s="575" t="s">
        <v>2543</v>
      </c>
      <c r="Z651" s="575" t="s">
        <v>2543</v>
      </c>
      <c r="AA651" s="574" t="s">
        <v>1692</v>
      </c>
      <c r="AB651" s="574" t="s">
        <v>2307</v>
      </c>
      <c r="AC651" s="574" t="s">
        <v>2308</v>
      </c>
      <c r="AD651" s="574" t="s">
        <v>2309</v>
      </c>
      <c r="AE651" s="574" t="s">
        <v>1482</v>
      </c>
      <c r="AF651" s="574" t="s">
        <v>2961</v>
      </c>
      <c r="AG651" s="576">
        <v>0</v>
      </c>
      <c r="AH651" s="576">
        <v>184000</v>
      </c>
    </row>
    <row r="652" spans="1:34" customFormat="1" x14ac:dyDescent="0.25">
      <c r="A652" s="574" t="s">
        <v>2219</v>
      </c>
      <c r="B652" s="574" t="s">
        <v>2220</v>
      </c>
      <c r="C652" s="574" t="s">
        <v>2221</v>
      </c>
      <c r="D652" s="574" t="s">
        <v>2220</v>
      </c>
      <c r="E652" s="574" t="s">
        <v>2222</v>
      </c>
      <c r="F652" s="574" t="s">
        <v>2223</v>
      </c>
      <c r="G652" s="574" t="s">
        <v>2224</v>
      </c>
      <c r="H652" s="574" t="s">
        <v>2225</v>
      </c>
      <c r="I652" s="574" t="s">
        <v>2226</v>
      </c>
      <c r="J652" s="574" t="s">
        <v>2227</v>
      </c>
      <c r="K652" s="574" t="s">
        <v>2228</v>
      </c>
      <c r="L652" s="574" t="s">
        <v>2229</v>
      </c>
      <c r="M652" s="574" t="s">
        <v>2230</v>
      </c>
      <c r="N652" s="574" t="s">
        <v>2231</v>
      </c>
      <c r="O652" s="574" t="s">
        <v>2759</v>
      </c>
      <c r="P652" s="574" t="s">
        <v>2932</v>
      </c>
      <c r="Q652" s="574" t="s">
        <v>2234</v>
      </c>
      <c r="R652" s="574" t="s">
        <v>2225</v>
      </c>
      <c r="S652" s="574" t="s">
        <v>2235</v>
      </c>
      <c r="T652" s="574" t="s">
        <v>2236</v>
      </c>
      <c r="U652" s="574" t="s">
        <v>3186</v>
      </c>
      <c r="V652" s="574" t="s">
        <v>2238</v>
      </c>
      <c r="W652" s="574" t="s">
        <v>2239</v>
      </c>
      <c r="X652" s="574" t="s">
        <v>3187</v>
      </c>
      <c r="Y652" s="575" t="s">
        <v>2553</v>
      </c>
      <c r="Z652" s="575" t="s">
        <v>2553</v>
      </c>
      <c r="AA652" s="574" t="s">
        <v>1693</v>
      </c>
      <c r="AB652" s="574" t="s">
        <v>2319</v>
      </c>
      <c r="AC652" s="574" t="s">
        <v>2320</v>
      </c>
      <c r="AD652" s="574" t="s">
        <v>2321</v>
      </c>
      <c r="AE652" s="574" t="s">
        <v>1446</v>
      </c>
      <c r="AF652" s="574" t="s">
        <v>2321</v>
      </c>
      <c r="AG652" s="576">
        <v>0</v>
      </c>
      <c r="AH652" s="576">
        <v>229462.8</v>
      </c>
    </row>
    <row r="653" spans="1:34" customFormat="1" x14ac:dyDescent="0.25">
      <c r="A653" s="574" t="s">
        <v>2219</v>
      </c>
      <c r="B653" s="574" t="s">
        <v>2220</v>
      </c>
      <c r="C653" s="574" t="s">
        <v>2221</v>
      </c>
      <c r="D653" s="574" t="s">
        <v>2220</v>
      </c>
      <c r="E653" s="574" t="s">
        <v>2222</v>
      </c>
      <c r="F653" s="574" t="s">
        <v>2223</v>
      </c>
      <c r="G653" s="574" t="s">
        <v>2224</v>
      </c>
      <c r="H653" s="574" t="s">
        <v>2225</v>
      </c>
      <c r="I653" s="574" t="s">
        <v>2226</v>
      </c>
      <c r="J653" s="574" t="s">
        <v>2227</v>
      </c>
      <c r="K653" s="574" t="s">
        <v>2228</v>
      </c>
      <c r="L653" s="574" t="s">
        <v>2229</v>
      </c>
      <c r="M653" s="574" t="s">
        <v>2230</v>
      </c>
      <c r="N653" s="574" t="s">
        <v>2231</v>
      </c>
      <c r="O653" s="574" t="s">
        <v>2759</v>
      </c>
      <c r="P653" s="574" t="s">
        <v>2932</v>
      </c>
      <c r="Q653" s="574" t="s">
        <v>2234</v>
      </c>
      <c r="R653" s="574" t="s">
        <v>2225</v>
      </c>
      <c r="S653" s="574" t="s">
        <v>2235</v>
      </c>
      <c r="T653" s="574" t="s">
        <v>2236</v>
      </c>
      <c r="U653" s="574" t="s">
        <v>2554</v>
      </c>
      <c r="V653" s="574" t="s">
        <v>2238</v>
      </c>
      <c r="W653" s="574" t="s">
        <v>2239</v>
      </c>
      <c r="X653" s="574" t="s">
        <v>2555</v>
      </c>
      <c r="Y653" s="575" t="s">
        <v>2553</v>
      </c>
      <c r="Z653" s="575" t="s">
        <v>2553</v>
      </c>
      <c r="AA653" s="574" t="s">
        <v>1693</v>
      </c>
      <c r="AB653" s="574" t="s">
        <v>2319</v>
      </c>
      <c r="AC653" s="574" t="s">
        <v>2987</v>
      </c>
      <c r="AD653" s="574" t="s">
        <v>2988</v>
      </c>
      <c r="AE653" s="574" t="s">
        <v>1451</v>
      </c>
      <c r="AF653" s="574" t="s">
        <v>178</v>
      </c>
      <c r="AG653" s="576">
        <v>0</v>
      </c>
      <c r="AH653" s="576">
        <v>6372</v>
      </c>
    </row>
    <row r="654" spans="1:34" customFormat="1" x14ac:dyDescent="0.25">
      <c r="A654" s="574" t="s">
        <v>2219</v>
      </c>
      <c r="B654" s="574" t="s">
        <v>2220</v>
      </c>
      <c r="C654" s="574" t="s">
        <v>2221</v>
      </c>
      <c r="D654" s="574" t="s">
        <v>2220</v>
      </c>
      <c r="E654" s="574" t="s">
        <v>2222</v>
      </c>
      <c r="F654" s="574" t="s">
        <v>2223</v>
      </c>
      <c r="G654" s="574" t="s">
        <v>2224</v>
      </c>
      <c r="H654" s="574" t="s">
        <v>2225</v>
      </c>
      <c r="I654" s="574" t="s">
        <v>2226</v>
      </c>
      <c r="J654" s="574" t="s">
        <v>2227</v>
      </c>
      <c r="K654" s="574" t="s">
        <v>2228</v>
      </c>
      <c r="L654" s="574" t="s">
        <v>2229</v>
      </c>
      <c r="M654" s="574" t="s">
        <v>2230</v>
      </c>
      <c r="N654" s="574" t="s">
        <v>2231</v>
      </c>
      <c r="O654" s="574" t="s">
        <v>2759</v>
      </c>
      <c r="P654" s="574" t="s">
        <v>2932</v>
      </c>
      <c r="Q654" s="574" t="s">
        <v>2234</v>
      </c>
      <c r="R654" s="574" t="s">
        <v>2225</v>
      </c>
      <c r="S654" s="574" t="s">
        <v>2235</v>
      </c>
      <c r="T654" s="574" t="s">
        <v>2236</v>
      </c>
      <c r="U654" s="574" t="s">
        <v>3188</v>
      </c>
      <c r="V654" s="574" t="s">
        <v>2238</v>
      </c>
      <c r="W654" s="574" t="s">
        <v>2239</v>
      </c>
      <c r="X654" s="574" t="s">
        <v>3189</v>
      </c>
      <c r="Y654" s="575" t="s">
        <v>2553</v>
      </c>
      <c r="Z654" s="575" t="s">
        <v>2553</v>
      </c>
      <c r="AA654" s="574" t="s">
        <v>1693</v>
      </c>
      <c r="AB654" s="574" t="s">
        <v>2319</v>
      </c>
      <c r="AC654" s="574" t="s">
        <v>2320</v>
      </c>
      <c r="AD654" s="574" t="s">
        <v>2321</v>
      </c>
      <c r="AE654" s="574" t="s">
        <v>1446</v>
      </c>
      <c r="AF654" s="574" t="s">
        <v>2321</v>
      </c>
      <c r="AG654" s="576">
        <v>0</v>
      </c>
      <c r="AH654" s="576">
        <v>198594</v>
      </c>
    </row>
    <row r="655" spans="1:34" customFormat="1" x14ac:dyDescent="0.25">
      <c r="A655" s="574" t="s">
        <v>2219</v>
      </c>
      <c r="B655" s="574" t="s">
        <v>2220</v>
      </c>
      <c r="C655" s="574" t="s">
        <v>2221</v>
      </c>
      <c r="D655" s="574" t="s">
        <v>2220</v>
      </c>
      <c r="E655" s="574" t="s">
        <v>2222</v>
      </c>
      <c r="F655" s="574" t="s">
        <v>2223</v>
      </c>
      <c r="G655" s="574" t="s">
        <v>2224</v>
      </c>
      <c r="H655" s="574" t="s">
        <v>2225</v>
      </c>
      <c r="I655" s="574" t="s">
        <v>2226</v>
      </c>
      <c r="J655" s="574" t="s">
        <v>2227</v>
      </c>
      <c r="K655" s="574" t="s">
        <v>2228</v>
      </c>
      <c r="L655" s="574" t="s">
        <v>2229</v>
      </c>
      <c r="M655" s="574" t="s">
        <v>2230</v>
      </c>
      <c r="N655" s="574" t="s">
        <v>2231</v>
      </c>
      <c r="O655" s="574" t="s">
        <v>2759</v>
      </c>
      <c r="P655" s="574" t="s">
        <v>2932</v>
      </c>
      <c r="Q655" s="574" t="s">
        <v>2234</v>
      </c>
      <c r="R655" s="574" t="s">
        <v>2225</v>
      </c>
      <c r="S655" s="574" t="s">
        <v>2235</v>
      </c>
      <c r="T655" s="574" t="s">
        <v>2236</v>
      </c>
      <c r="U655" s="574" t="s">
        <v>3190</v>
      </c>
      <c r="V655" s="574" t="s">
        <v>2238</v>
      </c>
      <c r="W655" s="574" t="s">
        <v>2239</v>
      </c>
      <c r="X655" s="574" t="s">
        <v>3191</v>
      </c>
      <c r="Y655" s="575" t="s">
        <v>2553</v>
      </c>
      <c r="Z655" s="575" t="s">
        <v>2553</v>
      </c>
      <c r="AA655" s="574" t="s">
        <v>1693</v>
      </c>
      <c r="AB655" s="574" t="s">
        <v>2319</v>
      </c>
      <c r="AC655" s="574" t="s">
        <v>2320</v>
      </c>
      <c r="AD655" s="574" t="s">
        <v>2321</v>
      </c>
      <c r="AE655" s="574" t="s">
        <v>1446</v>
      </c>
      <c r="AF655" s="574" t="s">
        <v>2321</v>
      </c>
      <c r="AG655" s="576">
        <v>0</v>
      </c>
      <c r="AH655" s="576">
        <v>56748.800000000003</v>
      </c>
    </row>
    <row r="656" spans="1:34" customFormat="1" x14ac:dyDescent="0.25">
      <c r="A656" s="574" t="s">
        <v>2219</v>
      </c>
      <c r="B656" s="574" t="s">
        <v>2220</v>
      </c>
      <c r="C656" s="574" t="s">
        <v>2221</v>
      </c>
      <c r="D656" s="574" t="s">
        <v>2220</v>
      </c>
      <c r="E656" s="574" t="s">
        <v>2222</v>
      </c>
      <c r="F656" s="574" t="s">
        <v>2223</v>
      </c>
      <c r="G656" s="574" t="s">
        <v>2224</v>
      </c>
      <c r="H656" s="574" t="s">
        <v>2225</v>
      </c>
      <c r="I656" s="574" t="s">
        <v>2226</v>
      </c>
      <c r="J656" s="574" t="s">
        <v>2227</v>
      </c>
      <c r="K656" s="574" t="s">
        <v>2228</v>
      </c>
      <c r="L656" s="574" t="s">
        <v>2229</v>
      </c>
      <c r="M656" s="574" t="s">
        <v>2230</v>
      </c>
      <c r="N656" s="574" t="s">
        <v>2231</v>
      </c>
      <c r="O656" s="574" t="s">
        <v>2759</v>
      </c>
      <c r="P656" s="574" t="s">
        <v>2932</v>
      </c>
      <c r="Q656" s="574" t="s">
        <v>2234</v>
      </c>
      <c r="R656" s="574" t="s">
        <v>2225</v>
      </c>
      <c r="S656" s="574" t="s">
        <v>2235</v>
      </c>
      <c r="T656" s="574" t="s">
        <v>2236</v>
      </c>
      <c r="U656" s="574" t="s">
        <v>3192</v>
      </c>
      <c r="V656" s="574" t="s">
        <v>2238</v>
      </c>
      <c r="W656" s="574" t="s">
        <v>2239</v>
      </c>
      <c r="X656" s="574" t="s">
        <v>3193</v>
      </c>
      <c r="Y656" s="575" t="s">
        <v>2553</v>
      </c>
      <c r="Z656" s="575" t="s">
        <v>2553</v>
      </c>
      <c r="AA656" s="574" t="s">
        <v>1693</v>
      </c>
      <c r="AB656" s="574" t="s">
        <v>2319</v>
      </c>
      <c r="AC656" s="574" t="s">
        <v>3194</v>
      </c>
      <c r="AD656" s="574" t="s">
        <v>3195</v>
      </c>
      <c r="AE656" s="574" t="s">
        <v>3196</v>
      </c>
      <c r="AF656" s="574" t="s">
        <v>3195</v>
      </c>
      <c r="AG656" s="576">
        <v>0</v>
      </c>
      <c r="AH656" s="576">
        <v>21240</v>
      </c>
    </row>
    <row r="657" spans="1:34" customFormat="1" x14ac:dyDescent="0.25">
      <c r="A657" s="574" t="s">
        <v>2219</v>
      </c>
      <c r="B657" s="574" t="s">
        <v>2220</v>
      </c>
      <c r="C657" s="574" t="s">
        <v>2221</v>
      </c>
      <c r="D657" s="574" t="s">
        <v>2220</v>
      </c>
      <c r="E657" s="574" t="s">
        <v>2222</v>
      </c>
      <c r="F657" s="574" t="s">
        <v>2223</v>
      </c>
      <c r="G657" s="574" t="s">
        <v>2224</v>
      </c>
      <c r="H657" s="574" t="s">
        <v>2225</v>
      </c>
      <c r="I657" s="574" t="s">
        <v>2226</v>
      </c>
      <c r="J657" s="574" t="s">
        <v>2227</v>
      </c>
      <c r="K657" s="574" t="s">
        <v>2228</v>
      </c>
      <c r="L657" s="574" t="s">
        <v>2229</v>
      </c>
      <c r="M657" s="574" t="s">
        <v>2230</v>
      </c>
      <c r="N657" s="574" t="s">
        <v>2231</v>
      </c>
      <c r="O657" s="574" t="s">
        <v>2759</v>
      </c>
      <c r="P657" s="574" t="s">
        <v>2932</v>
      </c>
      <c r="Q657" s="574" t="s">
        <v>2234</v>
      </c>
      <c r="R657" s="574" t="s">
        <v>2225</v>
      </c>
      <c r="S657" s="574" t="s">
        <v>2235</v>
      </c>
      <c r="T657" s="574" t="s">
        <v>2236</v>
      </c>
      <c r="U657" s="574" t="s">
        <v>3197</v>
      </c>
      <c r="V657" s="574" t="s">
        <v>2238</v>
      </c>
      <c r="W657" s="574" t="s">
        <v>2239</v>
      </c>
      <c r="X657" s="574" t="s">
        <v>3198</v>
      </c>
      <c r="Y657" s="575" t="s">
        <v>2553</v>
      </c>
      <c r="Z657" s="575" t="s">
        <v>2553</v>
      </c>
      <c r="AA657" s="574" t="s">
        <v>2949</v>
      </c>
      <c r="AB657" s="574" t="s">
        <v>2950</v>
      </c>
      <c r="AC657" s="574" t="s">
        <v>2951</v>
      </c>
      <c r="AD657" s="574" t="s">
        <v>2952</v>
      </c>
      <c r="AE657" s="574" t="s">
        <v>2953</v>
      </c>
      <c r="AF657" s="574" t="s">
        <v>2952</v>
      </c>
      <c r="AG657" s="576">
        <v>0</v>
      </c>
      <c r="AH657" s="576">
        <v>141600</v>
      </c>
    </row>
    <row r="658" spans="1:34" customFormat="1" x14ac:dyDescent="0.25">
      <c r="A658" s="574" t="s">
        <v>2219</v>
      </c>
      <c r="B658" s="574" t="s">
        <v>2220</v>
      </c>
      <c r="C658" s="574" t="s">
        <v>2221</v>
      </c>
      <c r="D658" s="574" t="s">
        <v>2220</v>
      </c>
      <c r="E658" s="574" t="s">
        <v>2222</v>
      </c>
      <c r="F658" s="574" t="s">
        <v>2223</v>
      </c>
      <c r="G658" s="574" t="s">
        <v>2224</v>
      </c>
      <c r="H658" s="574" t="s">
        <v>2225</v>
      </c>
      <c r="I658" s="574" t="s">
        <v>2226</v>
      </c>
      <c r="J658" s="574" t="s">
        <v>2227</v>
      </c>
      <c r="K658" s="574" t="s">
        <v>2228</v>
      </c>
      <c r="L658" s="574" t="s">
        <v>2229</v>
      </c>
      <c r="M658" s="574" t="s">
        <v>2230</v>
      </c>
      <c r="N658" s="574" t="s">
        <v>2231</v>
      </c>
      <c r="O658" s="574" t="s">
        <v>2759</v>
      </c>
      <c r="P658" s="574" t="s">
        <v>2932</v>
      </c>
      <c r="Q658" s="574" t="s">
        <v>2234</v>
      </c>
      <c r="R658" s="574" t="s">
        <v>2225</v>
      </c>
      <c r="S658" s="574" t="s">
        <v>2235</v>
      </c>
      <c r="T658" s="574" t="s">
        <v>2236</v>
      </c>
      <c r="U658" s="574" t="s">
        <v>3199</v>
      </c>
      <c r="V658" s="574" t="s">
        <v>2238</v>
      </c>
      <c r="W658" s="574" t="s">
        <v>2239</v>
      </c>
      <c r="X658" s="574" t="s">
        <v>3200</v>
      </c>
      <c r="Y658" s="575" t="s">
        <v>2562</v>
      </c>
      <c r="Z658" s="575" t="s">
        <v>2562</v>
      </c>
      <c r="AA658" s="574" t="s">
        <v>1693</v>
      </c>
      <c r="AB658" s="574" t="s">
        <v>2319</v>
      </c>
      <c r="AC658" s="574" t="s">
        <v>2402</v>
      </c>
      <c r="AD658" s="574" t="s">
        <v>2403</v>
      </c>
      <c r="AE658" s="574" t="s">
        <v>1486</v>
      </c>
      <c r="AF658" s="574" t="s">
        <v>2403</v>
      </c>
      <c r="AG658" s="576">
        <v>0</v>
      </c>
      <c r="AH658" s="576">
        <v>438724</v>
      </c>
    </row>
    <row r="659" spans="1:34" customFormat="1" x14ac:dyDescent="0.25">
      <c r="A659" s="574" t="s">
        <v>2219</v>
      </c>
      <c r="B659" s="574" t="s">
        <v>2220</v>
      </c>
      <c r="C659" s="574" t="s">
        <v>2221</v>
      </c>
      <c r="D659" s="574" t="s">
        <v>2220</v>
      </c>
      <c r="E659" s="574" t="s">
        <v>2222</v>
      </c>
      <c r="F659" s="574" t="s">
        <v>2223</v>
      </c>
      <c r="G659" s="574" t="s">
        <v>2224</v>
      </c>
      <c r="H659" s="574" t="s">
        <v>2225</v>
      </c>
      <c r="I659" s="574" t="s">
        <v>2226</v>
      </c>
      <c r="J659" s="574" t="s">
        <v>2227</v>
      </c>
      <c r="K659" s="574" t="s">
        <v>2228</v>
      </c>
      <c r="L659" s="574" t="s">
        <v>2229</v>
      </c>
      <c r="M659" s="574" t="s">
        <v>2230</v>
      </c>
      <c r="N659" s="574" t="s">
        <v>2231</v>
      </c>
      <c r="O659" s="574" t="s">
        <v>2759</v>
      </c>
      <c r="P659" s="574" t="s">
        <v>2932</v>
      </c>
      <c r="Q659" s="574" t="s">
        <v>2234</v>
      </c>
      <c r="R659" s="574" t="s">
        <v>2225</v>
      </c>
      <c r="S659" s="574" t="s">
        <v>2235</v>
      </c>
      <c r="T659" s="574" t="s">
        <v>2236</v>
      </c>
      <c r="U659" s="574" t="s">
        <v>3201</v>
      </c>
      <c r="V659" s="574" t="s">
        <v>2238</v>
      </c>
      <c r="W659" s="574" t="s">
        <v>2239</v>
      </c>
      <c r="X659" s="574" t="s">
        <v>3202</v>
      </c>
      <c r="Y659" s="575" t="s">
        <v>2562</v>
      </c>
      <c r="Z659" s="575" t="s">
        <v>2562</v>
      </c>
      <c r="AA659" s="574" t="s">
        <v>1692</v>
      </c>
      <c r="AB659" s="574" t="s">
        <v>2307</v>
      </c>
      <c r="AC659" s="574" t="s">
        <v>2308</v>
      </c>
      <c r="AD659" s="574" t="s">
        <v>2309</v>
      </c>
      <c r="AE659" s="574" t="s">
        <v>1482</v>
      </c>
      <c r="AF659" s="574" t="s">
        <v>2961</v>
      </c>
      <c r="AG659" s="576">
        <v>0</v>
      </c>
      <c r="AH659" s="576">
        <v>110250</v>
      </c>
    </row>
    <row r="660" spans="1:34" customFormat="1" x14ac:dyDescent="0.25">
      <c r="A660" s="574" t="s">
        <v>2219</v>
      </c>
      <c r="B660" s="574" t="s">
        <v>2220</v>
      </c>
      <c r="C660" s="574" t="s">
        <v>2221</v>
      </c>
      <c r="D660" s="574" t="s">
        <v>2220</v>
      </c>
      <c r="E660" s="574" t="s">
        <v>2222</v>
      </c>
      <c r="F660" s="574" t="s">
        <v>2223</v>
      </c>
      <c r="G660" s="574" t="s">
        <v>2224</v>
      </c>
      <c r="H660" s="574" t="s">
        <v>2225</v>
      </c>
      <c r="I660" s="574" t="s">
        <v>2226</v>
      </c>
      <c r="J660" s="574" t="s">
        <v>2227</v>
      </c>
      <c r="K660" s="574" t="s">
        <v>2228</v>
      </c>
      <c r="L660" s="574" t="s">
        <v>2229</v>
      </c>
      <c r="M660" s="574" t="s">
        <v>2230</v>
      </c>
      <c r="N660" s="574" t="s">
        <v>2231</v>
      </c>
      <c r="O660" s="574" t="s">
        <v>2759</v>
      </c>
      <c r="P660" s="574" t="s">
        <v>2932</v>
      </c>
      <c r="Q660" s="574" t="s">
        <v>2234</v>
      </c>
      <c r="R660" s="574" t="s">
        <v>2225</v>
      </c>
      <c r="S660" s="574" t="s">
        <v>2235</v>
      </c>
      <c r="T660" s="574" t="s">
        <v>2236</v>
      </c>
      <c r="U660" s="574" t="s">
        <v>3203</v>
      </c>
      <c r="V660" s="574" t="s">
        <v>2238</v>
      </c>
      <c r="W660" s="574" t="s">
        <v>2239</v>
      </c>
      <c r="X660" s="574" t="s">
        <v>3204</v>
      </c>
      <c r="Y660" s="575" t="s">
        <v>2562</v>
      </c>
      <c r="Z660" s="575" t="s">
        <v>2562</v>
      </c>
      <c r="AA660" s="574" t="s">
        <v>1692</v>
      </c>
      <c r="AB660" s="574" t="s">
        <v>2307</v>
      </c>
      <c r="AC660" s="574" t="s">
        <v>2308</v>
      </c>
      <c r="AD660" s="574" t="s">
        <v>2309</v>
      </c>
      <c r="AE660" s="574" t="s">
        <v>1490</v>
      </c>
      <c r="AF660" s="574" t="s">
        <v>176</v>
      </c>
      <c r="AG660" s="576">
        <v>0</v>
      </c>
      <c r="AH660" s="576">
        <v>90392.72</v>
      </c>
    </row>
    <row r="661" spans="1:34" customFormat="1" x14ac:dyDescent="0.25">
      <c r="A661" s="574" t="s">
        <v>2219</v>
      </c>
      <c r="B661" s="574" t="s">
        <v>2220</v>
      </c>
      <c r="C661" s="574" t="s">
        <v>2221</v>
      </c>
      <c r="D661" s="574" t="s">
        <v>2220</v>
      </c>
      <c r="E661" s="574" t="s">
        <v>2222</v>
      </c>
      <c r="F661" s="574" t="s">
        <v>2223</v>
      </c>
      <c r="G661" s="574" t="s">
        <v>2224</v>
      </c>
      <c r="H661" s="574" t="s">
        <v>2225</v>
      </c>
      <c r="I661" s="574" t="s">
        <v>2226</v>
      </c>
      <c r="J661" s="574" t="s">
        <v>2227</v>
      </c>
      <c r="K661" s="574" t="s">
        <v>2228</v>
      </c>
      <c r="L661" s="574" t="s">
        <v>2229</v>
      </c>
      <c r="M661" s="574" t="s">
        <v>2230</v>
      </c>
      <c r="N661" s="574" t="s">
        <v>2231</v>
      </c>
      <c r="O661" s="574" t="s">
        <v>2759</v>
      </c>
      <c r="P661" s="574" t="s">
        <v>2932</v>
      </c>
      <c r="Q661" s="574" t="s">
        <v>2234</v>
      </c>
      <c r="R661" s="574" t="s">
        <v>2225</v>
      </c>
      <c r="S661" s="574" t="s">
        <v>2235</v>
      </c>
      <c r="T661" s="574" t="s">
        <v>2236</v>
      </c>
      <c r="U661" s="574" t="s">
        <v>3203</v>
      </c>
      <c r="V661" s="574" t="s">
        <v>2238</v>
      </c>
      <c r="W661" s="574" t="s">
        <v>2239</v>
      </c>
      <c r="X661" s="574" t="s">
        <v>3204</v>
      </c>
      <c r="Y661" s="575" t="s">
        <v>2562</v>
      </c>
      <c r="Z661" s="575" t="s">
        <v>2562</v>
      </c>
      <c r="AA661" s="574" t="s">
        <v>1692</v>
      </c>
      <c r="AB661" s="574" t="s">
        <v>2307</v>
      </c>
      <c r="AC661" s="574" t="s">
        <v>2308</v>
      </c>
      <c r="AD661" s="574" t="s">
        <v>2309</v>
      </c>
      <c r="AE661" s="574" t="s">
        <v>1482</v>
      </c>
      <c r="AF661" s="574" t="s">
        <v>2961</v>
      </c>
      <c r="AG661" s="576">
        <v>0</v>
      </c>
      <c r="AH661" s="576">
        <v>376954.54</v>
      </c>
    </row>
    <row r="662" spans="1:34" customFormat="1" x14ac:dyDescent="0.25">
      <c r="A662" s="574" t="s">
        <v>2219</v>
      </c>
      <c r="B662" s="574" t="s">
        <v>2220</v>
      </c>
      <c r="C662" s="574" t="s">
        <v>2221</v>
      </c>
      <c r="D662" s="574" t="s">
        <v>2220</v>
      </c>
      <c r="E662" s="574" t="s">
        <v>2222</v>
      </c>
      <c r="F662" s="574" t="s">
        <v>2223</v>
      </c>
      <c r="G662" s="574" t="s">
        <v>2224</v>
      </c>
      <c r="H662" s="574" t="s">
        <v>2225</v>
      </c>
      <c r="I662" s="574" t="s">
        <v>2226</v>
      </c>
      <c r="J662" s="574" t="s">
        <v>2227</v>
      </c>
      <c r="K662" s="574" t="s">
        <v>2228</v>
      </c>
      <c r="L662" s="574" t="s">
        <v>2229</v>
      </c>
      <c r="M662" s="574" t="s">
        <v>2230</v>
      </c>
      <c r="N662" s="574" t="s">
        <v>2231</v>
      </c>
      <c r="O662" s="574" t="s">
        <v>2759</v>
      </c>
      <c r="P662" s="574" t="s">
        <v>2932</v>
      </c>
      <c r="Q662" s="574" t="s">
        <v>2234</v>
      </c>
      <c r="R662" s="574" t="s">
        <v>2225</v>
      </c>
      <c r="S662" s="574" t="s">
        <v>2235</v>
      </c>
      <c r="T662" s="574" t="s">
        <v>2236</v>
      </c>
      <c r="U662" s="574" t="s">
        <v>3203</v>
      </c>
      <c r="V662" s="574" t="s">
        <v>2238</v>
      </c>
      <c r="W662" s="574" t="s">
        <v>2239</v>
      </c>
      <c r="X662" s="574" t="s">
        <v>3204</v>
      </c>
      <c r="Y662" s="575" t="s">
        <v>2562</v>
      </c>
      <c r="Z662" s="575" t="s">
        <v>2562</v>
      </c>
      <c r="AA662" s="574" t="s">
        <v>1693</v>
      </c>
      <c r="AB662" s="574" t="s">
        <v>2319</v>
      </c>
      <c r="AC662" s="574" t="s">
        <v>2402</v>
      </c>
      <c r="AD662" s="574" t="s">
        <v>2403</v>
      </c>
      <c r="AE662" s="574" t="s">
        <v>1486</v>
      </c>
      <c r="AF662" s="574" t="s">
        <v>2403</v>
      </c>
      <c r="AG662" s="576">
        <v>0</v>
      </c>
      <c r="AH662" s="576">
        <v>30927.8</v>
      </c>
    </row>
    <row r="663" spans="1:34" customFormat="1" x14ac:dyDescent="0.25">
      <c r="A663" s="574" t="s">
        <v>2219</v>
      </c>
      <c r="B663" s="574" t="s">
        <v>2220</v>
      </c>
      <c r="C663" s="574" t="s">
        <v>2221</v>
      </c>
      <c r="D663" s="574" t="s">
        <v>2220</v>
      </c>
      <c r="E663" s="574" t="s">
        <v>2222</v>
      </c>
      <c r="F663" s="574" t="s">
        <v>2223</v>
      </c>
      <c r="G663" s="574" t="s">
        <v>2224</v>
      </c>
      <c r="H663" s="574" t="s">
        <v>2225</v>
      </c>
      <c r="I663" s="574" t="s">
        <v>2226</v>
      </c>
      <c r="J663" s="574" t="s">
        <v>2227</v>
      </c>
      <c r="K663" s="574" t="s">
        <v>2228</v>
      </c>
      <c r="L663" s="574" t="s">
        <v>2229</v>
      </c>
      <c r="M663" s="574" t="s">
        <v>2230</v>
      </c>
      <c r="N663" s="574" t="s">
        <v>2231</v>
      </c>
      <c r="O663" s="574" t="s">
        <v>2759</v>
      </c>
      <c r="P663" s="574" t="s">
        <v>2932</v>
      </c>
      <c r="Q663" s="574" t="s">
        <v>2234</v>
      </c>
      <c r="R663" s="574" t="s">
        <v>2225</v>
      </c>
      <c r="S663" s="574" t="s">
        <v>2235</v>
      </c>
      <c r="T663" s="574" t="s">
        <v>2236</v>
      </c>
      <c r="U663" s="574" t="s">
        <v>3203</v>
      </c>
      <c r="V663" s="574" t="s">
        <v>2238</v>
      </c>
      <c r="W663" s="574" t="s">
        <v>2239</v>
      </c>
      <c r="X663" s="574" t="s">
        <v>3204</v>
      </c>
      <c r="Y663" s="575" t="s">
        <v>2562</v>
      </c>
      <c r="Z663" s="575" t="s">
        <v>2562</v>
      </c>
      <c r="AA663" s="574" t="s">
        <v>1693</v>
      </c>
      <c r="AB663" s="574" t="s">
        <v>2319</v>
      </c>
      <c r="AC663" s="574" t="s">
        <v>2320</v>
      </c>
      <c r="AD663" s="574" t="s">
        <v>2321</v>
      </c>
      <c r="AE663" s="574" t="s">
        <v>1446</v>
      </c>
      <c r="AF663" s="574" t="s">
        <v>2321</v>
      </c>
      <c r="AG663" s="576">
        <v>0</v>
      </c>
      <c r="AH663" s="576">
        <v>208683</v>
      </c>
    </row>
    <row r="664" spans="1:34" customFormat="1" x14ac:dyDescent="0.25">
      <c r="A664" s="574" t="s">
        <v>2219</v>
      </c>
      <c r="B664" s="574" t="s">
        <v>2220</v>
      </c>
      <c r="C664" s="574" t="s">
        <v>2221</v>
      </c>
      <c r="D664" s="574" t="s">
        <v>2220</v>
      </c>
      <c r="E664" s="574" t="s">
        <v>2222</v>
      </c>
      <c r="F664" s="574" t="s">
        <v>2223</v>
      </c>
      <c r="G664" s="574" t="s">
        <v>2224</v>
      </c>
      <c r="H664" s="574" t="s">
        <v>2225</v>
      </c>
      <c r="I664" s="574" t="s">
        <v>2226</v>
      </c>
      <c r="J664" s="574" t="s">
        <v>2227</v>
      </c>
      <c r="K664" s="574" t="s">
        <v>2228</v>
      </c>
      <c r="L664" s="574" t="s">
        <v>2229</v>
      </c>
      <c r="M664" s="574" t="s">
        <v>2230</v>
      </c>
      <c r="N664" s="574" t="s">
        <v>2231</v>
      </c>
      <c r="O664" s="574" t="s">
        <v>2759</v>
      </c>
      <c r="P664" s="574" t="s">
        <v>2932</v>
      </c>
      <c r="Q664" s="574" t="s">
        <v>2234</v>
      </c>
      <c r="R664" s="574" t="s">
        <v>2225</v>
      </c>
      <c r="S664" s="574" t="s">
        <v>2235</v>
      </c>
      <c r="T664" s="574" t="s">
        <v>2236</v>
      </c>
      <c r="U664" s="574" t="s">
        <v>3205</v>
      </c>
      <c r="V664" s="574" t="s">
        <v>2238</v>
      </c>
      <c r="W664" s="574" t="s">
        <v>2239</v>
      </c>
      <c r="X664" s="574" t="s">
        <v>3206</v>
      </c>
      <c r="Y664" s="575" t="s">
        <v>2562</v>
      </c>
      <c r="Z664" s="575" t="s">
        <v>2562</v>
      </c>
      <c r="AA664" s="574" t="s">
        <v>1693</v>
      </c>
      <c r="AB664" s="574" t="s">
        <v>2319</v>
      </c>
      <c r="AC664" s="574" t="s">
        <v>2320</v>
      </c>
      <c r="AD664" s="574" t="s">
        <v>2321</v>
      </c>
      <c r="AE664" s="574" t="s">
        <v>1446</v>
      </c>
      <c r="AF664" s="574" t="s">
        <v>2321</v>
      </c>
      <c r="AG664" s="576">
        <v>0</v>
      </c>
      <c r="AH664" s="576">
        <v>212400</v>
      </c>
    </row>
    <row r="665" spans="1:34" customFormat="1" x14ac:dyDescent="0.25">
      <c r="A665" s="574" t="s">
        <v>2219</v>
      </c>
      <c r="B665" s="574" t="s">
        <v>2220</v>
      </c>
      <c r="C665" s="574" t="s">
        <v>2221</v>
      </c>
      <c r="D665" s="574" t="s">
        <v>2220</v>
      </c>
      <c r="E665" s="574" t="s">
        <v>2222</v>
      </c>
      <c r="F665" s="574" t="s">
        <v>2223</v>
      </c>
      <c r="G665" s="574" t="s">
        <v>2224</v>
      </c>
      <c r="H665" s="574" t="s">
        <v>2225</v>
      </c>
      <c r="I665" s="574" t="s">
        <v>2226</v>
      </c>
      <c r="J665" s="574" t="s">
        <v>2227</v>
      </c>
      <c r="K665" s="574" t="s">
        <v>2228</v>
      </c>
      <c r="L665" s="574" t="s">
        <v>2229</v>
      </c>
      <c r="M665" s="574" t="s">
        <v>2230</v>
      </c>
      <c r="N665" s="574" t="s">
        <v>2231</v>
      </c>
      <c r="O665" s="574" t="s">
        <v>2759</v>
      </c>
      <c r="P665" s="574" t="s">
        <v>2932</v>
      </c>
      <c r="Q665" s="574" t="s">
        <v>2234</v>
      </c>
      <c r="R665" s="574" t="s">
        <v>2225</v>
      </c>
      <c r="S665" s="574" t="s">
        <v>2235</v>
      </c>
      <c r="T665" s="574" t="s">
        <v>2236</v>
      </c>
      <c r="U665" s="574" t="s">
        <v>3207</v>
      </c>
      <c r="V665" s="574" t="s">
        <v>2238</v>
      </c>
      <c r="W665" s="574" t="s">
        <v>2239</v>
      </c>
      <c r="X665" s="574" t="s">
        <v>3208</v>
      </c>
      <c r="Y665" s="575" t="s">
        <v>2677</v>
      </c>
      <c r="Z665" s="575" t="s">
        <v>2677</v>
      </c>
      <c r="AA665" s="574" t="s">
        <v>1691</v>
      </c>
      <c r="AB665" s="574" t="s">
        <v>2297</v>
      </c>
      <c r="AC665" s="574" t="s">
        <v>2298</v>
      </c>
      <c r="AD665" s="574" t="s">
        <v>2299</v>
      </c>
      <c r="AE665" s="574" t="s">
        <v>1468</v>
      </c>
      <c r="AF665" s="574" t="s">
        <v>2299</v>
      </c>
      <c r="AG665" s="576">
        <v>0</v>
      </c>
      <c r="AH665" s="576">
        <v>90000</v>
      </c>
    </row>
    <row r="666" spans="1:34" customFormat="1" x14ac:dyDescent="0.25">
      <c r="A666" s="574" t="s">
        <v>2219</v>
      </c>
      <c r="B666" s="574" t="s">
        <v>2220</v>
      </c>
      <c r="C666" s="574" t="s">
        <v>2221</v>
      </c>
      <c r="D666" s="574" t="s">
        <v>2220</v>
      </c>
      <c r="E666" s="574" t="s">
        <v>2222</v>
      </c>
      <c r="F666" s="574" t="s">
        <v>2223</v>
      </c>
      <c r="G666" s="574" t="s">
        <v>2224</v>
      </c>
      <c r="H666" s="574" t="s">
        <v>2225</v>
      </c>
      <c r="I666" s="574" t="s">
        <v>2226</v>
      </c>
      <c r="J666" s="574" t="s">
        <v>2227</v>
      </c>
      <c r="K666" s="574" t="s">
        <v>2228</v>
      </c>
      <c r="L666" s="574" t="s">
        <v>2229</v>
      </c>
      <c r="M666" s="574" t="s">
        <v>2230</v>
      </c>
      <c r="N666" s="574" t="s">
        <v>2231</v>
      </c>
      <c r="O666" s="574" t="s">
        <v>2759</v>
      </c>
      <c r="P666" s="574" t="s">
        <v>2932</v>
      </c>
      <c r="Q666" s="574" t="s">
        <v>2234</v>
      </c>
      <c r="R666" s="574" t="s">
        <v>2225</v>
      </c>
      <c r="S666" s="574" t="s">
        <v>2235</v>
      </c>
      <c r="T666" s="574" t="s">
        <v>2236</v>
      </c>
      <c r="U666" s="574" t="s">
        <v>3209</v>
      </c>
      <c r="V666" s="574" t="s">
        <v>2238</v>
      </c>
      <c r="W666" s="574" t="s">
        <v>2239</v>
      </c>
      <c r="X666" s="574" t="s">
        <v>3210</v>
      </c>
      <c r="Y666" s="575" t="s">
        <v>2565</v>
      </c>
      <c r="Z666" s="575" t="s">
        <v>2565</v>
      </c>
      <c r="AA666" s="574" t="s">
        <v>1693</v>
      </c>
      <c r="AB666" s="574" t="s">
        <v>2319</v>
      </c>
      <c r="AC666" s="574" t="s">
        <v>2320</v>
      </c>
      <c r="AD666" s="574" t="s">
        <v>2321</v>
      </c>
      <c r="AE666" s="574" t="s">
        <v>1446</v>
      </c>
      <c r="AF666" s="574" t="s">
        <v>2321</v>
      </c>
      <c r="AG666" s="576">
        <v>0</v>
      </c>
      <c r="AH666" s="576">
        <v>566400</v>
      </c>
    </row>
    <row r="667" spans="1:34" customFormat="1" x14ac:dyDescent="0.25">
      <c r="A667" s="574" t="s">
        <v>2219</v>
      </c>
      <c r="B667" s="574" t="s">
        <v>2220</v>
      </c>
      <c r="C667" s="574" t="s">
        <v>2221</v>
      </c>
      <c r="D667" s="574" t="s">
        <v>2220</v>
      </c>
      <c r="E667" s="574" t="s">
        <v>2222</v>
      </c>
      <c r="F667" s="574" t="s">
        <v>2223</v>
      </c>
      <c r="G667" s="574" t="s">
        <v>2224</v>
      </c>
      <c r="H667" s="574" t="s">
        <v>2225</v>
      </c>
      <c r="I667" s="574" t="s">
        <v>2226</v>
      </c>
      <c r="J667" s="574" t="s">
        <v>2227</v>
      </c>
      <c r="K667" s="574" t="s">
        <v>2228</v>
      </c>
      <c r="L667" s="574" t="s">
        <v>2229</v>
      </c>
      <c r="M667" s="574" t="s">
        <v>2230</v>
      </c>
      <c r="N667" s="574" t="s">
        <v>2231</v>
      </c>
      <c r="O667" s="574" t="s">
        <v>2759</v>
      </c>
      <c r="P667" s="574" t="s">
        <v>2932</v>
      </c>
      <c r="Q667" s="574" t="s">
        <v>2234</v>
      </c>
      <c r="R667" s="574" t="s">
        <v>2225</v>
      </c>
      <c r="S667" s="574" t="s">
        <v>2235</v>
      </c>
      <c r="T667" s="574" t="s">
        <v>2236</v>
      </c>
      <c r="U667" s="574" t="s">
        <v>3211</v>
      </c>
      <c r="V667" s="574" t="s">
        <v>2238</v>
      </c>
      <c r="W667" s="574" t="s">
        <v>2239</v>
      </c>
      <c r="X667" s="574" t="s">
        <v>3212</v>
      </c>
      <c r="Y667" s="575" t="s">
        <v>2565</v>
      </c>
      <c r="Z667" s="575" t="s">
        <v>2565</v>
      </c>
      <c r="AA667" s="574" t="s">
        <v>1693</v>
      </c>
      <c r="AB667" s="574" t="s">
        <v>2319</v>
      </c>
      <c r="AC667" s="574" t="s">
        <v>2402</v>
      </c>
      <c r="AD667" s="574" t="s">
        <v>2403</v>
      </c>
      <c r="AE667" s="574" t="s">
        <v>1486</v>
      </c>
      <c r="AF667" s="574" t="s">
        <v>2403</v>
      </c>
      <c r="AG667" s="576">
        <v>0</v>
      </c>
      <c r="AH667" s="576">
        <v>82600</v>
      </c>
    </row>
    <row r="668" spans="1:34" customFormat="1" x14ac:dyDescent="0.25">
      <c r="A668" s="574" t="s">
        <v>2219</v>
      </c>
      <c r="B668" s="574" t="s">
        <v>2220</v>
      </c>
      <c r="C668" s="574" t="s">
        <v>2221</v>
      </c>
      <c r="D668" s="574" t="s">
        <v>2220</v>
      </c>
      <c r="E668" s="574" t="s">
        <v>2222</v>
      </c>
      <c r="F668" s="574" t="s">
        <v>2223</v>
      </c>
      <c r="G668" s="574" t="s">
        <v>2224</v>
      </c>
      <c r="H668" s="574" t="s">
        <v>2225</v>
      </c>
      <c r="I668" s="574" t="s">
        <v>2226</v>
      </c>
      <c r="J668" s="574" t="s">
        <v>2227</v>
      </c>
      <c r="K668" s="574" t="s">
        <v>2228</v>
      </c>
      <c r="L668" s="574" t="s">
        <v>2229</v>
      </c>
      <c r="M668" s="574" t="s">
        <v>2230</v>
      </c>
      <c r="N668" s="574" t="s">
        <v>2231</v>
      </c>
      <c r="O668" s="574" t="s">
        <v>2759</v>
      </c>
      <c r="P668" s="574" t="s">
        <v>2932</v>
      </c>
      <c r="Q668" s="574" t="s">
        <v>2234</v>
      </c>
      <c r="R668" s="574" t="s">
        <v>2225</v>
      </c>
      <c r="S668" s="574" t="s">
        <v>2235</v>
      </c>
      <c r="T668" s="574" t="s">
        <v>2236</v>
      </c>
      <c r="U668" s="574" t="s">
        <v>3213</v>
      </c>
      <c r="V668" s="574" t="s">
        <v>2238</v>
      </c>
      <c r="W668" s="574" t="s">
        <v>2239</v>
      </c>
      <c r="X668" s="574" t="s">
        <v>3214</v>
      </c>
      <c r="Y668" s="575" t="s">
        <v>2565</v>
      </c>
      <c r="Z668" s="575" t="s">
        <v>2565</v>
      </c>
      <c r="AA668" s="574" t="s">
        <v>1693</v>
      </c>
      <c r="AB668" s="574" t="s">
        <v>2319</v>
      </c>
      <c r="AC668" s="574" t="s">
        <v>2320</v>
      </c>
      <c r="AD668" s="574" t="s">
        <v>2321</v>
      </c>
      <c r="AE668" s="574" t="s">
        <v>1446</v>
      </c>
      <c r="AF668" s="574" t="s">
        <v>2321</v>
      </c>
      <c r="AG668" s="576">
        <v>0</v>
      </c>
      <c r="AH668" s="576">
        <v>346330</v>
      </c>
    </row>
    <row r="669" spans="1:34" customFormat="1" x14ac:dyDescent="0.25">
      <c r="A669" s="574" t="s">
        <v>2219</v>
      </c>
      <c r="B669" s="574" t="s">
        <v>2220</v>
      </c>
      <c r="C669" s="574" t="s">
        <v>2221</v>
      </c>
      <c r="D669" s="574" t="s">
        <v>2220</v>
      </c>
      <c r="E669" s="574" t="s">
        <v>2222</v>
      </c>
      <c r="F669" s="574" t="s">
        <v>2223</v>
      </c>
      <c r="G669" s="574" t="s">
        <v>2224</v>
      </c>
      <c r="H669" s="574" t="s">
        <v>2225</v>
      </c>
      <c r="I669" s="574" t="s">
        <v>2226</v>
      </c>
      <c r="J669" s="574" t="s">
        <v>2227</v>
      </c>
      <c r="K669" s="574" t="s">
        <v>2228</v>
      </c>
      <c r="L669" s="574" t="s">
        <v>2229</v>
      </c>
      <c r="M669" s="574" t="s">
        <v>2230</v>
      </c>
      <c r="N669" s="574" t="s">
        <v>2231</v>
      </c>
      <c r="O669" s="574" t="s">
        <v>2759</v>
      </c>
      <c r="P669" s="574" t="s">
        <v>2932</v>
      </c>
      <c r="Q669" s="574" t="s">
        <v>2234</v>
      </c>
      <c r="R669" s="574" t="s">
        <v>2225</v>
      </c>
      <c r="S669" s="574" t="s">
        <v>2235</v>
      </c>
      <c r="T669" s="574" t="s">
        <v>2236</v>
      </c>
      <c r="U669" s="574" t="s">
        <v>3215</v>
      </c>
      <c r="V669" s="574" t="s">
        <v>2238</v>
      </c>
      <c r="W669" s="574" t="s">
        <v>2239</v>
      </c>
      <c r="X669" s="574" t="s">
        <v>3216</v>
      </c>
      <c r="Y669" s="575" t="s">
        <v>2568</v>
      </c>
      <c r="Z669" s="575" t="s">
        <v>2568</v>
      </c>
      <c r="AA669" s="574" t="s">
        <v>1691</v>
      </c>
      <c r="AB669" s="574" t="s">
        <v>2297</v>
      </c>
      <c r="AC669" s="574" t="s">
        <v>2298</v>
      </c>
      <c r="AD669" s="574" t="s">
        <v>2299</v>
      </c>
      <c r="AE669" s="574" t="s">
        <v>1468</v>
      </c>
      <c r="AF669" s="574" t="s">
        <v>2299</v>
      </c>
      <c r="AG669" s="576">
        <v>0</v>
      </c>
      <c r="AH669" s="576">
        <v>51642.400000000001</v>
      </c>
    </row>
    <row r="670" spans="1:34" customFormat="1" x14ac:dyDescent="0.25">
      <c r="A670" s="574" t="s">
        <v>2219</v>
      </c>
      <c r="B670" s="574" t="s">
        <v>2220</v>
      </c>
      <c r="C670" s="574" t="s">
        <v>2221</v>
      </c>
      <c r="D670" s="574" t="s">
        <v>2220</v>
      </c>
      <c r="E670" s="574" t="s">
        <v>2222</v>
      </c>
      <c r="F670" s="574" t="s">
        <v>2223</v>
      </c>
      <c r="G670" s="574" t="s">
        <v>2224</v>
      </c>
      <c r="H670" s="574" t="s">
        <v>2225</v>
      </c>
      <c r="I670" s="574" t="s">
        <v>2226</v>
      </c>
      <c r="J670" s="574" t="s">
        <v>2227</v>
      </c>
      <c r="K670" s="574" t="s">
        <v>2228</v>
      </c>
      <c r="L670" s="574" t="s">
        <v>2229</v>
      </c>
      <c r="M670" s="574" t="s">
        <v>2230</v>
      </c>
      <c r="N670" s="574" t="s">
        <v>2231</v>
      </c>
      <c r="O670" s="574" t="s">
        <v>2759</v>
      </c>
      <c r="P670" s="574" t="s">
        <v>2932</v>
      </c>
      <c r="Q670" s="574" t="s">
        <v>2234</v>
      </c>
      <c r="R670" s="574" t="s">
        <v>2225</v>
      </c>
      <c r="S670" s="574" t="s">
        <v>2235</v>
      </c>
      <c r="T670" s="574" t="s">
        <v>2236</v>
      </c>
      <c r="U670" s="574" t="s">
        <v>3215</v>
      </c>
      <c r="V670" s="574" t="s">
        <v>2238</v>
      </c>
      <c r="W670" s="574" t="s">
        <v>2239</v>
      </c>
      <c r="X670" s="574" t="s">
        <v>3216</v>
      </c>
      <c r="Y670" s="575" t="s">
        <v>2568</v>
      </c>
      <c r="Z670" s="575" t="s">
        <v>2568</v>
      </c>
      <c r="AA670" s="574" t="s">
        <v>1692</v>
      </c>
      <c r="AB670" s="574" t="s">
        <v>2307</v>
      </c>
      <c r="AC670" s="574" t="s">
        <v>2308</v>
      </c>
      <c r="AD670" s="574" t="s">
        <v>2309</v>
      </c>
      <c r="AE670" s="574" t="s">
        <v>1490</v>
      </c>
      <c r="AF670" s="574" t="s">
        <v>176</v>
      </c>
      <c r="AG670" s="576">
        <v>0</v>
      </c>
      <c r="AH670" s="576">
        <v>8800</v>
      </c>
    </row>
    <row r="671" spans="1:34" customFormat="1" x14ac:dyDescent="0.25">
      <c r="A671" s="574" t="s">
        <v>2219</v>
      </c>
      <c r="B671" s="574" t="s">
        <v>2220</v>
      </c>
      <c r="C671" s="574" t="s">
        <v>2221</v>
      </c>
      <c r="D671" s="574" t="s">
        <v>2220</v>
      </c>
      <c r="E671" s="574" t="s">
        <v>2222</v>
      </c>
      <c r="F671" s="574" t="s">
        <v>2223</v>
      </c>
      <c r="G671" s="574" t="s">
        <v>2224</v>
      </c>
      <c r="H671" s="574" t="s">
        <v>2225</v>
      </c>
      <c r="I671" s="574" t="s">
        <v>2226</v>
      </c>
      <c r="J671" s="574" t="s">
        <v>2227</v>
      </c>
      <c r="K671" s="574" t="s">
        <v>2228</v>
      </c>
      <c r="L671" s="574" t="s">
        <v>2229</v>
      </c>
      <c r="M671" s="574" t="s">
        <v>2230</v>
      </c>
      <c r="N671" s="574" t="s">
        <v>2231</v>
      </c>
      <c r="O671" s="574" t="s">
        <v>2759</v>
      </c>
      <c r="P671" s="574" t="s">
        <v>2932</v>
      </c>
      <c r="Q671" s="574" t="s">
        <v>2234</v>
      </c>
      <c r="R671" s="574" t="s">
        <v>2225</v>
      </c>
      <c r="S671" s="574" t="s">
        <v>2235</v>
      </c>
      <c r="T671" s="574" t="s">
        <v>2236</v>
      </c>
      <c r="U671" s="574" t="s">
        <v>3217</v>
      </c>
      <c r="V671" s="574" t="s">
        <v>2238</v>
      </c>
      <c r="W671" s="574" t="s">
        <v>2239</v>
      </c>
      <c r="X671" s="574" t="s">
        <v>3218</v>
      </c>
      <c r="Y671" s="575" t="s">
        <v>2568</v>
      </c>
      <c r="Z671" s="575" t="s">
        <v>2568</v>
      </c>
      <c r="AA671" s="574" t="s">
        <v>1693</v>
      </c>
      <c r="AB671" s="574" t="s">
        <v>2319</v>
      </c>
      <c r="AC671" s="574" t="s">
        <v>2320</v>
      </c>
      <c r="AD671" s="574" t="s">
        <v>2321</v>
      </c>
      <c r="AE671" s="574" t="s">
        <v>1446</v>
      </c>
      <c r="AF671" s="574" t="s">
        <v>2321</v>
      </c>
      <c r="AG671" s="576">
        <v>0</v>
      </c>
      <c r="AH671" s="576">
        <v>169215.6</v>
      </c>
    </row>
    <row r="672" spans="1:34" customFormat="1" x14ac:dyDescent="0.25">
      <c r="A672" s="574" t="s">
        <v>2219</v>
      </c>
      <c r="B672" s="574" t="s">
        <v>2220</v>
      </c>
      <c r="C672" s="574" t="s">
        <v>2221</v>
      </c>
      <c r="D672" s="574" t="s">
        <v>2220</v>
      </c>
      <c r="E672" s="574" t="s">
        <v>2222</v>
      </c>
      <c r="F672" s="574" t="s">
        <v>2223</v>
      </c>
      <c r="G672" s="574" t="s">
        <v>2224</v>
      </c>
      <c r="H672" s="574" t="s">
        <v>2225</v>
      </c>
      <c r="I672" s="574" t="s">
        <v>2226</v>
      </c>
      <c r="J672" s="574" t="s">
        <v>2227</v>
      </c>
      <c r="K672" s="574" t="s">
        <v>2228</v>
      </c>
      <c r="L672" s="574" t="s">
        <v>2229</v>
      </c>
      <c r="M672" s="574" t="s">
        <v>2230</v>
      </c>
      <c r="N672" s="574" t="s">
        <v>2231</v>
      </c>
      <c r="O672" s="574" t="s">
        <v>2759</v>
      </c>
      <c r="P672" s="574" t="s">
        <v>2932</v>
      </c>
      <c r="Q672" s="574" t="s">
        <v>2234</v>
      </c>
      <c r="R672" s="574" t="s">
        <v>2225</v>
      </c>
      <c r="S672" s="574" t="s">
        <v>2235</v>
      </c>
      <c r="T672" s="574" t="s">
        <v>2236</v>
      </c>
      <c r="U672" s="574" t="s">
        <v>3219</v>
      </c>
      <c r="V672" s="574" t="s">
        <v>2238</v>
      </c>
      <c r="W672" s="574" t="s">
        <v>2239</v>
      </c>
      <c r="X672" s="574" t="s">
        <v>3220</v>
      </c>
      <c r="Y672" s="575" t="s">
        <v>2568</v>
      </c>
      <c r="Z672" s="575" t="s">
        <v>2568</v>
      </c>
      <c r="AA672" s="574" t="s">
        <v>1684</v>
      </c>
      <c r="AB672" s="574" t="s">
        <v>2933</v>
      </c>
      <c r="AC672" s="574" t="s">
        <v>2934</v>
      </c>
      <c r="AD672" s="574" t="s">
        <v>137</v>
      </c>
      <c r="AE672" s="574" t="s">
        <v>1461</v>
      </c>
      <c r="AF672" s="574" t="s">
        <v>137</v>
      </c>
      <c r="AG672" s="576">
        <v>0</v>
      </c>
      <c r="AH672" s="576">
        <v>202624.15</v>
      </c>
    </row>
    <row r="673" spans="1:34" customFormat="1" x14ac:dyDescent="0.25">
      <c r="A673" s="574" t="s">
        <v>2219</v>
      </c>
      <c r="B673" s="574" t="s">
        <v>2220</v>
      </c>
      <c r="C673" s="574" t="s">
        <v>2221</v>
      </c>
      <c r="D673" s="574" t="s">
        <v>2220</v>
      </c>
      <c r="E673" s="574" t="s">
        <v>2222</v>
      </c>
      <c r="F673" s="574" t="s">
        <v>2223</v>
      </c>
      <c r="G673" s="574" t="s">
        <v>2224</v>
      </c>
      <c r="H673" s="574" t="s">
        <v>2225</v>
      </c>
      <c r="I673" s="574" t="s">
        <v>2226</v>
      </c>
      <c r="J673" s="574" t="s">
        <v>2227</v>
      </c>
      <c r="K673" s="574" t="s">
        <v>2228</v>
      </c>
      <c r="L673" s="574" t="s">
        <v>2229</v>
      </c>
      <c r="M673" s="574" t="s">
        <v>2230</v>
      </c>
      <c r="N673" s="574" t="s">
        <v>2231</v>
      </c>
      <c r="O673" s="574" t="s">
        <v>2759</v>
      </c>
      <c r="P673" s="574" t="s">
        <v>2932</v>
      </c>
      <c r="Q673" s="574" t="s">
        <v>2234</v>
      </c>
      <c r="R673" s="574" t="s">
        <v>2225</v>
      </c>
      <c r="S673" s="574" t="s">
        <v>2235</v>
      </c>
      <c r="T673" s="574" t="s">
        <v>2236</v>
      </c>
      <c r="U673" s="574" t="s">
        <v>3219</v>
      </c>
      <c r="V673" s="574" t="s">
        <v>2238</v>
      </c>
      <c r="W673" s="574" t="s">
        <v>2239</v>
      </c>
      <c r="X673" s="574" t="s">
        <v>3220</v>
      </c>
      <c r="Y673" s="575" t="s">
        <v>2568</v>
      </c>
      <c r="Z673" s="575" t="s">
        <v>2568</v>
      </c>
      <c r="AA673" s="574" t="s">
        <v>1685</v>
      </c>
      <c r="AB673" s="574" t="s">
        <v>2935</v>
      </c>
      <c r="AC673" s="574" t="s">
        <v>2936</v>
      </c>
      <c r="AD673" s="574" t="s">
        <v>2937</v>
      </c>
      <c r="AE673" s="574" t="s">
        <v>2938</v>
      </c>
      <c r="AF673" s="574" t="s">
        <v>2939</v>
      </c>
      <c r="AG673" s="576">
        <v>0</v>
      </c>
      <c r="AH673" s="576">
        <v>16089.95</v>
      </c>
    </row>
    <row r="674" spans="1:34" customFormat="1" x14ac:dyDescent="0.25">
      <c r="A674" s="574" t="s">
        <v>2219</v>
      </c>
      <c r="B674" s="574" t="s">
        <v>2220</v>
      </c>
      <c r="C674" s="574" t="s">
        <v>2221</v>
      </c>
      <c r="D674" s="574" t="s">
        <v>2220</v>
      </c>
      <c r="E674" s="574" t="s">
        <v>2222</v>
      </c>
      <c r="F674" s="574" t="s">
        <v>2223</v>
      </c>
      <c r="G674" s="574" t="s">
        <v>2224</v>
      </c>
      <c r="H674" s="574" t="s">
        <v>2225</v>
      </c>
      <c r="I674" s="574" t="s">
        <v>2226</v>
      </c>
      <c r="J674" s="574" t="s">
        <v>2227</v>
      </c>
      <c r="K674" s="574" t="s">
        <v>2228</v>
      </c>
      <c r="L674" s="574" t="s">
        <v>2229</v>
      </c>
      <c r="M674" s="574" t="s">
        <v>2230</v>
      </c>
      <c r="N674" s="574" t="s">
        <v>2231</v>
      </c>
      <c r="O674" s="574" t="s">
        <v>2759</v>
      </c>
      <c r="P674" s="574" t="s">
        <v>2932</v>
      </c>
      <c r="Q674" s="574" t="s">
        <v>2234</v>
      </c>
      <c r="R674" s="574" t="s">
        <v>2225</v>
      </c>
      <c r="S674" s="574" t="s">
        <v>2235</v>
      </c>
      <c r="T674" s="574" t="s">
        <v>2236</v>
      </c>
      <c r="U674" s="574" t="s">
        <v>3219</v>
      </c>
      <c r="V674" s="574" t="s">
        <v>2238</v>
      </c>
      <c r="W674" s="574" t="s">
        <v>2239</v>
      </c>
      <c r="X674" s="574" t="s">
        <v>3220</v>
      </c>
      <c r="Y674" s="575" t="s">
        <v>2568</v>
      </c>
      <c r="Z674" s="575" t="s">
        <v>2568</v>
      </c>
      <c r="AA674" s="574" t="s">
        <v>1692</v>
      </c>
      <c r="AB674" s="574" t="s">
        <v>2307</v>
      </c>
      <c r="AC674" s="574" t="s">
        <v>2308</v>
      </c>
      <c r="AD674" s="574" t="s">
        <v>2309</v>
      </c>
      <c r="AE674" s="574" t="s">
        <v>1490</v>
      </c>
      <c r="AF674" s="574" t="s">
        <v>176</v>
      </c>
      <c r="AG674" s="576">
        <v>0</v>
      </c>
      <c r="AH674" s="576">
        <v>7018694.7599999998</v>
      </c>
    </row>
    <row r="675" spans="1:34" customFormat="1" x14ac:dyDescent="0.25">
      <c r="A675" s="574" t="s">
        <v>2219</v>
      </c>
      <c r="B675" s="574" t="s">
        <v>2220</v>
      </c>
      <c r="C675" s="574" t="s">
        <v>2221</v>
      </c>
      <c r="D675" s="574" t="s">
        <v>2220</v>
      </c>
      <c r="E675" s="574" t="s">
        <v>2222</v>
      </c>
      <c r="F675" s="574" t="s">
        <v>2223</v>
      </c>
      <c r="G675" s="574" t="s">
        <v>2224</v>
      </c>
      <c r="H675" s="574" t="s">
        <v>2225</v>
      </c>
      <c r="I675" s="574" t="s">
        <v>2226</v>
      </c>
      <c r="J675" s="574" t="s">
        <v>2227</v>
      </c>
      <c r="K675" s="574" t="s">
        <v>2228</v>
      </c>
      <c r="L675" s="574" t="s">
        <v>2229</v>
      </c>
      <c r="M675" s="574" t="s">
        <v>2230</v>
      </c>
      <c r="N675" s="574" t="s">
        <v>2231</v>
      </c>
      <c r="O675" s="574" t="s">
        <v>2759</v>
      </c>
      <c r="P675" s="574" t="s">
        <v>2932</v>
      </c>
      <c r="Q675" s="574" t="s">
        <v>2234</v>
      </c>
      <c r="R675" s="574" t="s">
        <v>2225</v>
      </c>
      <c r="S675" s="574" t="s">
        <v>2235</v>
      </c>
      <c r="T675" s="574" t="s">
        <v>2236</v>
      </c>
      <c r="U675" s="574" t="s">
        <v>3221</v>
      </c>
      <c r="V675" s="574" t="s">
        <v>2238</v>
      </c>
      <c r="W675" s="574" t="s">
        <v>2239</v>
      </c>
      <c r="X675" s="574" t="s">
        <v>3222</v>
      </c>
      <c r="Y675" s="575" t="s">
        <v>2568</v>
      </c>
      <c r="Z675" s="575" t="s">
        <v>2568</v>
      </c>
      <c r="AA675" s="574" t="s">
        <v>1691</v>
      </c>
      <c r="AB675" s="574" t="s">
        <v>2297</v>
      </c>
      <c r="AC675" s="574" t="s">
        <v>2298</v>
      </c>
      <c r="AD675" s="574" t="s">
        <v>2299</v>
      </c>
      <c r="AE675" s="574" t="s">
        <v>1468</v>
      </c>
      <c r="AF675" s="574" t="s">
        <v>2299</v>
      </c>
      <c r="AG675" s="576">
        <v>0</v>
      </c>
      <c r="AH675" s="576">
        <v>96600</v>
      </c>
    </row>
    <row r="676" spans="1:34" customFormat="1" x14ac:dyDescent="0.25">
      <c r="A676" s="574" t="s">
        <v>2219</v>
      </c>
      <c r="B676" s="574" t="s">
        <v>2220</v>
      </c>
      <c r="C676" s="574" t="s">
        <v>2221</v>
      </c>
      <c r="D676" s="574" t="s">
        <v>2220</v>
      </c>
      <c r="E676" s="574" t="s">
        <v>2222</v>
      </c>
      <c r="F676" s="574" t="s">
        <v>2223</v>
      </c>
      <c r="G676" s="574" t="s">
        <v>2224</v>
      </c>
      <c r="H676" s="574" t="s">
        <v>2225</v>
      </c>
      <c r="I676" s="574" t="s">
        <v>2226</v>
      </c>
      <c r="J676" s="574" t="s">
        <v>2227</v>
      </c>
      <c r="K676" s="574" t="s">
        <v>2228</v>
      </c>
      <c r="L676" s="574" t="s">
        <v>2229</v>
      </c>
      <c r="M676" s="574" t="s">
        <v>2230</v>
      </c>
      <c r="N676" s="574" t="s">
        <v>2231</v>
      </c>
      <c r="O676" s="574" t="s">
        <v>2759</v>
      </c>
      <c r="P676" s="574" t="s">
        <v>2932</v>
      </c>
      <c r="Q676" s="574" t="s">
        <v>2234</v>
      </c>
      <c r="R676" s="574" t="s">
        <v>2225</v>
      </c>
      <c r="S676" s="574" t="s">
        <v>2235</v>
      </c>
      <c r="T676" s="574" t="s">
        <v>2236</v>
      </c>
      <c r="U676" s="574" t="s">
        <v>3221</v>
      </c>
      <c r="V676" s="574" t="s">
        <v>2238</v>
      </c>
      <c r="W676" s="574" t="s">
        <v>2239</v>
      </c>
      <c r="X676" s="574" t="s">
        <v>3222</v>
      </c>
      <c r="Y676" s="575" t="s">
        <v>2568</v>
      </c>
      <c r="Z676" s="575" t="s">
        <v>2568</v>
      </c>
      <c r="AA676" s="574" t="s">
        <v>1692</v>
      </c>
      <c r="AB676" s="574" t="s">
        <v>2307</v>
      </c>
      <c r="AC676" s="574" t="s">
        <v>2308</v>
      </c>
      <c r="AD676" s="574" t="s">
        <v>2309</v>
      </c>
      <c r="AE676" s="574" t="s">
        <v>1482</v>
      </c>
      <c r="AF676" s="574" t="s">
        <v>2961</v>
      </c>
      <c r="AG676" s="576">
        <v>0</v>
      </c>
      <c r="AH676" s="576">
        <v>125000</v>
      </c>
    </row>
    <row r="677" spans="1:34" customFormat="1" x14ac:dyDescent="0.25">
      <c r="A677" s="574" t="s">
        <v>2219</v>
      </c>
      <c r="B677" s="574" t="s">
        <v>2220</v>
      </c>
      <c r="C677" s="574" t="s">
        <v>2221</v>
      </c>
      <c r="D677" s="574" t="s">
        <v>2220</v>
      </c>
      <c r="E677" s="574" t="s">
        <v>2222</v>
      </c>
      <c r="F677" s="574" t="s">
        <v>2223</v>
      </c>
      <c r="G677" s="574" t="s">
        <v>2224</v>
      </c>
      <c r="H677" s="574" t="s">
        <v>2225</v>
      </c>
      <c r="I677" s="574" t="s">
        <v>2226</v>
      </c>
      <c r="J677" s="574" t="s">
        <v>2227</v>
      </c>
      <c r="K677" s="574" t="s">
        <v>2228</v>
      </c>
      <c r="L677" s="574" t="s">
        <v>2229</v>
      </c>
      <c r="M677" s="574" t="s">
        <v>2230</v>
      </c>
      <c r="N677" s="574" t="s">
        <v>2231</v>
      </c>
      <c r="O677" s="574" t="s">
        <v>2759</v>
      </c>
      <c r="P677" s="574" t="s">
        <v>2932</v>
      </c>
      <c r="Q677" s="574" t="s">
        <v>2234</v>
      </c>
      <c r="R677" s="574" t="s">
        <v>2225</v>
      </c>
      <c r="S677" s="574" t="s">
        <v>2235</v>
      </c>
      <c r="T677" s="574" t="s">
        <v>2236</v>
      </c>
      <c r="U677" s="574" t="s">
        <v>3223</v>
      </c>
      <c r="V677" s="574" t="s">
        <v>2238</v>
      </c>
      <c r="W677" s="574" t="s">
        <v>2239</v>
      </c>
      <c r="X677" s="574" t="s">
        <v>3224</v>
      </c>
      <c r="Y677" s="575" t="s">
        <v>2571</v>
      </c>
      <c r="Z677" s="575" t="s">
        <v>2571</v>
      </c>
      <c r="AA677" s="574" t="s">
        <v>1691</v>
      </c>
      <c r="AB677" s="574" t="s">
        <v>2297</v>
      </c>
      <c r="AC677" s="574" t="s">
        <v>2298</v>
      </c>
      <c r="AD677" s="574" t="s">
        <v>2299</v>
      </c>
      <c r="AE677" s="574" t="s">
        <v>1468</v>
      </c>
      <c r="AF677" s="574" t="s">
        <v>2299</v>
      </c>
      <c r="AG677" s="576">
        <v>0</v>
      </c>
      <c r="AH677" s="576">
        <v>70000</v>
      </c>
    </row>
    <row r="678" spans="1:34" customFormat="1" x14ac:dyDescent="0.25">
      <c r="A678" s="574" t="s">
        <v>2219</v>
      </c>
      <c r="B678" s="574" t="s">
        <v>2220</v>
      </c>
      <c r="C678" s="574" t="s">
        <v>2221</v>
      </c>
      <c r="D678" s="574" t="s">
        <v>2220</v>
      </c>
      <c r="E678" s="574" t="s">
        <v>2222</v>
      </c>
      <c r="F678" s="574" t="s">
        <v>2223</v>
      </c>
      <c r="G678" s="574" t="s">
        <v>2224</v>
      </c>
      <c r="H678" s="574" t="s">
        <v>2225</v>
      </c>
      <c r="I678" s="574" t="s">
        <v>2226</v>
      </c>
      <c r="J678" s="574" t="s">
        <v>2227</v>
      </c>
      <c r="K678" s="574" t="s">
        <v>2228</v>
      </c>
      <c r="L678" s="574" t="s">
        <v>2229</v>
      </c>
      <c r="M678" s="574" t="s">
        <v>2230</v>
      </c>
      <c r="N678" s="574" t="s">
        <v>2231</v>
      </c>
      <c r="O678" s="574" t="s">
        <v>2759</v>
      </c>
      <c r="P678" s="574" t="s">
        <v>2932</v>
      </c>
      <c r="Q678" s="574" t="s">
        <v>2234</v>
      </c>
      <c r="R678" s="574" t="s">
        <v>2225</v>
      </c>
      <c r="S678" s="574" t="s">
        <v>2235</v>
      </c>
      <c r="T678" s="574" t="s">
        <v>2236</v>
      </c>
      <c r="U678" s="574" t="s">
        <v>3225</v>
      </c>
      <c r="V678" s="574" t="s">
        <v>2238</v>
      </c>
      <c r="W678" s="574" t="s">
        <v>2239</v>
      </c>
      <c r="X678" s="574" t="s">
        <v>3226</v>
      </c>
      <c r="Y678" s="575" t="s">
        <v>2571</v>
      </c>
      <c r="Z678" s="575" t="s">
        <v>2571</v>
      </c>
      <c r="AA678" s="574" t="s">
        <v>1691</v>
      </c>
      <c r="AB678" s="574" t="s">
        <v>2297</v>
      </c>
      <c r="AC678" s="574" t="s">
        <v>2298</v>
      </c>
      <c r="AD678" s="574" t="s">
        <v>2299</v>
      </c>
      <c r="AE678" s="574" t="s">
        <v>1468</v>
      </c>
      <c r="AF678" s="574" t="s">
        <v>2299</v>
      </c>
      <c r="AG678" s="576">
        <v>0</v>
      </c>
      <c r="AH678" s="576">
        <v>47500</v>
      </c>
    </row>
    <row r="679" spans="1:34" customFormat="1" x14ac:dyDescent="0.25">
      <c r="A679" s="574" t="s">
        <v>2219</v>
      </c>
      <c r="B679" s="574" t="s">
        <v>2220</v>
      </c>
      <c r="C679" s="574" t="s">
        <v>2221</v>
      </c>
      <c r="D679" s="574" t="s">
        <v>2220</v>
      </c>
      <c r="E679" s="574" t="s">
        <v>2222</v>
      </c>
      <c r="F679" s="574" t="s">
        <v>2223</v>
      </c>
      <c r="G679" s="574" t="s">
        <v>2224</v>
      </c>
      <c r="H679" s="574" t="s">
        <v>2225</v>
      </c>
      <c r="I679" s="574" t="s">
        <v>2226</v>
      </c>
      <c r="J679" s="574" t="s">
        <v>2227</v>
      </c>
      <c r="K679" s="574" t="s">
        <v>2228</v>
      </c>
      <c r="L679" s="574" t="s">
        <v>2229</v>
      </c>
      <c r="M679" s="574" t="s">
        <v>2230</v>
      </c>
      <c r="N679" s="574" t="s">
        <v>2231</v>
      </c>
      <c r="O679" s="574" t="s">
        <v>2759</v>
      </c>
      <c r="P679" s="574" t="s">
        <v>2932</v>
      </c>
      <c r="Q679" s="574" t="s">
        <v>2234</v>
      </c>
      <c r="R679" s="574" t="s">
        <v>2225</v>
      </c>
      <c r="S679" s="574" t="s">
        <v>2235</v>
      </c>
      <c r="T679" s="574" t="s">
        <v>2236</v>
      </c>
      <c r="U679" s="574" t="s">
        <v>3227</v>
      </c>
      <c r="V679" s="574" t="s">
        <v>2238</v>
      </c>
      <c r="W679" s="574" t="s">
        <v>2239</v>
      </c>
      <c r="X679" s="574" t="s">
        <v>3228</v>
      </c>
      <c r="Y679" s="575" t="s">
        <v>2571</v>
      </c>
      <c r="Z679" s="575" t="s">
        <v>2571</v>
      </c>
      <c r="AA679" s="574" t="s">
        <v>1691</v>
      </c>
      <c r="AB679" s="574" t="s">
        <v>2297</v>
      </c>
      <c r="AC679" s="574" t="s">
        <v>2298</v>
      </c>
      <c r="AD679" s="574" t="s">
        <v>2299</v>
      </c>
      <c r="AE679" s="574" t="s">
        <v>1468</v>
      </c>
      <c r="AF679" s="574" t="s">
        <v>2299</v>
      </c>
      <c r="AG679" s="576">
        <v>0</v>
      </c>
      <c r="AH679" s="576">
        <v>217500</v>
      </c>
    </row>
    <row r="680" spans="1:34" customFormat="1" x14ac:dyDescent="0.25">
      <c r="A680" s="574" t="s">
        <v>2219</v>
      </c>
      <c r="B680" s="574" t="s">
        <v>2220</v>
      </c>
      <c r="C680" s="574" t="s">
        <v>2221</v>
      </c>
      <c r="D680" s="574" t="s">
        <v>2220</v>
      </c>
      <c r="E680" s="574" t="s">
        <v>2222</v>
      </c>
      <c r="F680" s="574" t="s">
        <v>2223</v>
      </c>
      <c r="G680" s="574" t="s">
        <v>2224</v>
      </c>
      <c r="H680" s="574" t="s">
        <v>2225</v>
      </c>
      <c r="I680" s="574" t="s">
        <v>2226</v>
      </c>
      <c r="J680" s="574" t="s">
        <v>2227</v>
      </c>
      <c r="K680" s="574" t="s">
        <v>2228</v>
      </c>
      <c r="L680" s="574" t="s">
        <v>2229</v>
      </c>
      <c r="M680" s="574" t="s">
        <v>2230</v>
      </c>
      <c r="N680" s="574" t="s">
        <v>2231</v>
      </c>
      <c r="O680" s="574" t="s">
        <v>2759</v>
      </c>
      <c r="P680" s="574" t="s">
        <v>2932</v>
      </c>
      <c r="Q680" s="574" t="s">
        <v>2234</v>
      </c>
      <c r="R680" s="574" t="s">
        <v>2225</v>
      </c>
      <c r="S680" s="574" t="s">
        <v>2235</v>
      </c>
      <c r="T680" s="574" t="s">
        <v>2236</v>
      </c>
      <c r="U680" s="574" t="s">
        <v>3229</v>
      </c>
      <c r="V680" s="574" t="s">
        <v>2238</v>
      </c>
      <c r="W680" s="574" t="s">
        <v>2239</v>
      </c>
      <c r="X680" s="574" t="s">
        <v>3230</v>
      </c>
      <c r="Y680" s="575" t="s">
        <v>2571</v>
      </c>
      <c r="Z680" s="575" t="s">
        <v>2571</v>
      </c>
      <c r="AA680" s="574" t="s">
        <v>1691</v>
      </c>
      <c r="AB680" s="574" t="s">
        <v>2297</v>
      </c>
      <c r="AC680" s="574" t="s">
        <v>2298</v>
      </c>
      <c r="AD680" s="574" t="s">
        <v>2299</v>
      </c>
      <c r="AE680" s="574" t="s">
        <v>1468</v>
      </c>
      <c r="AF680" s="574" t="s">
        <v>2299</v>
      </c>
      <c r="AG680" s="576">
        <v>0</v>
      </c>
      <c r="AH680" s="576">
        <v>100000</v>
      </c>
    </row>
    <row r="681" spans="1:34" customFormat="1" x14ac:dyDescent="0.25">
      <c r="A681" s="574" t="s">
        <v>2219</v>
      </c>
      <c r="B681" s="574" t="s">
        <v>2220</v>
      </c>
      <c r="C681" s="574" t="s">
        <v>2221</v>
      </c>
      <c r="D681" s="574" t="s">
        <v>2220</v>
      </c>
      <c r="E681" s="574" t="s">
        <v>2222</v>
      </c>
      <c r="F681" s="574" t="s">
        <v>2223</v>
      </c>
      <c r="G681" s="574" t="s">
        <v>2224</v>
      </c>
      <c r="H681" s="574" t="s">
        <v>2225</v>
      </c>
      <c r="I681" s="574" t="s">
        <v>2226</v>
      </c>
      <c r="J681" s="574" t="s">
        <v>2227</v>
      </c>
      <c r="K681" s="574" t="s">
        <v>2228</v>
      </c>
      <c r="L681" s="574" t="s">
        <v>2229</v>
      </c>
      <c r="M681" s="574" t="s">
        <v>2230</v>
      </c>
      <c r="N681" s="574" t="s">
        <v>2231</v>
      </c>
      <c r="O681" s="574" t="s">
        <v>2759</v>
      </c>
      <c r="P681" s="574" t="s">
        <v>2932</v>
      </c>
      <c r="Q681" s="574" t="s">
        <v>2234</v>
      </c>
      <c r="R681" s="574" t="s">
        <v>2225</v>
      </c>
      <c r="S681" s="574" t="s">
        <v>2235</v>
      </c>
      <c r="T681" s="574" t="s">
        <v>2236</v>
      </c>
      <c r="U681" s="574" t="s">
        <v>3231</v>
      </c>
      <c r="V681" s="574" t="s">
        <v>2238</v>
      </c>
      <c r="W681" s="574" t="s">
        <v>2239</v>
      </c>
      <c r="X681" s="574" t="s">
        <v>3232</v>
      </c>
      <c r="Y681" s="575" t="s">
        <v>2571</v>
      </c>
      <c r="Z681" s="575" t="s">
        <v>2571</v>
      </c>
      <c r="AA681" s="574" t="s">
        <v>1691</v>
      </c>
      <c r="AB681" s="574" t="s">
        <v>2297</v>
      </c>
      <c r="AC681" s="574" t="s">
        <v>2298</v>
      </c>
      <c r="AD681" s="574" t="s">
        <v>2299</v>
      </c>
      <c r="AE681" s="574" t="s">
        <v>1468</v>
      </c>
      <c r="AF681" s="574" t="s">
        <v>2299</v>
      </c>
      <c r="AG681" s="576">
        <v>0</v>
      </c>
      <c r="AH681" s="576">
        <v>46000</v>
      </c>
    </row>
    <row r="682" spans="1:34" customFormat="1" x14ac:dyDescent="0.25">
      <c r="A682" s="574" t="s">
        <v>2219</v>
      </c>
      <c r="B682" s="574" t="s">
        <v>2220</v>
      </c>
      <c r="C682" s="574" t="s">
        <v>2221</v>
      </c>
      <c r="D682" s="574" t="s">
        <v>2220</v>
      </c>
      <c r="E682" s="574" t="s">
        <v>2222</v>
      </c>
      <c r="F682" s="574" t="s">
        <v>2223</v>
      </c>
      <c r="G682" s="574" t="s">
        <v>2224</v>
      </c>
      <c r="H682" s="574" t="s">
        <v>2225</v>
      </c>
      <c r="I682" s="574" t="s">
        <v>2226</v>
      </c>
      <c r="J682" s="574" t="s">
        <v>2227</v>
      </c>
      <c r="K682" s="574" t="s">
        <v>2228</v>
      </c>
      <c r="L682" s="574" t="s">
        <v>2229</v>
      </c>
      <c r="M682" s="574" t="s">
        <v>2230</v>
      </c>
      <c r="N682" s="574" t="s">
        <v>2231</v>
      </c>
      <c r="O682" s="574" t="s">
        <v>2759</v>
      </c>
      <c r="P682" s="574" t="s">
        <v>2932</v>
      </c>
      <c r="Q682" s="574" t="s">
        <v>2234</v>
      </c>
      <c r="R682" s="574" t="s">
        <v>2225</v>
      </c>
      <c r="S682" s="574" t="s">
        <v>2235</v>
      </c>
      <c r="T682" s="574" t="s">
        <v>2236</v>
      </c>
      <c r="U682" s="574" t="s">
        <v>3233</v>
      </c>
      <c r="V682" s="574" t="s">
        <v>2238</v>
      </c>
      <c r="W682" s="574" t="s">
        <v>2239</v>
      </c>
      <c r="X682" s="574" t="s">
        <v>3234</v>
      </c>
      <c r="Y682" s="575" t="s">
        <v>2571</v>
      </c>
      <c r="Z682" s="575" t="s">
        <v>2571</v>
      </c>
      <c r="AA682" s="574" t="s">
        <v>1691</v>
      </c>
      <c r="AB682" s="574" t="s">
        <v>2297</v>
      </c>
      <c r="AC682" s="574" t="s">
        <v>2298</v>
      </c>
      <c r="AD682" s="574" t="s">
        <v>2299</v>
      </c>
      <c r="AE682" s="574" t="s">
        <v>1468</v>
      </c>
      <c r="AF682" s="574" t="s">
        <v>2299</v>
      </c>
      <c r="AG682" s="576">
        <v>0</v>
      </c>
      <c r="AH682" s="576">
        <v>28000</v>
      </c>
    </row>
    <row r="683" spans="1:34" customFormat="1" x14ac:dyDescent="0.25">
      <c r="A683" s="574" t="s">
        <v>2219</v>
      </c>
      <c r="B683" s="574" t="s">
        <v>2220</v>
      </c>
      <c r="C683" s="574" t="s">
        <v>2221</v>
      </c>
      <c r="D683" s="574" t="s">
        <v>2220</v>
      </c>
      <c r="E683" s="574" t="s">
        <v>2222</v>
      </c>
      <c r="F683" s="574" t="s">
        <v>2223</v>
      </c>
      <c r="G683" s="574" t="s">
        <v>2224</v>
      </c>
      <c r="H683" s="574" t="s">
        <v>2225</v>
      </c>
      <c r="I683" s="574" t="s">
        <v>2226</v>
      </c>
      <c r="J683" s="574" t="s">
        <v>2227</v>
      </c>
      <c r="K683" s="574" t="s">
        <v>2228</v>
      </c>
      <c r="L683" s="574" t="s">
        <v>2229</v>
      </c>
      <c r="M683" s="574" t="s">
        <v>2230</v>
      </c>
      <c r="N683" s="574" t="s">
        <v>2231</v>
      </c>
      <c r="O683" s="574" t="s">
        <v>2759</v>
      </c>
      <c r="P683" s="574" t="s">
        <v>2932</v>
      </c>
      <c r="Q683" s="574" t="s">
        <v>2234</v>
      </c>
      <c r="R683" s="574" t="s">
        <v>2225</v>
      </c>
      <c r="S683" s="574" t="s">
        <v>2235</v>
      </c>
      <c r="T683" s="574" t="s">
        <v>2236</v>
      </c>
      <c r="U683" s="574" t="s">
        <v>3235</v>
      </c>
      <c r="V683" s="574" t="s">
        <v>2238</v>
      </c>
      <c r="W683" s="574" t="s">
        <v>2239</v>
      </c>
      <c r="X683" s="574" t="s">
        <v>3236</v>
      </c>
      <c r="Y683" s="575" t="s">
        <v>2571</v>
      </c>
      <c r="Z683" s="575" t="s">
        <v>2571</v>
      </c>
      <c r="AA683" s="574" t="s">
        <v>1691</v>
      </c>
      <c r="AB683" s="574" t="s">
        <v>2297</v>
      </c>
      <c r="AC683" s="574" t="s">
        <v>2298</v>
      </c>
      <c r="AD683" s="574" t="s">
        <v>2299</v>
      </c>
      <c r="AE683" s="574" t="s">
        <v>1468</v>
      </c>
      <c r="AF683" s="574" t="s">
        <v>2299</v>
      </c>
      <c r="AG683" s="576">
        <v>0</v>
      </c>
      <c r="AH683" s="576">
        <v>179280</v>
      </c>
    </row>
    <row r="684" spans="1:34" customFormat="1" x14ac:dyDescent="0.25">
      <c r="A684" s="574" t="s">
        <v>2219</v>
      </c>
      <c r="B684" s="574" t="s">
        <v>2220</v>
      </c>
      <c r="C684" s="574" t="s">
        <v>2221</v>
      </c>
      <c r="D684" s="574" t="s">
        <v>2220</v>
      </c>
      <c r="E684" s="574" t="s">
        <v>2222</v>
      </c>
      <c r="F684" s="574" t="s">
        <v>2223</v>
      </c>
      <c r="G684" s="574" t="s">
        <v>2224</v>
      </c>
      <c r="H684" s="574" t="s">
        <v>2225</v>
      </c>
      <c r="I684" s="574" t="s">
        <v>2226</v>
      </c>
      <c r="J684" s="574" t="s">
        <v>2227</v>
      </c>
      <c r="K684" s="574" t="s">
        <v>2228</v>
      </c>
      <c r="L684" s="574" t="s">
        <v>2229</v>
      </c>
      <c r="M684" s="574" t="s">
        <v>2230</v>
      </c>
      <c r="N684" s="574" t="s">
        <v>2231</v>
      </c>
      <c r="O684" s="574" t="s">
        <v>2759</v>
      </c>
      <c r="P684" s="574" t="s">
        <v>2932</v>
      </c>
      <c r="Q684" s="574" t="s">
        <v>2234</v>
      </c>
      <c r="R684" s="574" t="s">
        <v>2225</v>
      </c>
      <c r="S684" s="574" t="s">
        <v>2235</v>
      </c>
      <c r="T684" s="574" t="s">
        <v>2236</v>
      </c>
      <c r="U684" s="574" t="s">
        <v>3237</v>
      </c>
      <c r="V684" s="574" t="s">
        <v>2238</v>
      </c>
      <c r="W684" s="574" t="s">
        <v>2239</v>
      </c>
      <c r="X684" s="574" t="s">
        <v>3238</v>
      </c>
      <c r="Y684" s="575" t="s">
        <v>2571</v>
      </c>
      <c r="Z684" s="575" t="s">
        <v>2571</v>
      </c>
      <c r="AA684" s="574" t="s">
        <v>1693</v>
      </c>
      <c r="AB684" s="574" t="s">
        <v>2319</v>
      </c>
      <c r="AC684" s="574" t="s">
        <v>2402</v>
      </c>
      <c r="AD684" s="574" t="s">
        <v>2403</v>
      </c>
      <c r="AE684" s="574" t="s">
        <v>1486</v>
      </c>
      <c r="AF684" s="574" t="s">
        <v>2403</v>
      </c>
      <c r="AG684" s="576">
        <v>0</v>
      </c>
      <c r="AH684" s="576">
        <v>204140</v>
      </c>
    </row>
    <row r="685" spans="1:34" customFormat="1" x14ac:dyDescent="0.25">
      <c r="A685" s="574" t="s">
        <v>2219</v>
      </c>
      <c r="B685" s="574" t="s">
        <v>2220</v>
      </c>
      <c r="C685" s="574" t="s">
        <v>2221</v>
      </c>
      <c r="D685" s="574" t="s">
        <v>2220</v>
      </c>
      <c r="E685" s="574" t="s">
        <v>2222</v>
      </c>
      <c r="F685" s="574" t="s">
        <v>2223</v>
      </c>
      <c r="G685" s="574" t="s">
        <v>2224</v>
      </c>
      <c r="H685" s="574" t="s">
        <v>2225</v>
      </c>
      <c r="I685" s="574" t="s">
        <v>2226</v>
      </c>
      <c r="J685" s="574" t="s">
        <v>2227</v>
      </c>
      <c r="K685" s="574" t="s">
        <v>2228</v>
      </c>
      <c r="L685" s="574" t="s">
        <v>2229</v>
      </c>
      <c r="M685" s="574" t="s">
        <v>2230</v>
      </c>
      <c r="N685" s="574" t="s">
        <v>2231</v>
      </c>
      <c r="O685" s="574" t="s">
        <v>2759</v>
      </c>
      <c r="P685" s="574" t="s">
        <v>2932</v>
      </c>
      <c r="Q685" s="574" t="s">
        <v>2234</v>
      </c>
      <c r="R685" s="574" t="s">
        <v>2225</v>
      </c>
      <c r="S685" s="574" t="s">
        <v>2235</v>
      </c>
      <c r="T685" s="574" t="s">
        <v>2236</v>
      </c>
      <c r="U685" s="574" t="s">
        <v>3239</v>
      </c>
      <c r="V685" s="574" t="s">
        <v>2238</v>
      </c>
      <c r="W685" s="574" t="s">
        <v>2239</v>
      </c>
      <c r="X685" s="574" t="s">
        <v>3240</v>
      </c>
      <c r="Y685" s="575" t="s">
        <v>2571</v>
      </c>
      <c r="Z685" s="575" t="s">
        <v>2571</v>
      </c>
      <c r="AA685" s="574" t="s">
        <v>1688</v>
      </c>
      <c r="AB685" s="574" t="s">
        <v>2430</v>
      </c>
      <c r="AC685" s="574" t="s">
        <v>2431</v>
      </c>
      <c r="AD685" s="574" t="s">
        <v>99</v>
      </c>
      <c r="AE685" s="574" t="s">
        <v>1531</v>
      </c>
      <c r="AF685" s="574" t="s">
        <v>99</v>
      </c>
      <c r="AG685" s="576">
        <v>0</v>
      </c>
      <c r="AH685" s="576">
        <v>487261</v>
      </c>
    </row>
    <row r="686" spans="1:34" customFormat="1" x14ac:dyDescent="0.25">
      <c r="A686" s="574" t="s">
        <v>2219</v>
      </c>
      <c r="B686" s="574" t="s">
        <v>2220</v>
      </c>
      <c r="C686" s="574" t="s">
        <v>2221</v>
      </c>
      <c r="D686" s="574" t="s">
        <v>2220</v>
      </c>
      <c r="E686" s="574" t="s">
        <v>2222</v>
      </c>
      <c r="F686" s="574" t="s">
        <v>2223</v>
      </c>
      <c r="G686" s="574" t="s">
        <v>2224</v>
      </c>
      <c r="H686" s="574" t="s">
        <v>2225</v>
      </c>
      <c r="I686" s="574" t="s">
        <v>2226</v>
      </c>
      <c r="J686" s="574" t="s">
        <v>2227</v>
      </c>
      <c r="K686" s="574" t="s">
        <v>2228</v>
      </c>
      <c r="L686" s="574" t="s">
        <v>2229</v>
      </c>
      <c r="M686" s="574" t="s">
        <v>2230</v>
      </c>
      <c r="N686" s="574" t="s">
        <v>2231</v>
      </c>
      <c r="O686" s="574" t="s">
        <v>2759</v>
      </c>
      <c r="P686" s="574" t="s">
        <v>2932</v>
      </c>
      <c r="Q686" s="574" t="s">
        <v>2234</v>
      </c>
      <c r="R686" s="574" t="s">
        <v>2225</v>
      </c>
      <c r="S686" s="574" t="s">
        <v>2235</v>
      </c>
      <c r="T686" s="574" t="s">
        <v>2236</v>
      </c>
      <c r="U686" s="574" t="s">
        <v>3241</v>
      </c>
      <c r="V686" s="574" t="s">
        <v>2238</v>
      </c>
      <c r="W686" s="574" t="s">
        <v>2239</v>
      </c>
      <c r="X686" s="574" t="s">
        <v>3242</v>
      </c>
      <c r="Y686" s="575" t="s">
        <v>2571</v>
      </c>
      <c r="Z686" s="575" t="s">
        <v>2571</v>
      </c>
      <c r="AA686" s="574" t="s">
        <v>1691</v>
      </c>
      <c r="AB686" s="574" t="s">
        <v>2297</v>
      </c>
      <c r="AC686" s="574" t="s">
        <v>2298</v>
      </c>
      <c r="AD686" s="574" t="s">
        <v>2299</v>
      </c>
      <c r="AE686" s="574" t="s">
        <v>1468</v>
      </c>
      <c r="AF686" s="574" t="s">
        <v>2299</v>
      </c>
      <c r="AG686" s="576">
        <v>0</v>
      </c>
      <c r="AH686" s="576">
        <v>80000</v>
      </c>
    </row>
    <row r="687" spans="1:34" customFormat="1" x14ac:dyDescent="0.25">
      <c r="A687" s="574" t="s">
        <v>2219</v>
      </c>
      <c r="B687" s="574" t="s">
        <v>2220</v>
      </c>
      <c r="C687" s="574" t="s">
        <v>2221</v>
      </c>
      <c r="D687" s="574" t="s">
        <v>2220</v>
      </c>
      <c r="E687" s="574" t="s">
        <v>2222</v>
      </c>
      <c r="F687" s="574" t="s">
        <v>2223</v>
      </c>
      <c r="G687" s="574" t="s">
        <v>2224</v>
      </c>
      <c r="H687" s="574" t="s">
        <v>2225</v>
      </c>
      <c r="I687" s="574" t="s">
        <v>2226</v>
      </c>
      <c r="J687" s="574" t="s">
        <v>2227</v>
      </c>
      <c r="K687" s="574" t="s">
        <v>2228</v>
      </c>
      <c r="L687" s="574" t="s">
        <v>2229</v>
      </c>
      <c r="M687" s="574" t="s">
        <v>2230</v>
      </c>
      <c r="N687" s="574" t="s">
        <v>2231</v>
      </c>
      <c r="O687" s="574" t="s">
        <v>2759</v>
      </c>
      <c r="P687" s="574" t="s">
        <v>2932</v>
      </c>
      <c r="Q687" s="574" t="s">
        <v>2234</v>
      </c>
      <c r="R687" s="574" t="s">
        <v>2225</v>
      </c>
      <c r="S687" s="574" t="s">
        <v>2235</v>
      </c>
      <c r="T687" s="574" t="s">
        <v>2236</v>
      </c>
      <c r="U687" s="574" t="s">
        <v>3243</v>
      </c>
      <c r="V687" s="574" t="s">
        <v>2238</v>
      </c>
      <c r="W687" s="574" t="s">
        <v>2239</v>
      </c>
      <c r="X687" s="574" t="s">
        <v>3244</v>
      </c>
      <c r="Y687" s="575" t="s">
        <v>2571</v>
      </c>
      <c r="Z687" s="575" t="s">
        <v>2571</v>
      </c>
      <c r="AA687" s="574" t="s">
        <v>1693</v>
      </c>
      <c r="AB687" s="574" t="s">
        <v>2319</v>
      </c>
      <c r="AC687" s="574" t="s">
        <v>2402</v>
      </c>
      <c r="AD687" s="574" t="s">
        <v>2403</v>
      </c>
      <c r="AE687" s="574" t="s">
        <v>1486</v>
      </c>
      <c r="AF687" s="574" t="s">
        <v>2403</v>
      </c>
      <c r="AG687" s="576">
        <v>0</v>
      </c>
      <c r="AH687" s="576">
        <v>46798.8</v>
      </c>
    </row>
    <row r="688" spans="1:34" customFormat="1" x14ac:dyDescent="0.25">
      <c r="A688" s="574" t="s">
        <v>2219</v>
      </c>
      <c r="B688" s="574" t="s">
        <v>2220</v>
      </c>
      <c r="C688" s="574" t="s">
        <v>2221</v>
      </c>
      <c r="D688" s="574" t="s">
        <v>2220</v>
      </c>
      <c r="E688" s="574" t="s">
        <v>2222</v>
      </c>
      <c r="F688" s="574" t="s">
        <v>2223</v>
      </c>
      <c r="G688" s="574" t="s">
        <v>2224</v>
      </c>
      <c r="H688" s="574" t="s">
        <v>2225</v>
      </c>
      <c r="I688" s="574" t="s">
        <v>2226</v>
      </c>
      <c r="J688" s="574" t="s">
        <v>2227</v>
      </c>
      <c r="K688" s="574" t="s">
        <v>2228</v>
      </c>
      <c r="L688" s="574" t="s">
        <v>2229</v>
      </c>
      <c r="M688" s="574" t="s">
        <v>2230</v>
      </c>
      <c r="N688" s="574" t="s">
        <v>2231</v>
      </c>
      <c r="O688" s="574" t="s">
        <v>2759</v>
      </c>
      <c r="P688" s="574" t="s">
        <v>2932</v>
      </c>
      <c r="Q688" s="574" t="s">
        <v>2234</v>
      </c>
      <c r="R688" s="574" t="s">
        <v>2225</v>
      </c>
      <c r="S688" s="574" t="s">
        <v>2235</v>
      </c>
      <c r="T688" s="574" t="s">
        <v>2236</v>
      </c>
      <c r="U688" s="574" t="s">
        <v>3245</v>
      </c>
      <c r="V688" s="574" t="s">
        <v>2238</v>
      </c>
      <c r="W688" s="574" t="s">
        <v>2239</v>
      </c>
      <c r="X688" s="574" t="s">
        <v>3246</v>
      </c>
      <c r="Y688" s="575" t="s">
        <v>2571</v>
      </c>
      <c r="Z688" s="575" t="s">
        <v>2571</v>
      </c>
      <c r="AA688" s="574" t="s">
        <v>1691</v>
      </c>
      <c r="AB688" s="574" t="s">
        <v>2297</v>
      </c>
      <c r="AC688" s="574" t="s">
        <v>2298</v>
      </c>
      <c r="AD688" s="574" t="s">
        <v>2299</v>
      </c>
      <c r="AE688" s="574" t="s">
        <v>1468</v>
      </c>
      <c r="AF688" s="574" t="s">
        <v>2299</v>
      </c>
      <c r="AG688" s="576">
        <v>0</v>
      </c>
      <c r="AH688" s="576">
        <v>237000</v>
      </c>
    </row>
    <row r="689" spans="1:34" customFormat="1" x14ac:dyDescent="0.25">
      <c r="A689" s="574" t="s">
        <v>2219</v>
      </c>
      <c r="B689" s="574" t="s">
        <v>2220</v>
      </c>
      <c r="C689" s="574" t="s">
        <v>2221</v>
      </c>
      <c r="D689" s="574" t="s">
        <v>2220</v>
      </c>
      <c r="E689" s="574" t="s">
        <v>2222</v>
      </c>
      <c r="F689" s="574" t="s">
        <v>2223</v>
      </c>
      <c r="G689" s="574" t="s">
        <v>2224</v>
      </c>
      <c r="H689" s="574" t="s">
        <v>2225</v>
      </c>
      <c r="I689" s="574" t="s">
        <v>2226</v>
      </c>
      <c r="J689" s="574" t="s">
        <v>2227</v>
      </c>
      <c r="K689" s="574" t="s">
        <v>2228</v>
      </c>
      <c r="L689" s="574" t="s">
        <v>2229</v>
      </c>
      <c r="M689" s="574" t="s">
        <v>2230</v>
      </c>
      <c r="N689" s="574" t="s">
        <v>2231</v>
      </c>
      <c r="O689" s="574" t="s">
        <v>2759</v>
      </c>
      <c r="P689" s="574" t="s">
        <v>2932</v>
      </c>
      <c r="Q689" s="574" t="s">
        <v>2234</v>
      </c>
      <c r="R689" s="574" t="s">
        <v>2225</v>
      </c>
      <c r="S689" s="574" t="s">
        <v>2235</v>
      </c>
      <c r="T689" s="574" t="s">
        <v>2236</v>
      </c>
      <c r="U689" s="574" t="s">
        <v>2577</v>
      </c>
      <c r="V689" s="574" t="s">
        <v>2238</v>
      </c>
      <c r="W689" s="574" t="s">
        <v>2239</v>
      </c>
      <c r="X689" s="574" t="s">
        <v>2578</v>
      </c>
      <c r="Y689" s="575" t="s">
        <v>2579</v>
      </c>
      <c r="Z689" s="575" t="s">
        <v>2579</v>
      </c>
      <c r="AA689" s="574" t="s">
        <v>1688</v>
      </c>
      <c r="AB689" s="574" t="s">
        <v>2430</v>
      </c>
      <c r="AC689" s="574" t="s">
        <v>2431</v>
      </c>
      <c r="AD689" s="574" t="s">
        <v>99</v>
      </c>
      <c r="AE689" s="574" t="s">
        <v>1531</v>
      </c>
      <c r="AF689" s="574" t="s">
        <v>99</v>
      </c>
      <c r="AG689" s="576">
        <v>0</v>
      </c>
      <c r="AH689" s="576">
        <v>471506.2</v>
      </c>
    </row>
    <row r="690" spans="1:34" customFormat="1" x14ac:dyDescent="0.25">
      <c r="A690" s="574" t="s">
        <v>2219</v>
      </c>
      <c r="B690" s="574" t="s">
        <v>2220</v>
      </c>
      <c r="C690" s="574" t="s">
        <v>2221</v>
      </c>
      <c r="D690" s="574" t="s">
        <v>2220</v>
      </c>
      <c r="E690" s="574" t="s">
        <v>2222</v>
      </c>
      <c r="F690" s="574" t="s">
        <v>2223</v>
      </c>
      <c r="G690" s="574" t="s">
        <v>2224</v>
      </c>
      <c r="H690" s="574" t="s">
        <v>2225</v>
      </c>
      <c r="I690" s="574" t="s">
        <v>2226</v>
      </c>
      <c r="J690" s="574" t="s">
        <v>2227</v>
      </c>
      <c r="K690" s="574" t="s">
        <v>2228</v>
      </c>
      <c r="L690" s="574" t="s">
        <v>2229</v>
      </c>
      <c r="M690" s="574" t="s">
        <v>2230</v>
      </c>
      <c r="N690" s="574" t="s">
        <v>2231</v>
      </c>
      <c r="O690" s="574" t="s">
        <v>2759</v>
      </c>
      <c r="P690" s="574" t="s">
        <v>2932</v>
      </c>
      <c r="Q690" s="574" t="s">
        <v>2234</v>
      </c>
      <c r="R690" s="574" t="s">
        <v>2225</v>
      </c>
      <c r="S690" s="574" t="s">
        <v>2235</v>
      </c>
      <c r="T690" s="574" t="s">
        <v>2236</v>
      </c>
      <c r="U690" s="574" t="s">
        <v>3247</v>
      </c>
      <c r="V690" s="574" t="s">
        <v>2238</v>
      </c>
      <c r="W690" s="574" t="s">
        <v>2239</v>
      </c>
      <c r="X690" s="574" t="s">
        <v>3248</v>
      </c>
      <c r="Y690" s="575" t="s">
        <v>2579</v>
      </c>
      <c r="Z690" s="575" t="s">
        <v>2579</v>
      </c>
      <c r="AA690" s="574" t="s">
        <v>1691</v>
      </c>
      <c r="AB690" s="574" t="s">
        <v>2297</v>
      </c>
      <c r="AC690" s="574" t="s">
        <v>2298</v>
      </c>
      <c r="AD690" s="574" t="s">
        <v>2299</v>
      </c>
      <c r="AE690" s="574" t="s">
        <v>1468</v>
      </c>
      <c r="AF690" s="574" t="s">
        <v>2299</v>
      </c>
      <c r="AG690" s="576">
        <v>0</v>
      </c>
      <c r="AH690" s="576">
        <v>258100</v>
      </c>
    </row>
    <row r="691" spans="1:34" customFormat="1" x14ac:dyDescent="0.25">
      <c r="A691" s="574" t="s">
        <v>2219</v>
      </c>
      <c r="B691" s="574" t="s">
        <v>2220</v>
      </c>
      <c r="C691" s="574" t="s">
        <v>2221</v>
      </c>
      <c r="D691" s="574" t="s">
        <v>2220</v>
      </c>
      <c r="E691" s="574" t="s">
        <v>2222</v>
      </c>
      <c r="F691" s="574" t="s">
        <v>2223</v>
      </c>
      <c r="G691" s="574" t="s">
        <v>2224</v>
      </c>
      <c r="H691" s="574" t="s">
        <v>2225</v>
      </c>
      <c r="I691" s="574" t="s">
        <v>2226</v>
      </c>
      <c r="J691" s="574" t="s">
        <v>2227</v>
      </c>
      <c r="K691" s="574" t="s">
        <v>2228</v>
      </c>
      <c r="L691" s="574" t="s">
        <v>2229</v>
      </c>
      <c r="M691" s="574" t="s">
        <v>2230</v>
      </c>
      <c r="N691" s="574" t="s">
        <v>2231</v>
      </c>
      <c r="O691" s="574" t="s">
        <v>2759</v>
      </c>
      <c r="P691" s="574" t="s">
        <v>2932</v>
      </c>
      <c r="Q691" s="574" t="s">
        <v>2234</v>
      </c>
      <c r="R691" s="574" t="s">
        <v>2225</v>
      </c>
      <c r="S691" s="574" t="s">
        <v>2235</v>
      </c>
      <c r="T691" s="574" t="s">
        <v>2236</v>
      </c>
      <c r="U691" s="574" t="s">
        <v>3249</v>
      </c>
      <c r="V691" s="574" t="s">
        <v>2238</v>
      </c>
      <c r="W691" s="574" t="s">
        <v>2239</v>
      </c>
      <c r="X691" s="574" t="s">
        <v>3250</v>
      </c>
      <c r="Y691" s="575" t="s">
        <v>2579</v>
      </c>
      <c r="Z691" s="575" t="s">
        <v>2579</v>
      </c>
      <c r="AA691" s="574" t="s">
        <v>1693</v>
      </c>
      <c r="AB691" s="574" t="s">
        <v>2319</v>
      </c>
      <c r="AC691" s="574" t="s">
        <v>2320</v>
      </c>
      <c r="AD691" s="574" t="s">
        <v>2321</v>
      </c>
      <c r="AE691" s="574" t="s">
        <v>1446</v>
      </c>
      <c r="AF691" s="574" t="s">
        <v>2321</v>
      </c>
      <c r="AG691" s="576">
        <v>0</v>
      </c>
      <c r="AH691" s="576">
        <v>208280.01</v>
      </c>
    </row>
    <row r="692" spans="1:34" customFormat="1" x14ac:dyDescent="0.25">
      <c r="A692" s="574" t="s">
        <v>2219</v>
      </c>
      <c r="B692" s="574" t="s">
        <v>2220</v>
      </c>
      <c r="C692" s="574" t="s">
        <v>2221</v>
      </c>
      <c r="D692" s="574" t="s">
        <v>2220</v>
      </c>
      <c r="E692" s="574" t="s">
        <v>2222</v>
      </c>
      <c r="F692" s="574" t="s">
        <v>2223</v>
      </c>
      <c r="G692" s="574" t="s">
        <v>2224</v>
      </c>
      <c r="H692" s="574" t="s">
        <v>2225</v>
      </c>
      <c r="I692" s="574" t="s">
        <v>2226</v>
      </c>
      <c r="J692" s="574" t="s">
        <v>2227</v>
      </c>
      <c r="K692" s="574" t="s">
        <v>2228</v>
      </c>
      <c r="L692" s="574" t="s">
        <v>2229</v>
      </c>
      <c r="M692" s="574" t="s">
        <v>2230</v>
      </c>
      <c r="N692" s="574" t="s">
        <v>2231</v>
      </c>
      <c r="O692" s="574" t="s">
        <v>2759</v>
      </c>
      <c r="P692" s="574" t="s">
        <v>2932</v>
      </c>
      <c r="Q692" s="574" t="s">
        <v>2234</v>
      </c>
      <c r="R692" s="574" t="s">
        <v>2225</v>
      </c>
      <c r="S692" s="574" t="s">
        <v>2235</v>
      </c>
      <c r="T692" s="574" t="s">
        <v>2236</v>
      </c>
      <c r="U692" s="574" t="s">
        <v>3251</v>
      </c>
      <c r="V692" s="574" t="s">
        <v>2238</v>
      </c>
      <c r="W692" s="574" t="s">
        <v>2239</v>
      </c>
      <c r="X692" s="574" t="s">
        <v>3252</v>
      </c>
      <c r="Y692" s="575" t="s">
        <v>2579</v>
      </c>
      <c r="Z692" s="575" t="s">
        <v>2579</v>
      </c>
      <c r="AA692" s="574" t="s">
        <v>1688</v>
      </c>
      <c r="AB692" s="574" t="s">
        <v>2430</v>
      </c>
      <c r="AC692" s="574" t="s">
        <v>2431</v>
      </c>
      <c r="AD692" s="574" t="s">
        <v>99</v>
      </c>
      <c r="AE692" s="574" t="s">
        <v>1531</v>
      </c>
      <c r="AF692" s="574" t="s">
        <v>99</v>
      </c>
      <c r="AG692" s="576">
        <v>0</v>
      </c>
      <c r="AH692" s="576">
        <v>371459</v>
      </c>
    </row>
    <row r="693" spans="1:34" customFormat="1" x14ac:dyDescent="0.25">
      <c r="A693" s="574" t="s">
        <v>2219</v>
      </c>
      <c r="B693" s="574" t="s">
        <v>2220</v>
      </c>
      <c r="C693" s="574" t="s">
        <v>2221</v>
      </c>
      <c r="D693" s="574" t="s">
        <v>2220</v>
      </c>
      <c r="E693" s="574" t="s">
        <v>2222</v>
      </c>
      <c r="F693" s="574" t="s">
        <v>2223</v>
      </c>
      <c r="G693" s="574" t="s">
        <v>2224</v>
      </c>
      <c r="H693" s="574" t="s">
        <v>2225</v>
      </c>
      <c r="I693" s="574" t="s">
        <v>2226</v>
      </c>
      <c r="J693" s="574" t="s">
        <v>2227</v>
      </c>
      <c r="K693" s="574" t="s">
        <v>2228</v>
      </c>
      <c r="L693" s="574" t="s">
        <v>2229</v>
      </c>
      <c r="M693" s="574" t="s">
        <v>2230</v>
      </c>
      <c r="N693" s="574" t="s">
        <v>2231</v>
      </c>
      <c r="O693" s="574" t="s">
        <v>2759</v>
      </c>
      <c r="P693" s="574" t="s">
        <v>2932</v>
      </c>
      <c r="Q693" s="574" t="s">
        <v>2234</v>
      </c>
      <c r="R693" s="574" t="s">
        <v>2225</v>
      </c>
      <c r="S693" s="574" t="s">
        <v>2235</v>
      </c>
      <c r="T693" s="574" t="s">
        <v>2236</v>
      </c>
      <c r="U693" s="574" t="s">
        <v>3253</v>
      </c>
      <c r="V693" s="574" t="s">
        <v>2238</v>
      </c>
      <c r="W693" s="574" t="s">
        <v>2239</v>
      </c>
      <c r="X693" s="574" t="s">
        <v>3254</v>
      </c>
      <c r="Y693" s="575" t="s">
        <v>2579</v>
      </c>
      <c r="Z693" s="575" t="s">
        <v>2579</v>
      </c>
      <c r="AA693" s="574" t="s">
        <v>1691</v>
      </c>
      <c r="AB693" s="574" t="s">
        <v>2297</v>
      </c>
      <c r="AC693" s="574" t="s">
        <v>2298</v>
      </c>
      <c r="AD693" s="574" t="s">
        <v>2299</v>
      </c>
      <c r="AE693" s="574" t="s">
        <v>1468</v>
      </c>
      <c r="AF693" s="574" t="s">
        <v>2299</v>
      </c>
      <c r="AG693" s="576">
        <v>0</v>
      </c>
      <c r="AH693" s="576">
        <v>257500</v>
      </c>
    </row>
    <row r="694" spans="1:34" customFormat="1" x14ac:dyDescent="0.25">
      <c r="A694" s="574" t="s">
        <v>2219</v>
      </c>
      <c r="B694" s="574" t="s">
        <v>2220</v>
      </c>
      <c r="C694" s="574" t="s">
        <v>2221</v>
      </c>
      <c r="D694" s="574" t="s">
        <v>2220</v>
      </c>
      <c r="E694" s="574" t="s">
        <v>2222</v>
      </c>
      <c r="F694" s="574" t="s">
        <v>2223</v>
      </c>
      <c r="G694" s="574" t="s">
        <v>2224</v>
      </c>
      <c r="H694" s="574" t="s">
        <v>2225</v>
      </c>
      <c r="I694" s="574" t="s">
        <v>2226</v>
      </c>
      <c r="J694" s="574" t="s">
        <v>2227</v>
      </c>
      <c r="K694" s="574" t="s">
        <v>2228</v>
      </c>
      <c r="L694" s="574" t="s">
        <v>2229</v>
      </c>
      <c r="M694" s="574" t="s">
        <v>2230</v>
      </c>
      <c r="N694" s="574" t="s">
        <v>2231</v>
      </c>
      <c r="O694" s="574" t="s">
        <v>2759</v>
      </c>
      <c r="P694" s="574" t="s">
        <v>2932</v>
      </c>
      <c r="Q694" s="574" t="s">
        <v>2234</v>
      </c>
      <c r="R694" s="574" t="s">
        <v>2225</v>
      </c>
      <c r="S694" s="574" t="s">
        <v>2235</v>
      </c>
      <c r="T694" s="574" t="s">
        <v>2236</v>
      </c>
      <c r="U694" s="574" t="s">
        <v>2584</v>
      </c>
      <c r="V694" s="574" t="s">
        <v>2238</v>
      </c>
      <c r="W694" s="574" t="s">
        <v>2239</v>
      </c>
      <c r="X694" s="574" t="s">
        <v>2585</v>
      </c>
      <c r="Y694" s="575" t="s">
        <v>2586</v>
      </c>
      <c r="Z694" s="575" t="s">
        <v>2586</v>
      </c>
      <c r="AA694" s="574" t="s">
        <v>1693</v>
      </c>
      <c r="AB694" s="574" t="s">
        <v>2319</v>
      </c>
      <c r="AC694" s="574" t="s">
        <v>2320</v>
      </c>
      <c r="AD694" s="574" t="s">
        <v>2321</v>
      </c>
      <c r="AE694" s="574" t="s">
        <v>1446</v>
      </c>
      <c r="AF694" s="574" t="s">
        <v>2321</v>
      </c>
      <c r="AG694" s="576">
        <v>0</v>
      </c>
      <c r="AH694" s="576">
        <v>100138.2</v>
      </c>
    </row>
    <row r="695" spans="1:34" customFormat="1" x14ac:dyDescent="0.25">
      <c r="A695" s="574" t="s">
        <v>2219</v>
      </c>
      <c r="B695" s="574" t="s">
        <v>2220</v>
      </c>
      <c r="C695" s="574" t="s">
        <v>2221</v>
      </c>
      <c r="D695" s="574" t="s">
        <v>2220</v>
      </c>
      <c r="E695" s="574" t="s">
        <v>2222</v>
      </c>
      <c r="F695" s="574" t="s">
        <v>2223</v>
      </c>
      <c r="G695" s="574" t="s">
        <v>2224</v>
      </c>
      <c r="H695" s="574" t="s">
        <v>2225</v>
      </c>
      <c r="I695" s="574" t="s">
        <v>2226</v>
      </c>
      <c r="J695" s="574" t="s">
        <v>2227</v>
      </c>
      <c r="K695" s="574" t="s">
        <v>2228</v>
      </c>
      <c r="L695" s="574" t="s">
        <v>2229</v>
      </c>
      <c r="M695" s="574" t="s">
        <v>2230</v>
      </c>
      <c r="N695" s="574" t="s">
        <v>2231</v>
      </c>
      <c r="O695" s="574" t="s">
        <v>2759</v>
      </c>
      <c r="P695" s="574" t="s">
        <v>2932</v>
      </c>
      <c r="Q695" s="574" t="s">
        <v>2234</v>
      </c>
      <c r="R695" s="574" t="s">
        <v>2225</v>
      </c>
      <c r="S695" s="574" t="s">
        <v>2235</v>
      </c>
      <c r="T695" s="574" t="s">
        <v>2236</v>
      </c>
      <c r="U695" s="574" t="s">
        <v>3255</v>
      </c>
      <c r="V695" s="574" t="s">
        <v>2238</v>
      </c>
      <c r="W695" s="574" t="s">
        <v>2239</v>
      </c>
      <c r="X695" s="574" t="s">
        <v>3256</v>
      </c>
      <c r="Y695" s="575" t="s">
        <v>2586</v>
      </c>
      <c r="Z695" s="575" t="s">
        <v>2586</v>
      </c>
      <c r="AA695" s="574" t="s">
        <v>1693</v>
      </c>
      <c r="AB695" s="574" t="s">
        <v>2319</v>
      </c>
      <c r="AC695" s="574" t="s">
        <v>2320</v>
      </c>
      <c r="AD695" s="574" t="s">
        <v>2321</v>
      </c>
      <c r="AE695" s="574" t="s">
        <v>1446</v>
      </c>
      <c r="AF695" s="574" t="s">
        <v>2321</v>
      </c>
      <c r="AG695" s="576">
        <v>0</v>
      </c>
      <c r="AH695" s="576">
        <v>92040</v>
      </c>
    </row>
    <row r="696" spans="1:34" customFormat="1" x14ac:dyDescent="0.25">
      <c r="A696" s="574" t="s">
        <v>2219</v>
      </c>
      <c r="B696" s="574" t="s">
        <v>2220</v>
      </c>
      <c r="C696" s="574" t="s">
        <v>2221</v>
      </c>
      <c r="D696" s="574" t="s">
        <v>2220</v>
      </c>
      <c r="E696" s="574" t="s">
        <v>2222</v>
      </c>
      <c r="F696" s="574" t="s">
        <v>2223</v>
      </c>
      <c r="G696" s="574" t="s">
        <v>2224</v>
      </c>
      <c r="H696" s="574" t="s">
        <v>2225</v>
      </c>
      <c r="I696" s="574" t="s">
        <v>2226</v>
      </c>
      <c r="J696" s="574" t="s">
        <v>2227</v>
      </c>
      <c r="K696" s="574" t="s">
        <v>2228</v>
      </c>
      <c r="L696" s="574" t="s">
        <v>2229</v>
      </c>
      <c r="M696" s="574" t="s">
        <v>2230</v>
      </c>
      <c r="N696" s="574" t="s">
        <v>2231</v>
      </c>
      <c r="O696" s="574" t="s">
        <v>2759</v>
      </c>
      <c r="P696" s="574" t="s">
        <v>2932</v>
      </c>
      <c r="Q696" s="574" t="s">
        <v>2234</v>
      </c>
      <c r="R696" s="574" t="s">
        <v>2225</v>
      </c>
      <c r="S696" s="574" t="s">
        <v>2235</v>
      </c>
      <c r="T696" s="574" t="s">
        <v>2236</v>
      </c>
      <c r="U696" s="574" t="s">
        <v>3257</v>
      </c>
      <c r="V696" s="574" t="s">
        <v>2238</v>
      </c>
      <c r="W696" s="574" t="s">
        <v>2239</v>
      </c>
      <c r="X696" s="574" t="s">
        <v>3258</v>
      </c>
      <c r="Y696" s="575" t="s">
        <v>2586</v>
      </c>
      <c r="Z696" s="575" t="s">
        <v>2586</v>
      </c>
      <c r="AA696" s="574" t="s">
        <v>1693</v>
      </c>
      <c r="AB696" s="574" t="s">
        <v>2319</v>
      </c>
      <c r="AC696" s="574" t="s">
        <v>2320</v>
      </c>
      <c r="AD696" s="574" t="s">
        <v>2321</v>
      </c>
      <c r="AE696" s="574" t="s">
        <v>1446</v>
      </c>
      <c r="AF696" s="574" t="s">
        <v>2321</v>
      </c>
      <c r="AG696" s="576">
        <v>0</v>
      </c>
      <c r="AH696" s="576">
        <v>125409</v>
      </c>
    </row>
    <row r="697" spans="1:34" customFormat="1" x14ac:dyDescent="0.25">
      <c r="A697" s="574" t="s">
        <v>2219</v>
      </c>
      <c r="B697" s="574" t="s">
        <v>2220</v>
      </c>
      <c r="C697" s="574" t="s">
        <v>2221</v>
      </c>
      <c r="D697" s="574" t="s">
        <v>2220</v>
      </c>
      <c r="E697" s="574" t="s">
        <v>2222</v>
      </c>
      <c r="F697" s="574" t="s">
        <v>2223</v>
      </c>
      <c r="G697" s="574" t="s">
        <v>2224</v>
      </c>
      <c r="H697" s="574" t="s">
        <v>2225</v>
      </c>
      <c r="I697" s="574" t="s">
        <v>2226</v>
      </c>
      <c r="J697" s="574" t="s">
        <v>2227</v>
      </c>
      <c r="K697" s="574" t="s">
        <v>2228</v>
      </c>
      <c r="L697" s="574" t="s">
        <v>2229</v>
      </c>
      <c r="M697" s="574" t="s">
        <v>2230</v>
      </c>
      <c r="N697" s="574" t="s">
        <v>2231</v>
      </c>
      <c r="O697" s="574" t="s">
        <v>2759</v>
      </c>
      <c r="P697" s="574" t="s">
        <v>2932</v>
      </c>
      <c r="Q697" s="574" t="s">
        <v>2234</v>
      </c>
      <c r="R697" s="574" t="s">
        <v>2225</v>
      </c>
      <c r="S697" s="574" t="s">
        <v>2235</v>
      </c>
      <c r="T697" s="574" t="s">
        <v>2236</v>
      </c>
      <c r="U697" s="574" t="s">
        <v>3259</v>
      </c>
      <c r="V697" s="574" t="s">
        <v>2238</v>
      </c>
      <c r="W697" s="574" t="s">
        <v>2239</v>
      </c>
      <c r="X697" s="574" t="s">
        <v>3260</v>
      </c>
      <c r="Y697" s="575" t="s">
        <v>2586</v>
      </c>
      <c r="Z697" s="575" t="s">
        <v>2586</v>
      </c>
      <c r="AA697" s="574" t="s">
        <v>1693</v>
      </c>
      <c r="AB697" s="574" t="s">
        <v>2319</v>
      </c>
      <c r="AC697" s="574" t="s">
        <v>2320</v>
      </c>
      <c r="AD697" s="574" t="s">
        <v>2321</v>
      </c>
      <c r="AE697" s="574" t="s">
        <v>1446</v>
      </c>
      <c r="AF697" s="574" t="s">
        <v>2321</v>
      </c>
      <c r="AG697" s="576">
        <v>0</v>
      </c>
      <c r="AH697" s="576">
        <v>22254.799999999999</v>
      </c>
    </row>
    <row r="698" spans="1:34" customFormat="1" x14ac:dyDescent="0.25">
      <c r="A698" s="574" t="s">
        <v>2219</v>
      </c>
      <c r="B698" s="574" t="s">
        <v>2220</v>
      </c>
      <c r="C698" s="574" t="s">
        <v>2221</v>
      </c>
      <c r="D698" s="574" t="s">
        <v>2220</v>
      </c>
      <c r="E698" s="574" t="s">
        <v>2222</v>
      </c>
      <c r="F698" s="574" t="s">
        <v>2223</v>
      </c>
      <c r="G698" s="574" t="s">
        <v>2224</v>
      </c>
      <c r="H698" s="574" t="s">
        <v>2225</v>
      </c>
      <c r="I698" s="574" t="s">
        <v>2226</v>
      </c>
      <c r="J698" s="574" t="s">
        <v>2227</v>
      </c>
      <c r="K698" s="574" t="s">
        <v>2228</v>
      </c>
      <c r="L698" s="574" t="s">
        <v>2229</v>
      </c>
      <c r="M698" s="574" t="s">
        <v>2230</v>
      </c>
      <c r="N698" s="574" t="s">
        <v>2231</v>
      </c>
      <c r="O698" s="574" t="s">
        <v>2759</v>
      </c>
      <c r="P698" s="574" t="s">
        <v>2932</v>
      </c>
      <c r="Q698" s="574" t="s">
        <v>2234</v>
      </c>
      <c r="R698" s="574" t="s">
        <v>2225</v>
      </c>
      <c r="S698" s="574" t="s">
        <v>2235</v>
      </c>
      <c r="T698" s="574" t="s">
        <v>2236</v>
      </c>
      <c r="U698" s="574" t="s">
        <v>3261</v>
      </c>
      <c r="V698" s="574" t="s">
        <v>2238</v>
      </c>
      <c r="W698" s="574" t="s">
        <v>2239</v>
      </c>
      <c r="X698" s="574" t="s">
        <v>3262</v>
      </c>
      <c r="Y698" s="575" t="s">
        <v>2586</v>
      </c>
      <c r="Z698" s="575" t="s">
        <v>2586</v>
      </c>
      <c r="AA698" s="574" t="s">
        <v>1693</v>
      </c>
      <c r="AB698" s="574" t="s">
        <v>2319</v>
      </c>
      <c r="AC698" s="574" t="s">
        <v>2320</v>
      </c>
      <c r="AD698" s="574" t="s">
        <v>2321</v>
      </c>
      <c r="AE698" s="574" t="s">
        <v>1446</v>
      </c>
      <c r="AF698" s="574" t="s">
        <v>2321</v>
      </c>
      <c r="AG698" s="576">
        <v>0</v>
      </c>
      <c r="AH698" s="576">
        <v>88500</v>
      </c>
    </row>
    <row r="699" spans="1:34" customFormat="1" x14ac:dyDescent="0.25">
      <c r="A699" s="574" t="s">
        <v>2219</v>
      </c>
      <c r="B699" s="574" t="s">
        <v>2220</v>
      </c>
      <c r="C699" s="574" t="s">
        <v>2221</v>
      </c>
      <c r="D699" s="574" t="s">
        <v>2220</v>
      </c>
      <c r="E699" s="574" t="s">
        <v>2222</v>
      </c>
      <c r="F699" s="574" t="s">
        <v>2223</v>
      </c>
      <c r="G699" s="574" t="s">
        <v>2224</v>
      </c>
      <c r="H699" s="574" t="s">
        <v>2225</v>
      </c>
      <c r="I699" s="574" t="s">
        <v>2226</v>
      </c>
      <c r="J699" s="574" t="s">
        <v>2227</v>
      </c>
      <c r="K699" s="574" t="s">
        <v>2228</v>
      </c>
      <c r="L699" s="574" t="s">
        <v>2229</v>
      </c>
      <c r="M699" s="574" t="s">
        <v>2230</v>
      </c>
      <c r="N699" s="574" t="s">
        <v>2231</v>
      </c>
      <c r="O699" s="574" t="s">
        <v>2759</v>
      </c>
      <c r="P699" s="574" t="s">
        <v>2932</v>
      </c>
      <c r="Q699" s="574" t="s">
        <v>2234</v>
      </c>
      <c r="R699" s="574" t="s">
        <v>2225</v>
      </c>
      <c r="S699" s="574" t="s">
        <v>2235</v>
      </c>
      <c r="T699" s="574" t="s">
        <v>2236</v>
      </c>
      <c r="U699" s="574" t="s">
        <v>3263</v>
      </c>
      <c r="V699" s="574" t="s">
        <v>2238</v>
      </c>
      <c r="W699" s="574" t="s">
        <v>2239</v>
      </c>
      <c r="X699" s="574" t="s">
        <v>3264</v>
      </c>
      <c r="Y699" s="575" t="s">
        <v>2586</v>
      </c>
      <c r="Z699" s="575" t="s">
        <v>2586</v>
      </c>
      <c r="AA699" s="574" t="s">
        <v>1693</v>
      </c>
      <c r="AB699" s="574" t="s">
        <v>2319</v>
      </c>
      <c r="AC699" s="574" t="s">
        <v>2320</v>
      </c>
      <c r="AD699" s="574" t="s">
        <v>2321</v>
      </c>
      <c r="AE699" s="574" t="s">
        <v>1446</v>
      </c>
      <c r="AF699" s="574" t="s">
        <v>2321</v>
      </c>
      <c r="AG699" s="576">
        <v>0</v>
      </c>
      <c r="AH699" s="576">
        <v>219461.59</v>
      </c>
    </row>
    <row r="700" spans="1:34" customFormat="1" x14ac:dyDescent="0.25">
      <c r="A700" s="574" t="s">
        <v>2219</v>
      </c>
      <c r="B700" s="574" t="s">
        <v>2220</v>
      </c>
      <c r="C700" s="574" t="s">
        <v>2221</v>
      </c>
      <c r="D700" s="574" t="s">
        <v>2220</v>
      </c>
      <c r="E700" s="574" t="s">
        <v>2222</v>
      </c>
      <c r="F700" s="574" t="s">
        <v>2223</v>
      </c>
      <c r="G700" s="574" t="s">
        <v>2224</v>
      </c>
      <c r="H700" s="574" t="s">
        <v>2225</v>
      </c>
      <c r="I700" s="574" t="s">
        <v>2226</v>
      </c>
      <c r="J700" s="574" t="s">
        <v>2227</v>
      </c>
      <c r="K700" s="574" t="s">
        <v>2228</v>
      </c>
      <c r="L700" s="574" t="s">
        <v>2229</v>
      </c>
      <c r="M700" s="574" t="s">
        <v>2230</v>
      </c>
      <c r="N700" s="574" t="s">
        <v>2231</v>
      </c>
      <c r="O700" s="574" t="s">
        <v>2759</v>
      </c>
      <c r="P700" s="574" t="s">
        <v>2932</v>
      </c>
      <c r="Q700" s="574" t="s">
        <v>2234</v>
      </c>
      <c r="R700" s="574" t="s">
        <v>2225</v>
      </c>
      <c r="S700" s="574" t="s">
        <v>2235</v>
      </c>
      <c r="T700" s="574" t="s">
        <v>2236</v>
      </c>
      <c r="U700" s="574" t="s">
        <v>3265</v>
      </c>
      <c r="V700" s="574" t="s">
        <v>2238</v>
      </c>
      <c r="W700" s="574" t="s">
        <v>2239</v>
      </c>
      <c r="X700" s="574" t="s">
        <v>3266</v>
      </c>
      <c r="Y700" s="575" t="s">
        <v>2586</v>
      </c>
      <c r="Z700" s="575" t="s">
        <v>2586</v>
      </c>
      <c r="AA700" s="574" t="s">
        <v>1693</v>
      </c>
      <c r="AB700" s="574" t="s">
        <v>2319</v>
      </c>
      <c r="AC700" s="574" t="s">
        <v>2320</v>
      </c>
      <c r="AD700" s="574" t="s">
        <v>2321</v>
      </c>
      <c r="AE700" s="574" t="s">
        <v>1446</v>
      </c>
      <c r="AF700" s="574" t="s">
        <v>2321</v>
      </c>
      <c r="AG700" s="576">
        <v>0</v>
      </c>
      <c r="AH700" s="576">
        <v>441947.76</v>
      </c>
    </row>
    <row r="701" spans="1:34" customFormat="1" x14ac:dyDescent="0.25">
      <c r="A701" s="574" t="s">
        <v>2219</v>
      </c>
      <c r="B701" s="574" t="s">
        <v>2220</v>
      </c>
      <c r="C701" s="574" t="s">
        <v>2221</v>
      </c>
      <c r="D701" s="574" t="s">
        <v>2220</v>
      </c>
      <c r="E701" s="574" t="s">
        <v>2222</v>
      </c>
      <c r="F701" s="574" t="s">
        <v>2223</v>
      </c>
      <c r="G701" s="574" t="s">
        <v>2224</v>
      </c>
      <c r="H701" s="574" t="s">
        <v>2225</v>
      </c>
      <c r="I701" s="574" t="s">
        <v>2226</v>
      </c>
      <c r="J701" s="574" t="s">
        <v>2227</v>
      </c>
      <c r="K701" s="574" t="s">
        <v>2228</v>
      </c>
      <c r="L701" s="574" t="s">
        <v>2229</v>
      </c>
      <c r="M701" s="574" t="s">
        <v>2230</v>
      </c>
      <c r="N701" s="574" t="s">
        <v>2231</v>
      </c>
      <c r="O701" s="574" t="s">
        <v>2759</v>
      </c>
      <c r="P701" s="574" t="s">
        <v>2932</v>
      </c>
      <c r="Q701" s="574" t="s">
        <v>2234</v>
      </c>
      <c r="R701" s="574" t="s">
        <v>2225</v>
      </c>
      <c r="S701" s="574" t="s">
        <v>2235</v>
      </c>
      <c r="T701" s="574" t="s">
        <v>2236</v>
      </c>
      <c r="U701" s="574" t="s">
        <v>3267</v>
      </c>
      <c r="V701" s="574" t="s">
        <v>2238</v>
      </c>
      <c r="W701" s="574" t="s">
        <v>2239</v>
      </c>
      <c r="X701" s="574" t="s">
        <v>3268</v>
      </c>
      <c r="Y701" s="575" t="s">
        <v>2586</v>
      </c>
      <c r="Z701" s="575" t="s">
        <v>2586</v>
      </c>
      <c r="AA701" s="574" t="s">
        <v>1693</v>
      </c>
      <c r="AB701" s="574" t="s">
        <v>2319</v>
      </c>
      <c r="AC701" s="574" t="s">
        <v>2320</v>
      </c>
      <c r="AD701" s="574" t="s">
        <v>2321</v>
      </c>
      <c r="AE701" s="574" t="s">
        <v>1446</v>
      </c>
      <c r="AF701" s="574" t="s">
        <v>2321</v>
      </c>
      <c r="AG701" s="576">
        <v>0</v>
      </c>
      <c r="AH701" s="576">
        <v>206500</v>
      </c>
    </row>
    <row r="702" spans="1:34" customFormat="1" x14ac:dyDescent="0.25">
      <c r="A702" s="574" t="s">
        <v>2219</v>
      </c>
      <c r="B702" s="574" t="s">
        <v>2220</v>
      </c>
      <c r="C702" s="574" t="s">
        <v>2221</v>
      </c>
      <c r="D702" s="574" t="s">
        <v>2220</v>
      </c>
      <c r="E702" s="574" t="s">
        <v>2222</v>
      </c>
      <c r="F702" s="574" t="s">
        <v>2223</v>
      </c>
      <c r="G702" s="574" t="s">
        <v>2224</v>
      </c>
      <c r="H702" s="574" t="s">
        <v>2225</v>
      </c>
      <c r="I702" s="574" t="s">
        <v>2226</v>
      </c>
      <c r="J702" s="574" t="s">
        <v>2227</v>
      </c>
      <c r="K702" s="574" t="s">
        <v>2228</v>
      </c>
      <c r="L702" s="574" t="s">
        <v>2229</v>
      </c>
      <c r="M702" s="574" t="s">
        <v>2230</v>
      </c>
      <c r="N702" s="574" t="s">
        <v>2231</v>
      </c>
      <c r="O702" s="574" t="s">
        <v>2759</v>
      </c>
      <c r="P702" s="574" t="s">
        <v>2932</v>
      </c>
      <c r="Q702" s="574" t="s">
        <v>2234</v>
      </c>
      <c r="R702" s="574" t="s">
        <v>2225</v>
      </c>
      <c r="S702" s="574" t="s">
        <v>2235</v>
      </c>
      <c r="T702" s="574" t="s">
        <v>2236</v>
      </c>
      <c r="U702" s="574" t="s">
        <v>3269</v>
      </c>
      <c r="V702" s="574" t="s">
        <v>2238</v>
      </c>
      <c r="W702" s="574" t="s">
        <v>2239</v>
      </c>
      <c r="X702" s="574" t="s">
        <v>3270</v>
      </c>
      <c r="Y702" s="575" t="s">
        <v>2586</v>
      </c>
      <c r="Z702" s="575" t="s">
        <v>2586</v>
      </c>
      <c r="AA702" s="574" t="s">
        <v>1693</v>
      </c>
      <c r="AB702" s="574" t="s">
        <v>2319</v>
      </c>
      <c r="AC702" s="574" t="s">
        <v>2402</v>
      </c>
      <c r="AD702" s="574" t="s">
        <v>2403</v>
      </c>
      <c r="AE702" s="574" t="s">
        <v>1486</v>
      </c>
      <c r="AF702" s="574" t="s">
        <v>2403</v>
      </c>
      <c r="AG702" s="576">
        <v>0</v>
      </c>
      <c r="AH702" s="576">
        <v>133038.64000000001</v>
      </c>
    </row>
    <row r="703" spans="1:34" customFormat="1" x14ac:dyDescent="0.25">
      <c r="A703" s="574" t="s">
        <v>2219</v>
      </c>
      <c r="B703" s="574" t="s">
        <v>2220</v>
      </c>
      <c r="C703" s="574" t="s">
        <v>2221</v>
      </c>
      <c r="D703" s="574" t="s">
        <v>2220</v>
      </c>
      <c r="E703" s="574" t="s">
        <v>2222</v>
      </c>
      <c r="F703" s="574" t="s">
        <v>2223</v>
      </c>
      <c r="G703" s="574" t="s">
        <v>2224</v>
      </c>
      <c r="H703" s="574" t="s">
        <v>2225</v>
      </c>
      <c r="I703" s="574" t="s">
        <v>2226</v>
      </c>
      <c r="J703" s="574" t="s">
        <v>2227</v>
      </c>
      <c r="K703" s="574" t="s">
        <v>2228</v>
      </c>
      <c r="L703" s="574" t="s">
        <v>2229</v>
      </c>
      <c r="M703" s="574" t="s">
        <v>2230</v>
      </c>
      <c r="N703" s="574" t="s">
        <v>2231</v>
      </c>
      <c r="O703" s="574" t="s">
        <v>2759</v>
      </c>
      <c r="P703" s="574" t="s">
        <v>2932</v>
      </c>
      <c r="Q703" s="574" t="s">
        <v>2234</v>
      </c>
      <c r="R703" s="574" t="s">
        <v>2225</v>
      </c>
      <c r="S703" s="574" t="s">
        <v>2235</v>
      </c>
      <c r="T703" s="574" t="s">
        <v>2236</v>
      </c>
      <c r="U703" s="574" t="s">
        <v>3271</v>
      </c>
      <c r="V703" s="574" t="s">
        <v>2238</v>
      </c>
      <c r="W703" s="574" t="s">
        <v>2239</v>
      </c>
      <c r="X703" s="574" t="s">
        <v>3272</v>
      </c>
      <c r="Y703" s="575" t="s">
        <v>2586</v>
      </c>
      <c r="Z703" s="575" t="s">
        <v>2586</v>
      </c>
      <c r="AA703" s="574" t="s">
        <v>1693</v>
      </c>
      <c r="AB703" s="574" t="s">
        <v>2319</v>
      </c>
      <c r="AC703" s="574" t="s">
        <v>2320</v>
      </c>
      <c r="AD703" s="574" t="s">
        <v>2321</v>
      </c>
      <c r="AE703" s="574" t="s">
        <v>1446</v>
      </c>
      <c r="AF703" s="574" t="s">
        <v>2321</v>
      </c>
      <c r="AG703" s="576">
        <v>0</v>
      </c>
      <c r="AH703" s="576">
        <v>50150</v>
      </c>
    </row>
    <row r="704" spans="1:34" customFormat="1" x14ac:dyDescent="0.25">
      <c r="A704" s="574" t="s">
        <v>2219</v>
      </c>
      <c r="B704" s="574" t="s">
        <v>2220</v>
      </c>
      <c r="C704" s="574" t="s">
        <v>2221</v>
      </c>
      <c r="D704" s="574" t="s">
        <v>2220</v>
      </c>
      <c r="E704" s="574" t="s">
        <v>2222</v>
      </c>
      <c r="F704" s="574" t="s">
        <v>2223</v>
      </c>
      <c r="G704" s="574" t="s">
        <v>2224</v>
      </c>
      <c r="H704" s="574" t="s">
        <v>2225</v>
      </c>
      <c r="I704" s="574" t="s">
        <v>2226</v>
      </c>
      <c r="J704" s="574" t="s">
        <v>2227</v>
      </c>
      <c r="K704" s="574" t="s">
        <v>2228</v>
      </c>
      <c r="L704" s="574" t="s">
        <v>2229</v>
      </c>
      <c r="M704" s="574" t="s">
        <v>2230</v>
      </c>
      <c r="N704" s="574" t="s">
        <v>2231</v>
      </c>
      <c r="O704" s="574" t="s">
        <v>2759</v>
      </c>
      <c r="P704" s="574" t="s">
        <v>2932</v>
      </c>
      <c r="Q704" s="574" t="s">
        <v>2234</v>
      </c>
      <c r="R704" s="574" t="s">
        <v>2225</v>
      </c>
      <c r="S704" s="574" t="s">
        <v>2235</v>
      </c>
      <c r="T704" s="574" t="s">
        <v>2236</v>
      </c>
      <c r="U704" s="574" t="s">
        <v>3273</v>
      </c>
      <c r="V704" s="574" t="s">
        <v>2238</v>
      </c>
      <c r="W704" s="574" t="s">
        <v>2239</v>
      </c>
      <c r="X704" s="574" t="s">
        <v>3274</v>
      </c>
      <c r="Y704" s="575" t="s">
        <v>2586</v>
      </c>
      <c r="Z704" s="575" t="s">
        <v>2586</v>
      </c>
      <c r="AA704" s="574" t="s">
        <v>1693</v>
      </c>
      <c r="AB704" s="574" t="s">
        <v>2319</v>
      </c>
      <c r="AC704" s="574" t="s">
        <v>2320</v>
      </c>
      <c r="AD704" s="574" t="s">
        <v>2321</v>
      </c>
      <c r="AE704" s="574" t="s">
        <v>1446</v>
      </c>
      <c r="AF704" s="574" t="s">
        <v>2321</v>
      </c>
      <c r="AG704" s="576">
        <v>0</v>
      </c>
      <c r="AH704" s="576">
        <v>216382.5</v>
      </c>
    </row>
    <row r="705" spans="1:34" customFormat="1" x14ac:dyDescent="0.25">
      <c r="A705" s="574" t="s">
        <v>2219</v>
      </c>
      <c r="B705" s="574" t="s">
        <v>2220</v>
      </c>
      <c r="C705" s="574" t="s">
        <v>2221</v>
      </c>
      <c r="D705" s="574" t="s">
        <v>2220</v>
      </c>
      <c r="E705" s="574" t="s">
        <v>2222</v>
      </c>
      <c r="F705" s="574" t="s">
        <v>2223</v>
      </c>
      <c r="G705" s="574" t="s">
        <v>2224</v>
      </c>
      <c r="H705" s="574" t="s">
        <v>2225</v>
      </c>
      <c r="I705" s="574" t="s">
        <v>2226</v>
      </c>
      <c r="J705" s="574" t="s">
        <v>2227</v>
      </c>
      <c r="K705" s="574" t="s">
        <v>2228</v>
      </c>
      <c r="L705" s="574" t="s">
        <v>2229</v>
      </c>
      <c r="M705" s="574" t="s">
        <v>2230</v>
      </c>
      <c r="N705" s="574" t="s">
        <v>2231</v>
      </c>
      <c r="O705" s="574" t="s">
        <v>2759</v>
      </c>
      <c r="P705" s="574" t="s">
        <v>2932</v>
      </c>
      <c r="Q705" s="574" t="s">
        <v>2234</v>
      </c>
      <c r="R705" s="574" t="s">
        <v>2225</v>
      </c>
      <c r="S705" s="574" t="s">
        <v>2235</v>
      </c>
      <c r="T705" s="574" t="s">
        <v>2236</v>
      </c>
      <c r="U705" s="574" t="s">
        <v>3275</v>
      </c>
      <c r="V705" s="574" t="s">
        <v>2238</v>
      </c>
      <c r="W705" s="574" t="s">
        <v>2239</v>
      </c>
      <c r="X705" s="574" t="s">
        <v>3276</v>
      </c>
      <c r="Y705" s="575" t="s">
        <v>2586</v>
      </c>
      <c r="Z705" s="575" t="s">
        <v>2586</v>
      </c>
      <c r="AA705" s="574" t="s">
        <v>1693</v>
      </c>
      <c r="AB705" s="574" t="s">
        <v>2319</v>
      </c>
      <c r="AC705" s="574" t="s">
        <v>2320</v>
      </c>
      <c r="AD705" s="574" t="s">
        <v>2321</v>
      </c>
      <c r="AE705" s="574" t="s">
        <v>1446</v>
      </c>
      <c r="AF705" s="574" t="s">
        <v>2321</v>
      </c>
      <c r="AG705" s="576">
        <v>0</v>
      </c>
      <c r="AH705" s="576">
        <v>249275</v>
      </c>
    </row>
    <row r="706" spans="1:34" customFormat="1" x14ac:dyDescent="0.25">
      <c r="A706" s="574" t="s">
        <v>2219</v>
      </c>
      <c r="B706" s="574" t="s">
        <v>2220</v>
      </c>
      <c r="C706" s="574" t="s">
        <v>2221</v>
      </c>
      <c r="D706" s="574" t="s">
        <v>2220</v>
      </c>
      <c r="E706" s="574" t="s">
        <v>2222</v>
      </c>
      <c r="F706" s="574" t="s">
        <v>2223</v>
      </c>
      <c r="G706" s="574" t="s">
        <v>2224</v>
      </c>
      <c r="H706" s="574" t="s">
        <v>2225</v>
      </c>
      <c r="I706" s="574" t="s">
        <v>2226</v>
      </c>
      <c r="J706" s="574" t="s">
        <v>2227</v>
      </c>
      <c r="K706" s="574" t="s">
        <v>2228</v>
      </c>
      <c r="L706" s="574" t="s">
        <v>2229</v>
      </c>
      <c r="M706" s="574" t="s">
        <v>2230</v>
      </c>
      <c r="N706" s="574" t="s">
        <v>2231</v>
      </c>
      <c r="O706" s="574" t="s">
        <v>2759</v>
      </c>
      <c r="P706" s="574" t="s">
        <v>2932</v>
      </c>
      <c r="Q706" s="574" t="s">
        <v>2234</v>
      </c>
      <c r="R706" s="574" t="s">
        <v>2225</v>
      </c>
      <c r="S706" s="574" t="s">
        <v>2235</v>
      </c>
      <c r="T706" s="574" t="s">
        <v>2236</v>
      </c>
      <c r="U706" s="574" t="s">
        <v>3277</v>
      </c>
      <c r="V706" s="574" t="s">
        <v>2238</v>
      </c>
      <c r="W706" s="574" t="s">
        <v>2239</v>
      </c>
      <c r="X706" s="574" t="s">
        <v>3278</v>
      </c>
      <c r="Y706" s="575" t="s">
        <v>3279</v>
      </c>
      <c r="Z706" s="575" t="s">
        <v>3279</v>
      </c>
      <c r="AA706" s="574" t="s">
        <v>1693</v>
      </c>
      <c r="AB706" s="574" t="s">
        <v>2319</v>
      </c>
      <c r="AC706" s="574" t="s">
        <v>2320</v>
      </c>
      <c r="AD706" s="574" t="s">
        <v>2321</v>
      </c>
      <c r="AE706" s="574" t="s">
        <v>1446</v>
      </c>
      <c r="AF706" s="574" t="s">
        <v>2321</v>
      </c>
      <c r="AG706" s="576">
        <v>0</v>
      </c>
      <c r="AH706" s="576">
        <v>257250</v>
      </c>
    </row>
    <row r="707" spans="1:34" customFormat="1" x14ac:dyDescent="0.25">
      <c r="A707" s="574" t="s">
        <v>2219</v>
      </c>
      <c r="B707" s="574" t="s">
        <v>2220</v>
      </c>
      <c r="C707" s="574" t="s">
        <v>2221</v>
      </c>
      <c r="D707" s="574" t="s">
        <v>2220</v>
      </c>
      <c r="E707" s="574" t="s">
        <v>2222</v>
      </c>
      <c r="F707" s="574" t="s">
        <v>2223</v>
      </c>
      <c r="G707" s="574" t="s">
        <v>2224</v>
      </c>
      <c r="H707" s="574" t="s">
        <v>2225</v>
      </c>
      <c r="I707" s="574" t="s">
        <v>2226</v>
      </c>
      <c r="J707" s="574" t="s">
        <v>2227</v>
      </c>
      <c r="K707" s="574" t="s">
        <v>2228</v>
      </c>
      <c r="L707" s="574" t="s">
        <v>2229</v>
      </c>
      <c r="M707" s="574" t="s">
        <v>2230</v>
      </c>
      <c r="N707" s="574" t="s">
        <v>2231</v>
      </c>
      <c r="O707" s="574" t="s">
        <v>2759</v>
      </c>
      <c r="P707" s="574" t="s">
        <v>2932</v>
      </c>
      <c r="Q707" s="574" t="s">
        <v>2234</v>
      </c>
      <c r="R707" s="574" t="s">
        <v>2225</v>
      </c>
      <c r="S707" s="574" t="s">
        <v>2235</v>
      </c>
      <c r="T707" s="574" t="s">
        <v>2236</v>
      </c>
      <c r="U707" s="574" t="s">
        <v>3280</v>
      </c>
      <c r="V707" s="574" t="s">
        <v>2238</v>
      </c>
      <c r="W707" s="574" t="s">
        <v>2239</v>
      </c>
      <c r="X707" s="574" t="s">
        <v>3281</v>
      </c>
      <c r="Y707" s="575" t="s">
        <v>3279</v>
      </c>
      <c r="Z707" s="575" t="s">
        <v>3279</v>
      </c>
      <c r="AA707" s="574" t="s">
        <v>1693</v>
      </c>
      <c r="AB707" s="574" t="s">
        <v>2319</v>
      </c>
      <c r="AC707" s="574" t="s">
        <v>2320</v>
      </c>
      <c r="AD707" s="574" t="s">
        <v>2321</v>
      </c>
      <c r="AE707" s="574" t="s">
        <v>1446</v>
      </c>
      <c r="AF707" s="574" t="s">
        <v>2321</v>
      </c>
      <c r="AG707" s="576">
        <v>0</v>
      </c>
      <c r="AH707" s="576">
        <v>176779.1</v>
      </c>
    </row>
    <row r="708" spans="1:34" customFormat="1" x14ac:dyDescent="0.25">
      <c r="A708" s="574" t="s">
        <v>2219</v>
      </c>
      <c r="B708" s="574" t="s">
        <v>2220</v>
      </c>
      <c r="C708" s="574" t="s">
        <v>2221</v>
      </c>
      <c r="D708" s="574" t="s">
        <v>2220</v>
      </c>
      <c r="E708" s="574" t="s">
        <v>2222</v>
      </c>
      <c r="F708" s="574" t="s">
        <v>2223</v>
      </c>
      <c r="G708" s="574" t="s">
        <v>2224</v>
      </c>
      <c r="H708" s="574" t="s">
        <v>2225</v>
      </c>
      <c r="I708" s="574" t="s">
        <v>2226</v>
      </c>
      <c r="J708" s="574" t="s">
        <v>2227</v>
      </c>
      <c r="K708" s="574" t="s">
        <v>2228</v>
      </c>
      <c r="L708" s="574" t="s">
        <v>2229</v>
      </c>
      <c r="M708" s="574" t="s">
        <v>2230</v>
      </c>
      <c r="N708" s="574" t="s">
        <v>2231</v>
      </c>
      <c r="O708" s="574" t="s">
        <v>2759</v>
      </c>
      <c r="P708" s="574" t="s">
        <v>2932</v>
      </c>
      <c r="Q708" s="574" t="s">
        <v>2234</v>
      </c>
      <c r="R708" s="574" t="s">
        <v>2225</v>
      </c>
      <c r="S708" s="574" t="s">
        <v>2235</v>
      </c>
      <c r="T708" s="574" t="s">
        <v>2236</v>
      </c>
      <c r="U708" s="574" t="s">
        <v>3282</v>
      </c>
      <c r="V708" s="574" t="s">
        <v>2238</v>
      </c>
      <c r="W708" s="574" t="s">
        <v>2239</v>
      </c>
      <c r="X708" s="574" t="s">
        <v>3283</v>
      </c>
      <c r="Y708" s="575" t="s">
        <v>2593</v>
      </c>
      <c r="Z708" s="575" t="s">
        <v>2593</v>
      </c>
      <c r="AA708" s="574" t="s">
        <v>1693</v>
      </c>
      <c r="AB708" s="574" t="s">
        <v>2319</v>
      </c>
      <c r="AC708" s="574" t="s">
        <v>2320</v>
      </c>
      <c r="AD708" s="574" t="s">
        <v>2321</v>
      </c>
      <c r="AE708" s="574" t="s">
        <v>1446</v>
      </c>
      <c r="AF708" s="574" t="s">
        <v>2321</v>
      </c>
      <c r="AG708" s="576">
        <v>0</v>
      </c>
      <c r="AH708" s="576">
        <v>159300</v>
      </c>
    </row>
    <row r="709" spans="1:34" customFormat="1" x14ac:dyDescent="0.25">
      <c r="A709" s="574" t="s">
        <v>2219</v>
      </c>
      <c r="B709" s="574" t="s">
        <v>2220</v>
      </c>
      <c r="C709" s="574" t="s">
        <v>2221</v>
      </c>
      <c r="D709" s="574" t="s">
        <v>2220</v>
      </c>
      <c r="E709" s="574" t="s">
        <v>2222</v>
      </c>
      <c r="F709" s="574" t="s">
        <v>2223</v>
      </c>
      <c r="G709" s="574" t="s">
        <v>2224</v>
      </c>
      <c r="H709" s="574" t="s">
        <v>2225</v>
      </c>
      <c r="I709" s="574" t="s">
        <v>2226</v>
      </c>
      <c r="J709" s="574" t="s">
        <v>2227</v>
      </c>
      <c r="K709" s="574" t="s">
        <v>2228</v>
      </c>
      <c r="L709" s="574" t="s">
        <v>2229</v>
      </c>
      <c r="M709" s="574" t="s">
        <v>2230</v>
      </c>
      <c r="N709" s="574" t="s">
        <v>2231</v>
      </c>
      <c r="O709" s="574" t="s">
        <v>2759</v>
      </c>
      <c r="P709" s="574" t="s">
        <v>2932</v>
      </c>
      <c r="Q709" s="574" t="s">
        <v>2234</v>
      </c>
      <c r="R709" s="574" t="s">
        <v>2225</v>
      </c>
      <c r="S709" s="574" t="s">
        <v>2235</v>
      </c>
      <c r="T709" s="574" t="s">
        <v>2236</v>
      </c>
      <c r="U709" s="574" t="s">
        <v>3284</v>
      </c>
      <c r="V709" s="574" t="s">
        <v>2238</v>
      </c>
      <c r="W709" s="574" t="s">
        <v>2239</v>
      </c>
      <c r="X709" s="574" t="s">
        <v>3285</v>
      </c>
      <c r="Y709" s="575" t="s">
        <v>2593</v>
      </c>
      <c r="Z709" s="575" t="s">
        <v>2593</v>
      </c>
      <c r="AA709" s="574" t="s">
        <v>1693</v>
      </c>
      <c r="AB709" s="574" t="s">
        <v>2319</v>
      </c>
      <c r="AC709" s="574" t="s">
        <v>2320</v>
      </c>
      <c r="AD709" s="574" t="s">
        <v>2321</v>
      </c>
      <c r="AE709" s="574" t="s">
        <v>1446</v>
      </c>
      <c r="AF709" s="574" t="s">
        <v>2321</v>
      </c>
      <c r="AG709" s="576">
        <v>0</v>
      </c>
      <c r="AH709" s="576">
        <v>172870</v>
      </c>
    </row>
    <row r="710" spans="1:34" customFormat="1" x14ac:dyDescent="0.25">
      <c r="A710" s="574" t="s">
        <v>2219</v>
      </c>
      <c r="B710" s="574" t="s">
        <v>2220</v>
      </c>
      <c r="C710" s="574" t="s">
        <v>2221</v>
      </c>
      <c r="D710" s="574" t="s">
        <v>2220</v>
      </c>
      <c r="E710" s="574" t="s">
        <v>2222</v>
      </c>
      <c r="F710" s="574" t="s">
        <v>2223</v>
      </c>
      <c r="G710" s="574" t="s">
        <v>2224</v>
      </c>
      <c r="H710" s="574" t="s">
        <v>2225</v>
      </c>
      <c r="I710" s="574" t="s">
        <v>2226</v>
      </c>
      <c r="J710" s="574" t="s">
        <v>2227</v>
      </c>
      <c r="K710" s="574" t="s">
        <v>2228</v>
      </c>
      <c r="L710" s="574" t="s">
        <v>2229</v>
      </c>
      <c r="M710" s="574" t="s">
        <v>2230</v>
      </c>
      <c r="N710" s="574" t="s">
        <v>2231</v>
      </c>
      <c r="O710" s="574" t="s">
        <v>2759</v>
      </c>
      <c r="P710" s="574" t="s">
        <v>2932</v>
      </c>
      <c r="Q710" s="574" t="s">
        <v>2234</v>
      </c>
      <c r="R710" s="574" t="s">
        <v>2225</v>
      </c>
      <c r="S710" s="574" t="s">
        <v>2235</v>
      </c>
      <c r="T710" s="574" t="s">
        <v>2236</v>
      </c>
      <c r="U710" s="574" t="s">
        <v>3286</v>
      </c>
      <c r="V710" s="574" t="s">
        <v>2238</v>
      </c>
      <c r="W710" s="574" t="s">
        <v>2239</v>
      </c>
      <c r="X710" s="574" t="s">
        <v>3287</v>
      </c>
      <c r="Y710" s="575" t="s">
        <v>2593</v>
      </c>
      <c r="Z710" s="575" t="s">
        <v>2593</v>
      </c>
      <c r="AA710" s="574" t="s">
        <v>1693</v>
      </c>
      <c r="AB710" s="574" t="s">
        <v>2319</v>
      </c>
      <c r="AC710" s="574" t="s">
        <v>2320</v>
      </c>
      <c r="AD710" s="574" t="s">
        <v>2321</v>
      </c>
      <c r="AE710" s="574" t="s">
        <v>1446</v>
      </c>
      <c r="AF710" s="574" t="s">
        <v>2321</v>
      </c>
      <c r="AG710" s="576">
        <v>0</v>
      </c>
      <c r="AH710" s="576">
        <v>213875</v>
      </c>
    </row>
    <row r="711" spans="1:34" customFormat="1" x14ac:dyDescent="0.25">
      <c r="A711" s="574" t="s">
        <v>2219</v>
      </c>
      <c r="B711" s="574" t="s">
        <v>2220</v>
      </c>
      <c r="C711" s="574" t="s">
        <v>2221</v>
      </c>
      <c r="D711" s="574" t="s">
        <v>2220</v>
      </c>
      <c r="E711" s="574" t="s">
        <v>2222</v>
      </c>
      <c r="F711" s="574" t="s">
        <v>2223</v>
      </c>
      <c r="G711" s="574" t="s">
        <v>2224</v>
      </c>
      <c r="H711" s="574" t="s">
        <v>2225</v>
      </c>
      <c r="I711" s="574" t="s">
        <v>2226</v>
      </c>
      <c r="J711" s="574" t="s">
        <v>2227</v>
      </c>
      <c r="K711" s="574" t="s">
        <v>2228</v>
      </c>
      <c r="L711" s="574" t="s">
        <v>2229</v>
      </c>
      <c r="M711" s="574" t="s">
        <v>2230</v>
      </c>
      <c r="N711" s="574" t="s">
        <v>2231</v>
      </c>
      <c r="O711" s="574" t="s">
        <v>2759</v>
      </c>
      <c r="P711" s="574" t="s">
        <v>2932</v>
      </c>
      <c r="Q711" s="574" t="s">
        <v>2234</v>
      </c>
      <c r="R711" s="574" t="s">
        <v>2225</v>
      </c>
      <c r="S711" s="574" t="s">
        <v>2235</v>
      </c>
      <c r="T711" s="574" t="s">
        <v>2236</v>
      </c>
      <c r="U711" s="574" t="s">
        <v>3288</v>
      </c>
      <c r="V711" s="574" t="s">
        <v>2238</v>
      </c>
      <c r="W711" s="574" t="s">
        <v>2239</v>
      </c>
      <c r="X711" s="574" t="s">
        <v>3289</v>
      </c>
      <c r="Y711" s="575" t="s">
        <v>2593</v>
      </c>
      <c r="Z711" s="575" t="s">
        <v>2593</v>
      </c>
      <c r="AA711" s="574" t="s">
        <v>1693</v>
      </c>
      <c r="AB711" s="574" t="s">
        <v>2319</v>
      </c>
      <c r="AC711" s="574" t="s">
        <v>2320</v>
      </c>
      <c r="AD711" s="574" t="s">
        <v>2321</v>
      </c>
      <c r="AE711" s="574" t="s">
        <v>1446</v>
      </c>
      <c r="AF711" s="574" t="s">
        <v>2321</v>
      </c>
      <c r="AG711" s="576">
        <v>0</v>
      </c>
      <c r="AH711" s="576">
        <v>112100</v>
      </c>
    </row>
    <row r="712" spans="1:34" customFormat="1" x14ac:dyDescent="0.25">
      <c r="A712" s="574" t="s">
        <v>2219</v>
      </c>
      <c r="B712" s="574" t="s">
        <v>2220</v>
      </c>
      <c r="C712" s="574" t="s">
        <v>2221</v>
      </c>
      <c r="D712" s="574" t="s">
        <v>2220</v>
      </c>
      <c r="E712" s="574" t="s">
        <v>2222</v>
      </c>
      <c r="F712" s="574" t="s">
        <v>2223</v>
      </c>
      <c r="G712" s="574" t="s">
        <v>2224</v>
      </c>
      <c r="H712" s="574" t="s">
        <v>2225</v>
      </c>
      <c r="I712" s="574" t="s">
        <v>2226</v>
      </c>
      <c r="J712" s="574" t="s">
        <v>2227</v>
      </c>
      <c r="K712" s="574" t="s">
        <v>2228</v>
      </c>
      <c r="L712" s="574" t="s">
        <v>2229</v>
      </c>
      <c r="M712" s="574" t="s">
        <v>2230</v>
      </c>
      <c r="N712" s="574" t="s">
        <v>2231</v>
      </c>
      <c r="O712" s="574" t="s">
        <v>2759</v>
      </c>
      <c r="P712" s="574" t="s">
        <v>2932</v>
      </c>
      <c r="Q712" s="574" t="s">
        <v>2234</v>
      </c>
      <c r="R712" s="574" t="s">
        <v>2225</v>
      </c>
      <c r="S712" s="574" t="s">
        <v>2235</v>
      </c>
      <c r="T712" s="574" t="s">
        <v>2236</v>
      </c>
      <c r="U712" s="574" t="s">
        <v>3290</v>
      </c>
      <c r="V712" s="574" t="s">
        <v>2238</v>
      </c>
      <c r="W712" s="574" t="s">
        <v>2239</v>
      </c>
      <c r="X712" s="574" t="s">
        <v>3291</v>
      </c>
      <c r="Y712" s="575" t="s">
        <v>2678</v>
      </c>
      <c r="Z712" s="575" t="s">
        <v>2678</v>
      </c>
      <c r="AA712" s="574" t="s">
        <v>1693</v>
      </c>
      <c r="AB712" s="574" t="s">
        <v>2319</v>
      </c>
      <c r="AC712" s="574" t="s">
        <v>2320</v>
      </c>
      <c r="AD712" s="574" t="s">
        <v>2321</v>
      </c>
      <c r="AE712" s="574" t="s">
        <v>1446</v>
      </c>
      <c r="AF712" s="574" t="s">
        <v>2321</v>
      </c>
      <c r="AG712" s="576">
        <v>0</v>
      </c>
      <c r="AH712" s="576">
        <v>88500</v>
      </c>
    </row>
    <row r="713" spans="1:34" customFormat="1" x14ac:dyDescent="0.25">
      <c r="A713" s="574" t="s">
        <v>2219</v>
      </c>
      <c r="B713" s="574" t="s">
        <v>2220</v>
      </c>
      <c r="C713" s="574" t="s">
        <v>2221</v>
      </c>
      <c r="D713" s="574" t="s">
        <v>2220</v>
      </c>
      <c r="E713" s="574" t="s">
        <v>2222</v>
      </c>
      <c r="F713" s="574" t="s">
        <v>2223</v>
      </c>
      <c r="G713" s="574" t="s">
        <v>2224</v>
      </c>
      <c r="H713" s="574" t="s">
        <v>2225</v>
      </c>
      <c r="I713" s="574" t="s">
        <v>2226</v>
      </c>
      <c r="J713" s="574" t="s">
        <v>2227</v>
      </c>
      <c r="K713" s="574" t="s">
        <v>2228</v>
      </c>
      <c r="L713" s="574" t="s">
        <v>2229</v>
      </c>
      <c r="M713" s="574" t="s">
        <v>2230</v>
      </c>
      <c r="N713" s="574" t="s">
        <v>2231</v>
      </c>
      <c r="O713" s="574" t="s">
        <v>2759</v>
      </c>
      <c r="P713" s="574" t="s">
        <v>2932</v>
      </c>
      <c r="Q713" s="574" t="s">
        <v>2234</v>
      </c>
      <c r="R713" s="574" t="s">
        <v>2225</v>
      </c>
      <c r="S713" s="574" t="s">
        <v>2235</v>
      </c>
      <c r="T713" s="574" t="s">
        <v>2236</v>
      </c>
      <c r="U713" s="574" t="s">
        <v>3292</v>
      </c>
      <c r="V713" s="574" t="s">
        <v>2238</v>
      </c>
      <c r="W713" s="574" t="s">
        <v>2239</v>
      </c>
      <c r="X713" s="574" t="s">
        <v>3293</v>
      </c>
      <c r="Y713" s="575" t="s">
        <v>2596</v>
      </c>
      <c r="Z713" s="575" t="s">
        <v>2596</v>
      </c>
      <c r="AA713" s="574" t="s">
        <v>1692</v>
      </c>
      <c r="AB713" s="574" t="s">
        <v>2307</v>
      </c>
      <c r="AC713" s="574" t="s">
        <v>2308</v>
      </c>
      <c r="AD713" s="574" t="s">
        <v>2309</v>
      </c>
      <c r="AE713" s="574" t="s">
        <v>1490</v>
      </c>
      <c r="AF713" s="574" t="s">
        <v>176</v>
      </c>
      <c r="AG713" s="576">
        <v>0</v>
      </c>
      <c r="AH713" s="576">
        <v>7020</v>
      </c>
    </row>
    <row r="714" spans="1:34" customFormat="1" x14ac:dyDescent="0.25">
      <c r="A714" s="574" t="s">
        <v>2219</v>
      </c>
      <c r="B714" s="574" t="s">
        <v>2220</v>
      </c>
      <c r="C714" s="574" t="s">
        <v>2221</v>
      </c>
      <c r="D714" s="574" t="s">
        <v>2220</v>
      </c>
      <c r="E714" s="574" t="s">
        <v>2222</v>
      </c>
      <c r="F714" s="574" t="s">
        <v>2223</v>
      </c>
      <c r="G714" s="574" t="s">
        <v>2224</v>
      </c>
      <c r="H714" s="574" t="s">
        <v>2225</v>
      </c>
      <c r="I714" s="574" t="s">
        <v>2226</v>
      </c>
      <c r="J714" s="574" t="s">
        <v>2227</v>
      </c>
      <c r="K714" s="574" t="s">
        <v>2228</v>
      </c>
      <c r="L714" s="574" t="s">
        <v>2229</v>
      </c>
      <c r="M714" s="574" t="s">
        <v>2230</v>
      </c>
      <c r="N714" s="574" t="s">
        <v>2231</v>
      </c>
      <c r="O714" s="574" t="s">
        <v>2759</v>
      </c>
      <c r="P714" s="574" t="s">
        <v>2932</v>
      </c>
      <c r="Q714" s="574" t="s">
        <v>2234</v>
      </c>
      <c r="R714" s="574" t="s">
        <v>2225</v>
      </c>
      <c r="S714" s="574" t="s">
        <v>2235</v>
      </c>
      <c r="T714" s="574" t="s">
        <v>2236</v>
      </c>
      <c r="U714" s="574" t="s">
        <v>3292</v>
      </c>
      <c r="V714" s="574" t="s">
        <v>2238</v>
      </c>
      <c r="W714" s="574" t="s">
        <v>2239</v>
      </c>
      <c r="X714" s="574" t="s">
        <v>3293</v>
      </c>
      <c r="Y714" s="575" t="s">
        <v>2596</v>
      </c>
      <c r="Z714" s="575" t="s">
        <v>2596</v>
      </c>
      <c r="AA714" s="574" t="s">
        <v>1693</v>
      </c>
      <c r="AB714" s="574" t="s">
        <v>2319</v>
      </c>
      <c r="AC714" s="574" t="s">
        <v>2320</v>
      </c>
      <c r="AD714" s="574" t="s">
        <v>2321</v>
      </c>
      <c r="AE714" s="574" t="s">
        <v>1446</v>
      </c>
      <c r="AF714" s="574" t="s">
        <v>2321</v>
      </c>
      <c r="AG714" s="576">
        <v>0</v>
      </c>
      <c r="AH714" s="576">
        <v>21505.5</v>
      </c>
    </row>
    <row r="715" spans="1:34" customFormat="1" x14ac:dyDescent="0.25">
      <c r="A715" s="574" t="s">
        <v>2219</v>
      </c>
      <c r="B715" s="574" t="s">
        <v>2220</v>
      </c>
      <c r="C715" s="574" t="s">
        <v>2221</v>
      </c>
      <c r="D715" s="574" t="s">
        <v>2220</v>
      </c>
      <c r="E715" s="574" t="s">
        <v>2222</v>
      </c>
      <c r="F715" s="574" t="s">
        <v>2223</v>
      </c>
      <c r="G715" s="574" t="s">
        <v>2224</v>
      </c>
      <c r="H715" s="574" t="s">
        <v>2225</v>
      </c>
      <c r="I715" s="574" t="s">
        <v>2226</v>
      </c>
      <c r="J715" s="574" t="s">
        <v>2227</v>
      </c>
      <c r="K715" s="574" t="s">
        <v>2228</v>
      </c>
      <c r="L715" s="574" t="s">
        <v>2229</v>
      </c>
      <c r="M715" s="574" t="s">
        <v>2230</v>
      </c>
      <c r="N715" s="574" t="s">
        <v>2231</v>
      </c>
      <c r="O715" s="574" t="s">
        <v>2759</v>
      </c>
      <c r="P715" s="574" t="s">
        <v>2932</v>
      </c>
      <c r="Q715" s="574" t="s">
        <v>2234</v>
      </c>
      <c r="R715" s="574" t="s">
        <v>2225</v>
      </c>
      <c r="S715" s="574" t="s">
        <v>2235</v>
      </c>
      <c r="T715" s="574" t="s">
        <v>2236</v>
      </c>
      <c r="U715" s="574" t="s">
        <v>2602</v>
      </c>
      <c r="V715" s="574" t="s">
        <v>2238</v>
      </c>
      <c r="W715" s="574" t="s">
        <v>2239</v>
      </c>
      <c r="X715" s="574" t="s">
        <v>2603</v>
      </c>
      <c r="Y715" s="575" t="s">
        <v>2599</v>
      </c>
      <c r="Z715" s="575" t="s">
        <v>2599</v>
      </c>
      <c r="AA715" s="574" t="s">
        <v>1693</v>
      </c>
      <c r="AB715" s="574" t="s">
        <v>2319</v>
      </c>
      <c r="AC715" s="574" t="s">
        <v>2320</v>
      </c>
      <c r="AD715" s="574" t="s">
        <v>2321</v>
      </c>
      <c r="AE715" s="574" t="s">
        <v>1446</v>
      </c>
      <c r="AF715" s="574" t="s">
        <v>2321</v>
      </c>
      <c r="AG715" s="576">
        <v>0</v>
      </c>
      <c r="AH715" s="576">
        <v>76800</v>
      </c>
    </row>
    <row r="716" spans="1:34" customFormat="1" x14ac:dyDescent="0.25">
      <c r="A716" s="574" t="s">
        <v>2219</v>
      </c>
      <c r="B716" s="574" t="s">
        <v>2220</v>
      </c>
      <c r="C716" s="574" t="s">
        <v>2221</v>
      </c>
      <c r="D716" s="574" t="s">
        <v>2220</v>
      </c>
      <c r="E716" s="574" t="s">
        <v>2222</v>
      </c>
      <c r="F716" s="574" t="s">
        <v>2223</v>
      </c>
      <c r="G716" s="574" t="s">
        <v>2224</v>
      </c>
      <c r="H716" s="574" t="s">
        <v>2225</v>
      </c>
      <c r="I716" s="574" t="s">
        <v>2226</v>
      </c>
      <c r="J716" s="574" t="s">
        <v>2227</v>
      </c>
      <c r="K716" s="574" t="s">
        <v>2228</v>
      </c>
      <c r="L716" s="574" t="s">
        <v>2229</v>
      </c>
      <c r="M716" s="574" t="s">
        <v>2230</v>
      </c>
      <c r="N716" s="574" t="s">
        <v>2231</v>
      </c>
      <c r="O716" s="574" t="s">
        <v>2759</v>
      </c>
      <c r="P716" s="574" t="s">
        <v>2932</v>
      </c>
      <c r="Q716" s="574" t="s">
        <v>2234</v>
      </c>
      <c r="R716" s="574" t="s">
        <v>2225</v>
      </c>
      <c r="S716" s="574" t="s">
        <v>2235</v>
      </c>
      <c r="T716" s="574" t="s">
        <v>2236</v>
      </c>
      <c r="U716" s="574" t="s">
        <v>2604</v>
      </c>
      <c r="V716" s="574" t="s">
        <v>2238</v>
      </c>
      <c r="W716" s="574" t="s">
        <v>2239</v>
      </c>
      <c r="X716" s="574" t="s">
        <v>2605</v>
      </c>
      <c r="Y716" s="575" t="s">
        <v>2599</v>
      </c>
      <c r="Z716" s="575" t="s">
        <v>2599</v>
      </c>
      <c r="AA716" s="574" t="s">
        <v>1693</v>
      </c>
      <c r="AB716" s="574" t="s">
        <v>2319</v>
      </c>
      <c r="AC716" s="574" t="s">
        <v>2320</v>
      </c>
      <c r="AD716" s="574" t="s">
        <v>2321</v>
      </c>
      <c r="AE716" s="574" t="s">
        <v>1446</v>
      </c>
      <c r="AF716" s="574" t="s">
        <v>2321</v>
      </c>
      <c r="AG716" s="576">
        <v>0</v>
      </c>
      <c r="AH716" s="576">
        <v>69906.5</v>
      </c>
    </row>
    <row r="717" spans="1:34" customFormat="1" x14ac:dyDescent="0.25">
      <c r="A717" s="574" t="s">
        <v>2219</v>
      </c>
      <c r="B717" s="574" t="s">
        <v>2220</v>
      </c>
      <c r="C717" s="574" t="s">
        <v>2221</v>
      </c>
      <c r="D717" s="574" t="s">
        <v>2220</v>
      </c>
      <c r="E717" s="574" t="s">
        <v>2222</v>
      </c>
      <c r="F717" s="574" t="s">
        <v>2223</v>
      </c>
      <c r="G717" s="574" t="s">
        <v>2224</v>
      </c>
      <c r="H717" s="574" t="s">
        <v>2225</v>
      </c>
      <c r="I717" s="574" t="s">
        <v>2226</v>
      </c>
      <c r="J717" s="574" t="s">
        <v>2227</v>
      </c>
      <c r="K717" s="574" t="s">
        <v>2228</v>
      </c>
      <c r="L717" s="574" t="s">
        <v>2229</v>
      </c>
      <c r="M717" s="574" t="s">
        <v>2230</v>
      </c>
      <c r="N717" s="574" t="s">
        <v>2231</v>
      </c>
      <c r="O717" s="574" t="s">
        <v>2759</v>
      </c>
      <c r="P717" s="574" t="s">
        <v>2932</v>
      </c>
      <c r="Q717" s="574" t="s">
        <v>2234</v>
      </c>
      <c r="R717" s="574" t="s">
        <v>2225</v>
      </c>
      <c r="S717" s="574" t="s">
        <v>2235</v>
      </c>
      <c r="T717" s="574" t="s">
        <v>2236</v>
      </c>
      <c r="U717" s="574" t="s">
        <v>3294</v>
      </c>
      <c r="V717" s="574" t="s">
        <v>2238</v>
      </c>
      <c r="W717" s="574" t="s">
        <v>2239</v>
      </c>
      <c r="X717" s="574" t="s">
        <v>3295</v>
      </c>
      <c r="Y717" s="575" t="s">
        <v>2599</v>
      </c>
      <c r="Z717" s="575" t="s">
        <v>2599</v>
      </c>
      <c r="AA717" s="574" t="s">
        <v>1693</v>
      </c>
      <c r="AB717" s="574" t="s">
        <v>2319</v>
      </c>
      <c r="AC717" s="574" t="s">
        <v>2320</v>
      </c>
      <c r="AD717" s="574" t="s">
        <v>2321</v>
      </c>
      <c r="AE717" s="574" t="s">
        <v>1446</v>
      </c>
      <c r="AF717" s="574" t="s">
        <v>2321</v>
      </c>
      <c r="AG717" s="576">
        <v>0</v>
      </c>
      <c r="AH717" s="576">
        <v>1267200</v>
      </c>
    </row>
    <row r="718" spans="1:34" customFormat="1" x14ac:dyDescent="0.25">
      <c r="A718" s="574" t="s">
        <v>2219</v>
      </c>
      <c r="B718" s="574" t="s">
        <v>2220</v>
      </c>
      <c r="C718" s="574" t="s">
        <v>2221</v>
      </c>
      <c r="D718" s="574" t="s">
        <v>2220</v>
      </c>
      <c r="E718" s="574" t="s">
        <v>2222</v>
      </c>
      <c r="F718" s="574" t="s">
        <v>2223</v>
      </c>
      <c r="G718" s="574" t="s">
        <v>2224</v>
      </c>
      <c r="H718" s="574" t="s">
        <v>2225</v>
      </c>
      <c r="I718" s="574" t="s">
        <v>2226</v>
      </c>
      <c r="J718" s="574" t="s">
        <v>2227</v>
      </c>
      <c r="K718" s="574" t="s">
        <v>2228</v>
      </c>
      <c r="L718" s="574" t="s">
        <v>2229</v>
      </c>
      <c r="M718" s="574" t="s">
        <v>2230</v>
      </c>
      <c r="N718" s="574" t="s">
        <v>2231</v>
      </c>
      <c r="O718" s="574" t="s">
        <v>2759</v>
      </c>
      <c r="P718" s="574" t="s">
        <v>2932</v>
      </c>
      <c r="Q718" s="574" t="s">
        <v>2234</v>
      </c>
      <c r="R718" s="574" t="s">
        <v>2225</v>
      </c>
      <c r="S718" s="574" t="s">
        <v>2235</v>
      </c>
      <c r="T718" s="574" t="s">
        <v>2236</v>
      </c>
      <c r="U718" s="574" t="s">
        <v>3296</v>
      </c>
      <c r="V718" s="574" t="s">
        <v>2238</v>
      </c>
      <c r="W718" s="574" t="s">
        <v>2239</v>
      </c>
      <c r="X718" s="574" t="s">
        <v>3297</v>
      </c>
      <c r="Y718" s="575" t="s">
        <v>2599</v>
      </c>
      <c r="Z718" s="575" t="s">
        <v>2599</v>
      </c>
      <c r="AA718" s="574" t="s">
        <v>1693</v>
      </c>
      <c r="AB718" s="574" t="s">
        <v>2319</v>
      </c>
      <c r="AC718" s="574" t="s">
        <v>2962</v>
      </c>
      <c r="AD718" s="574" t="s">
        <v>126</v>
      </c>
      <c r="AE718" s="574" t="s">
        <v>1522</v>
      </c>
      <c r="AF718" s="574" t="s">
        <v>126</v>
      </c>
      <c r="AG718" s="576">
        <v>0</v>
      </c>
      <c r="AH718" s="576">
        <v>11894.4</v>
      </c>
    </row>
    <row r="719" spans="1:34" customFormat="1" x14ac:dyDescent="0.25">
      <c r="A719" s="574" t="s">
        <v>2219</v>
      </c>
      <c r="B719" s="574" t="s">
        <v>2220</v>
      </c>
      <c r="C719" s="574" t="s">
        <v>2221</v>
      </c>
      <c r="D719" s="574" t="s">
        <v>2220</v>
      </c>
      <c r="E719" s="574" t="s">
        <v>2222</v>
      </c>
      <c r="F719" s="574" t="s">
        <v>2223</v>
      </c>
      <c r="G719" s="574" t="s">
        <v>2224</v>
      </c>
      <c r="H719" s="574" t="s">
        <v>2225</v>
      </c>
      <c r="I719" s="574" t="s">
        <v>2226</v>
      </c>
      <c r="J719" s="574" t="s">
        <v>2227</v>
      </c>
      <c r="K719" s="574" t="s">
        <v>2228</v>
      </c>
      <c r="L719" s="574" t="s">
        <v>2229</v>
      </c>
      <c r="M719" s="574" t="s">
        <v>2230</v>
      </c>
      <c r="N719" s="574" t="s">
        <v>2231</v>
      </c>
      <c r="O719" s="574" t="s">
        <v>2759</v>
      </c>
      <c r="P719" s="574" t="s">
        <v>2932</v>
      </c>
      <c r="Q719" s="574" t="s">
        <v>2234</v>
      </c>
      <c r="R719" s="574" t="s">
        <v>2225</v>
      </c>
      <c r="S719" s="574" t="s">
        <v>2235</v>
      </c>
      <c r="T719" s="574" t="s">
        <v>2236</v>
      </c>
      <c r="U719" s="574" t="s">
        <v>2630</v>
      </c>
      <c r="V719" s="574" t="s">
        <v>2238</v>
      </c>
      <c r="W719" s="574" t="s">
        <v>2239</v>
      </c>
      <c r="X719" s="574" t="s">
        <v>2631</v>
      </c>
      <c r="Y719" s="575" t="s">
        <v>2599</v>
      </c>
      <c r="Z719" s="575" t="s">
        <v>2599</v>
      </c>
      <c r="AA719" s="574" t="s">
        <v>1693</v>
      </c>
      <c r="AB719" s="574" t="s">
        <v>2319</v>
      </c>
      <c r="AC719" s="574" t="s">
        <v>2402</v>
      </c>
      <c r="AD719" s="574" t="s">
        <v>2403</v>
      </c>
      <c r="AE719" s="574" t="s">
        <v>1486</v>
      </c>
      <c r="AF719" s="574" t="s">
        <v>2403</v>
      </c>
      <c r="AG719" s="576">
        <v>0</v>
      </c>
      <c r="AH719" s="576">
        <v>84960</v>
      </c>
    </row>
    <row r="720" spans="1:34" customFormat="1" x14ac:dyDescent="0.25">
      <c r="A720" s="574" t="s">
        <v>2219</v>
      </c>
      <c r="B720" s="574" t="s">
        <v>2220</v>
      </c>
      <c r="C720" s="574" t="s">
        <v>2221</v>
      </c>
      <c r="D720" s="574" t="s">
        <v>2220</v>
      </c>
      <c r="E720" s="574" t="s">
        <v>2222</v>
      </c>
      <c r="F720" s="574" t="s">
        <v>2223</v>
      </c>
      <c r="G720" s="574" t="s">
        <v>2224</v>
      </c>
      <c r="H720" s="574" t="s">
        <v>2225</v>
      </c>
      <c r="I720" s="574" t="s">
        <v>2226</v>
      </c>
      <c r="J720" s="574" t="s">
        <v>2227</v>
      </c>
      <c r="K720" s="574" t="s">
        <v>2228</v>
      </c>
      <c r="L720" s="574" t="s">
        <v>2229</v>
      </c>
      <c r="M720" s="574" t="s">
        <v>2230</v>
      </c>
      <c r="N720" s="574" t="s">
        <v>2231</v>
      </c>
      <c r="O720" s="574" t="s">
        <v>2759</v>
      </c>
      <c r="P720" s="574" t="s">
        <v>2932</v>
      </c>
      <c r="Q720" s="574" t="s">
        <v>2234</v>
      </c>
      <c r="R720" s="574" t="s">
        <v>2225</v>
      </c>
      <c r="S720" s="574" t="s">
        <v>2235</v>
      </c>
      <c r="T720" s="574" t="s">
        <v>2236</v>
      </c>
      <c r="U720" s="574" t="s">
        <v>2632</v>
      </c>
      <c r="V720" s="574" t="s">
        <v>2238</v>
      </c>
      <c r="W720" s="574" t="s">
        <v>2239</v>
      </c>
      <c r="X720" s="574" t="s">
        <v>2633</v>
      </c>
      <c r="Y720" s="575" t="s">
        <v>2634</v>
      </c>
      <c r="Z720" s="575" t="s">
        <v>2634</v>
      </c>
      <c r="AA720" s="574" t="s">
        <v>1692</v>
      </c>
      <c r="AB720" s="574" t="s">
        <v>2307</v>
      </c>
      <c r="AC720" s="574" t="s">
        <v>2308</v>
      </c>
      <c r="AD720" s="574" t="s">
        <v>2309</v>
      </c>
      <c r="AE720" s="574" t="s">
        <v>1482</v>
      </c>
      <c r="AF720" s="574" t="s">
        <v>2961</v>
      </c>
      <c r="AG720" s="576">
        <v>0</v>
      </c>
      <c r="AH720" s="576">
        <v>8850</v>
      </c>
    </row>
    <row r="721" spans="1:34" customFormat="1" x14ac:dyDescent="0.25">
      <c r="A721" s="574" t="s">
        <v>2219</v>
      </c>
      <c r="B721" s="574" t="s">
        <v>2220</v>
      </c>
      <c r="C721" s="574" t="s">
        <v>2221</v>
      </c>
      <c r="D721" s="574" t="s">
        <v>2220</v>
      </c>
      <c r="E721" s="574" t="s">
        <v>2222</v>
      </c>
      <c r="F721" s="574" t="s">
        <v>2223</v>
      </c>
      <c r="G721" s="574" t="s">
        <v>2224</v>
      </c>
      <c r="H721" s="574" t="s">
        <v>2225</v>
      </c>
      <c r="I721" s="574" t="s">
        <v>2226</v>
      </c>
      <c r="J721" s="574" t="s">
        <v>2227</v>
      </c>
      <c r="K721" s="574" t="s">
        <v>2228</v>
      </c>
      <c r="L721" s="574" t="s">
        <v>2229</v>
      </c>
      <c r="M721" s="574" t="s">
        <v>2230</v>
      </c>
      <c r="N721" s="574" t="s">
        <v>2231</v>
      </c>
      <c r="O721" s="574" t="s">
        <v>2759</v>
      </c>
      <c r="P721" s="574" t="s">
        <v>2932</v>
      </c>
      <c r="Q721" s="574" t="s">
        <v>2234</v>
      </c>
      <c r="R721" s="574" t="s">
        <v>2225</v>
      </c>
      <c r="S721" s="574" t="s">
        <v>2235</v>
      </c>
      <c r="T721" s="574" t="s">
        <v>2236</v>
      </c>
      <c r="U721" s="574" t="s">
        <v>2632</v>
      </c>
      <c r="V721" s="574" t="s">
        <v>2238</v>
      </c>
      <c r="W721" s="574" t="s">
        <v>2239</v>
      </c>
      <c r="X721" s="574" t="s">
        <v>2633</v>
      </c>
      <c r="Y721" s="575" t="s">
        <v>2634</v>
      </c>
      <c r="Z721" s="575" t="s">
        <v>2634</v>
      </c>
      <c r="AA721" s="574" t="s">
        <v>1693</v>
      </c>
      <c r="AB721" s="574" t="s">
        <v>2319</v>
      </c>
      <c r="AC721" s="574" t="s">
        <v>2320</v>
      </c>
      <c r="AD721" s="574" t="s">
        <v>2321</v>
      </c>
      <c r="AE721" s="574" t="s">
        <v>1446</v>
      </c>
      <c r="AF721" s="574" t="s">
        <v>2321</v>
      </c>
      <c r="AG721" s="576">
        <v>0</v>
      </c>
      <c r="AH721" s="576">
        <v>219981.5</v>
      </c>
    </row>
    <row r="722" spans="1:34" customFormat="1" x14ac:dyDescent="0.25">
      <c r="A722" s="574" t="s">
        <v>2219</v>
      </c>
      <c r="B722" s="574" t="s">
        <v>2220</v>
      </c>
      <c r="C722" s="574" t="s">
        <v>2221</v>
      </c>
      <c r="D722" s="574" t="s">
        <v>2220</v>
      </c>
      <c r="E722" s="574" t="s">
        <v>2222</v>
      </c>
      <c r="F722" s="574" t="s">
        <v>2223</v>
      </c>
      <c r="G722" s="574" t="s">
        <v>2224</v>
      </c>
      <c r="H722" s="574" t="s">
        <v>2225</v>
      </c>
      <c r="I722" s="574" t="s">
        <v>2226</v>
      </c>
      <c r="J722" s="574" t="s">
        <v>2227</v>
      </c>
      <c r="K722" s="574" t="s">
        <v>2228</v>
      </c>
      <c r="L722" s="574" t="s">
        <v>2229</v>
      </c>
      <c r="M722" s="574" t="s">
        <v>2230</v>
      </c>
      <c r="N722" s="574" t="s">
        <v>2231</v>
      </c>
      <c r="O722" s="574" t="s">
        <v>2759</v>
      </c>
      <c r="P722" s="574" t="s">
        <v>2932</v>
      </c>
      <c r="Q722" s="574" t="s">
        <v>2234</v>
      </c>
      <c r="R722" s="574" t="s">
        <v>2225</v>
      </c>
      <c r="S722" s="574" t="s">
        <v>2235</v>
      </c>
      <c r="T722" s="574" t="s">
        <v>2236</v>
      </c>
      <c r="U722" s="574" t="s">
        <v>2635</v>
      </c>
      <c r="V722" s="574" t="s">
        <v>2238</v>
      </c>
      <c r="W722" s="574" t="s">
        <v>2239</v>
      </c>
      <c r="X722" s="574" t="s">
        <v>2636</v>
      </c>
      <c r="Y722" s="575" t="s">
        <v>2634</v>
      </c>
      <c r="Z722" s="575" t="s">
        <v>2634</v>
      </c>
      <c r="AA722" s="574" t="s">
        <v>1693</v>
      </c>
      <c r="AB722" s="574" t="s">
        <v>2319</v>
      </c>
      <c r="AC722" s="574" t="s">
        <v>2320</v>
      </c>
      <c r="AD722" s="574" t="s">
        <v>2321</v>
      </c>
      <c r="AE722" s="574" t="s">
        <v>1446</v>
      </c>
      <c r="AF722" s="574" t="s">
        <v>2321</v>
      </c>
      <c r="AG722" s="576">
        <v>0</v>
      </c>
      <c r="AH722" s="576">
        <v>21830</v>
      </c>
    </row>
    <row r="723" spans="1:34" customFormat="1" x14ac:dyDescent="0.25">
      <c r="A723" s="574" t="s">
        <v>2219</v>
      </c>
      <c r="B723" s="574" t="s">
        <v>2220</v>
      </c>
      <c r="C723" s="574" t="s">
        <v>2221</v>
      </c>
      <c r="D723" s="574" t="s">
        <v>2220</v>
      </c>
      <c r="E723" s="574" t="s">
        <v>2222</v>
      </c>
      <c r="F723" s="574" t="s">
        <v>2223</v>
      </c>
      <c r="G723" s="574" t="s">
        <v>2224</v>
      </c>
      <c r="H723" s="574" t="s">
        <v>2225</v>
      </c>
      <c r="I723" s="574" t="s">
        <v>2226</v>
      </c>
      <c r="J723" s="574" t="s">
        <v>2227</v>
      </c>
      <c r="K723" s="574" t="s">
        <v>2228</v>
      </c>
      <c r="L723" s="574" t="s">
        <v>2229</v>
      </c>
      <c r="M723" s="574" t="s">
        <v>2230</v>
      </c>
      <c r="N723" s="574" t="s">
        <v>2231</v>
      </c>
      <c r="O723" s="574" t="s">
        <v>2759</v>
      </c>
      <c r="P723" s="574" t="s">
        <v>2932</v>
      </c>
      <c r="Q723" s="574" t="s">
        <v>2234</v>
      </c>
      <c r="R723" s="574" t="s">
        <v>2225</v>
      </c>
      <c r="S723" s="574" t="s">
        <v>2235</v>
      </c>
      <c r="T723" s="574" t="s">
        <v>2236</v>
      </c>
      <c r="U723" s="574" t="s">
        <v>3298</v>
      </c>
      <c r="V723" s="574" t="s">
        <v>2238</v>
      </c>
      <c r="W723" s="574" t="s">
        <v>2239</v>
      </c>
      <c r="X723" s="574" t="s">
        <v>3299</v>
      </c>
      <c r="Y723" s="575" t="s">
        <v>2641</v>
      </c>
      <c r="Z723" s="575" t="s">
        <v>2641</v>
      </c>
      <c r="AA723" s="574" t="s">
        <v>1686</v>
      </c>
      <c r="AB723" s="574" t="s">
        <v>2965</v>
      </c>
      <c r="AC723" s="574" t="s">
        <v>3300</v>
      </c>
      <c r="AD723" s="574" t="s">
        <v>3301</v>
      </c>
      <c r="AE723" s="574" t="s">
        <v>3302</v>
      </c>
      <c r="AF723" s="574" t="s">
        <v>3303</v>
      </c>
      <c r="AG723" s="576">
        <v>0</v>
      </c>
      <c r="AH723" s="576">
        <v>1180000</v>
      </c>
    </row>
    <row r="724" spans="1:34" customFormat="1" x14ac:dyDescent="0.25">
      <c r="A724" s="574" t="s">
        <v>2219</v>
      </c>
      <c r="B724" s="574" t="s">
        <v>2220</v>
      </c>
      <c r="C724" s="574" t="s">
        <v>2221</v>
      </c>
      <c r="D724" s="574" t="s">
        <v>2220</v>
      </c>
      <c r="E724" s="574" t="s">
        <v>2222</v>
      </c>
      <c r="F724" s="574" t="s">
        <v>2223</v>
      </c>
      <c r="G724" s="574" t="s">
        <v>2224</v>
      </c>
      <c r="H724" s="574" t="s">
        <v>2225</v>
      </c>
      <c r="I724" s="574" t="s">
        <v>2226</v>
      </c>
      <c r="J724" s="574" t="s">
        <v>2227</v>
      </c>
      <c r="K724" s="574" t="s">
        <v>2228</v>
      </c>
      <c r="L724" s="574" t="s">
        <v>2229</v>
      </c>
      <c r="M724" s="574" t="s">
        <v>2230</v>
      </c>
      <c r="N724" s="574" t="s">
        <v>2231</v>
      </c>
      <c r="O724" s="574" t="s">
        <v>2759</v>
      </c>
      <c r="P724" s="574" t="s">
        <v>2932</v>
      </c>
      <c r="Q724" s="574" t="s">
        <v>2234</v>
      </c>
      <c r="R724" s="574" t="s">
        <v>2225</v>
      </c>
      <c r="S724" s="574" t="s">
        <v>2235</v>
      </c>
      <c r="T724" s="574" t="s">
        <v>2236</v>
      </c>
      <c r="U724" s="574" t="s">
        <v>3304</v>
      </c>
      <c r="V724" s="574" t="s">
        <v>2238</v>
      </c>
      <c r="W724" s="574" t="s">
        <v>2239</v>
      </c>
      <c r="X724" s="574" t="s">
        <v>3305</v>
      </c>
      <c r="Y724" s="575" t="s">
        <v>2641</v>
      </c>
      <c r="Z724" s="575" t="s">
        <v>2641</v>
      </c>
      <c r="AA724" s="574" t="s">
        <v>1692</v>
      </c>
      <c r="AB724" s="574" t="s">
        <v>2307</v>
      </c>
      <c r="AC724" s="574" t="s">
        <v>2308</v>
      </c>
      <c r="AD724" s="574" t="s">
        <v>2309</v>
      </c>
      <c r="AE724" s="574" t="s">
        <v>1482</v>
      </c>
      <c r="AF724" s="574" t="s">
        <v>2961</v>
      </c>
      <c r="AG724" s="576">
        <v>0</v>
      </c>
      <c r="AH724" s="576">
        <v>15458</v>
      </c>
    </row>
    <row r="725" spans="1:34" customFormat="1" x14ac:dyDescent="0.25">
      <c r="A725" s="574" t="s">
        <v>2219</v>
      </c>
      <c r="B725" s="574" t="s">
        <v>2220</v>
      </c>
      <c r="C725" s="574" t="s">
        <v>2221</v>
      </c>
      <c r="D725" s="574" t="s">
        <v>2220</v>
      </c>
      <c r="E725" s="574" t="s">
        <v>2222</v>
      </c>
      <c r="F725" s="574" t="s">
        <v>2223</v>
      </c>
      <c r="G725" s="574" t="s">
        <v>2224</v>
      </c>
      <c r="H725" s="574" t="s">
        <v>2225</v>
      </c>
      <c r="I725" s="574" t="s">
        <v>2226</v>
      </c>
      <c r="J725" s="574" t="s">
        <v>2227</v>
      </c>
      <c r="K725" s="574" t="s">
        <v>2228</v>
      </c>
      <c r="L725" s="574" t="s">
        <v>2229</v>
      </c>
      <c r="M725" s="574" t="s">
        <v>2230</v>
      </c>
      <c r="N725" s="574" t="s">
        <v>2231</v>
      </c>
      <c r="O725" s="574" t="s">
        <v>2759</v>
      </c>
      <c r="P725" s="574" t="s">
        <v>2932</v>
      </c>
      <c r="Q725" s="574" t="s">
        <v>2234</v>
      </c>
      <c r="R725" s="574" t="s">
        <v>2225</v>
      </c>
      <c r="S725" s="574" t="s">
        <v>2235</v>
      </c>
      <c r="T725" s="574" t="s">
        <v>2236</v>
      </c>
      <c r="U725" s="574" t="s">
        <v>3304</v>
      </c>
      <c r="V725" s="574" t="s">
        <v>2238</v>
      </c>
      <c r="W725" s="574" t="s">
        <v>2239</v>
      </c>
      <c r="X725" s="574" t="s">
        <v>3305</v>
      </c>
      <c r="Y725" s="575" t="s">
        <v>2641</v>
      </c>
      <c r="Z725" s="575" t="s">
        <v>2641</v>
      </c>
      <c r="AA725" s="574" t="s">
        <v>1693</v>
      </c>
      <c r="AB725" s="574" t="s">
        <v>2319</v>
      </c>
      <c r="AC725" s="574" t="s">
        <v>3306</v>
      </c>
      <c r="AD725" s="574" t="s">
        <v>3307</v>
      </c>
      <c r="AE725" s="574" t="s">
        <v>3308</v>
      </c>
      <c r="AF725" s="574" t="s">
        <v>3309</v>
      </c>
      <c r="AG725" s="576">
        <v>0</v>
      </c>
      <c r="AH725" s="576">
        <v>241835.1</v>
      </c>
    </row>
    <row r="726" spans="1:34" customFormat="1" x14ac:dyDescent="0.25">
      <c r="A726" s="574" t="s">
        <v>2219</v>
      </c>
      <c r="B726" s="574" t="s">
        <v>2220</v>
      </c>
      <c r="C726" s="574" t="s">
        <v>2221</v>
      </c>
      <c r="D726" s="574" t="s">
        <v>2220</v>
      </c>
      <c r="E726" s="574" t="s">
        <v>2222</v>
      </c>
      <c r="F726" s="574" t="s">
        <v>2223</v>
      </c>
      <c r="G726" s="574" t="s">
        <v>2224</v>
      </c>
      <c r="H726" s="574" t="s">
        <v>2225</v>
      </c>
      <c r="I726" s="574" t="s">
        <v>2226</v>
      </c>
      <c r="J726" s="574" t="s">
        <v>2227</v>
      </c>
      <c r="K726" s="574" t="s">
        <v>2228</v>
      </c>
      <c r="L726" s="574" t="s">
        <v>2229</v>
      </c>
      <c r="M726" s="574" t="s">
        <v>2230</v>
      </c>
      <c r="N726" s="574" t="s">
        <v>2231</v>
      </c>
      <c r="O726" s="574" t="s">
        <v>2759</v>
      </c>
      <c r="P726" s="574" t="s">
        <v>2932</v>
      </c>
      <c r="Q726" s="574" t="s">
        <v>2234</v>
      </c>
      <c r="R726" s="574" t="s">
        <v>2225</v>
      </c>
      <c r="S726" s="574" t="s">
        <v>2235</v>
      </c>
      <c r="T726" s="574" t="s">
        <v>2236</v>
      </c>
      <c r="U726" s="574" t="s">
        <v>2644</v>
      </c>
      <c r="V726" s="574" t="s">
        <v>2238</v>
      </c>
      <c r="W726" s="574" t="s">
        <v>2239</v>
      </c>
      <c r="X726" s="574" t="s">
        <v>2645</v>
      </c>
      <c r="Y726" s="575" t="s">
        <v>2641</v>
      </c>
      <c r="Z726" s="575" t="s">
        <v>2641</v>
      </c>
      <c r="AA726" s="574" t="s">
        <v>1693</v>
      </c>
      <c r="AB726" s="574" t="s">
        <v>2319</v>
      </c>
      <c r="AC726" s="574" t="s">
        <v>2402</v>
      </c>
      <c r="AD726" s="574" t="s">
        <v>2403</v>
      </c>
      <c r="AE726" s="574" t="s">
        <v>1486</v>
      </c>
      <c r="AF726" s="574" t="s">
        <v>2403</v>
      </c>
      <c r="AG726" s="576">
        <v>0</v>
      </c>
      <c r="AH726" s="576">
        <v>28320</v>
      </c>
    </row>
    <row r="727" spans="1:34" customFormat="1" x14ac:dyDescent="0.25">
      <c r="A727" s="574" t="s">
        <v>2219</v>
      </c>
      <c r="B727" s="574" t="s">
        <v>2220</v>
      </c>
      <c r="C727" s="574" t="s">
        <v>2221</v>
      </c>
      <c r="D727" s="574" t="s">
        <v>2220</v>
      </c>
      <c r="E727" s="574" t="s">
        <v>2222</v>
      </c>
      <c r="F727" s="574" t="s">
        <v>2223</v>
      </c>
      <c r="G727" s="574" t="s">
        <v>2224</v>
      </c>
      <c r="H727" s="574" t="s">
        <v>2225</v>
      </c>
      <c r="I727" s="574" t="s">
        <v>2226</v>
      </c>
      <c r="J727" s="574" t="s">
        <v>2227</v>
      </c>
      <c r="K727" s="574" t="s">
        <v>2228</v>
      </c>
      <c r="L727" s="574" t="s">
        <v>2229</v>
      </c>
      <c r="M727" s="574" t="s">
        <v>2230</v>
      </c>
      <c r="N727" s="574" t="s">
        <v>2231</v>
      </c>
      <c r="O727" s="574" t="s">
        <v>2759</v>
      </c>
      <c r="P727" s="574" t="s">
        <v>2932</v>
      </c>
      <c r="Q727" s="574" t="s">
        <v>2234</v>
      </c>
      <c r="R727" s="574" t="s">
        <v>2225</v>
      </c>
      <c r="S727" s="574" t="s">
        <v>2235</v>
      </c>
      <c r="T727" s="574" t="s">
        <v>2236</v>
      </c>
      <c r="U727" s="574" t="s">
        <v>3310</v>
      </c>
      <c r="V727" s="574" t="s">
        <v>2238</v>
      </c>
      <c r="W727" s="574" t="s">
        <v>2239</v>
      </c>
      <c r="X727" s="574" t="s">
        <v>3311</v>
      </c>
      <c r="Y727" s="575" t="s">
        <v>2641</v>
      </c>
      <c r="Z727" s="575" t="s">
        <v>2641</v>
      </c>
      <c r="AA727" s="574" t="s">
        <v>1693</v>
      </c>
      <c r="AB727" s="574" t="s">
        <v>2319</v>
      </c>
      <c r="AC727" s="574" t="s">
        <v>2320</v>
      </c>
      <c r="AD727" s="574" t="s">
        <v>2321</v>
      </c>
      <c r="AE727" s="574" t="s">
        <v>1446</v>
      </c>
      <c r="AF727" s="574" t="s">
        <v>2321</v>
      </c>
      <c r="AG727" s="576">
        <v>0</v>
      </c>
      <c r="AH727" s="576">
        <v>141600</v>
      </c>
    </row>
    <row r="728" spans="1:34" customFormat="1" x14ac:dyDescent="0.25">
      <c r="A728" s="574" t="s">
        <v>2219</v>
      </c>
      <c r="B728" s="574" t="s">
        <v>2220</v>
      </c>
      <c r="C728" s="574" t="s">
        <v>2221</v>
      </c>
      <c r="D728" s="574" t="s">
        <v>2220</v>
      </c>
      <c r="E728" s="574" t="s">
        <v>2222</v>
      </c>
      <c r="F728" s="574" t="s">
        <v>2223</v>
      </c>
      <c r="G728" s="574" t="s">
        <v>2224</v>
      </c>
      <c r="H728" s="574" t="s">
        <v>2225</v>
      </c>
      <c r="I728" s="574" t="s">
        <v>2226</v>
      </c>
      <c r="J728" s="574" t="s">
        <v>2227</v>
      </c>
      <c r="K728" s="574" t="s">
        <v>2228</v>
      </c>
      <c r="L728" s="574" t="s">
        <v>2229</v>
      </c>
      <c r="M728" s="574" t="s">
        <v>2230</v>
      </c>
      <c r="N728" s="574" t="s">
        <v>2231</v>
      </c>
      <c r="O728" s="574" t="s">
        <v>2759</v>
      </c>
      <c r="P728" s="574" t="s">
        <v>2932</v>
      </c>
      <c r="Q728" s="574" t="s">
        <v>2234</v>
      </c>
      <c r="R728" s="574" t="s">
        <v>2225</v>
      </c>
      <c r="S728" s="574" t="s">
        <v>2235</v>
      </c>
      <c r="T728" s="574" t="s">
        <v>2236</v>
      </c>
      <c r="U728" s="574" t="s">
        <v>3312</v>
      </c>
      <c r="V728" s="574" t="s">
        <v>2238</v>
      </c>
      <c r="W728" s="574" t="s">
        <v>2239</v>
      </c>
      <c r="X728" s="574" t="s">
        <v>3313</v>
      </c>
      <c r="Y728" s="575" t="s">
        <v>2683</v>
      </c>
      <c r="Z728" s="575" t="s">
        <v>2683</v>
      </c>
      <c r="AA728" s="574" t="s">
        <v>1688</v>
      </c>
      <c r="AB728" s="574" t="s">
        <v>2430</v>
      </c>
      <c r="AC728" s="574" t="s">
        <v>2431</v>
      </c>
      <c r="AD728" s="574" t="s">
        <v>99</v>
      </c>
      <c r="AE728" s="574" t="s">
        <v>1531</v>
      </c>
      <c r="AF728" s="574" t="s">
        <v>99</v>
      </c>
      <c r="AG728" s="576">
        <v>0</v>
      </c>
      <c r="AH728" s="576">
        <v>193945</v>
      </c>
    </row>
    <row r="729" spans="1:34" customFormat="1" x14ac:dyDescent="0.25">
      <c r="A729" s="574" t="s">
        <v>2219</v>
      </c>
      <c r="B729" s="574" t="s">
        <v>2220</v>
      </c>
      <c r="C729" s="574" t="s">
        <v>2221</v>
      </c>
      <c r="D729" s="574" t="s">
        <v>2220</v>
      </c>
      <c r="E729" s="574" t="s">
        <v>2222</v>
      </c>
      <c r="F729" s="574" t="s">
        <v>2223</v>
      </c>
      <c r="G729" s="574" t="s">
        <v>2224</v>
      </c>
      <c r="H729" s="574" t="s">
        <v>2225</v>
      </c>
      <c r="I729" s="574" t="s">
        <v>2226</v>
      </c>
      <c r="J729" s="574" t="s">
        <v>2227</v>
      </c>
      <c r="K729" s="574" t="s">
        <v>2228</v>
      </c>
      <c r="L729" s="574" t="s">
        <v>2229</v>
      </c>
      <c r="M729" s="574" t="s">
        <v>2230</v>
      </c>
      <c r="N729" s="574" t="s">
        <v>2231</v>
      </c>
      <c r="O729" s="574" t="s">
        <v>2759</v>
      </c>
      <c r="P729" s="574" t="s">
        <v>2932</v>
      </c>
      <c r="Q729" s="574" t="s">
        <v>2234</v>
      </c>
      <c r="R729" s="574" t="s">
        <v>2225</v>
      </c>
      <c r="S729" s="574" t="s">
        <v>2737</v>
      </c>
      <c r="T729" s="574" t="s">
        <v>2738</v>
      </c>
      <c r="U729" s="574" t="s">
        <v>2762</v>
      </c>
      <c r="V729" s="574" t="s">
        <v>2238</v>
      </c>
      <c r="W729" s="574" t="s">
        <v>2239</v>
      </c>
      <c r="X729" s="574" t="s">
        <v>2371</v>
      </c>
      <c r="Y729" s="575" t="s">
        <v>2650</v>
      </c>
      <c r="Z729" s="575" t="s">
        <v>2650</v>
      </c>
      <c r="AA729" s="574" t="s">
        <v>1684</v>
      </c>
      <c r="AB729" s="574" t="s">
        <v>2933</v>
      </c>
      <c r="AC729" s="574" t="s">
        <v>2934</v>
      </c>
      <c r="AD729" s="574" t="s">
        <v>137</v>
      </c>
      <c r="AE729" s="574" t="s">
        <v>1461</v>
      </c>
      <c r="AF729" s="574" t="s">
        <v>137</v>
      </c>
      <c r="AG729" s="576">
        <v>34791.839999999997</v>
      </c>
      <c r="AH729" s="576">
        <v>0</v>
      </c>
    </row>
    <row r="730" spans="1:34" customFormat="1" x14ac:dyDescent="0.25">
      <c r="A730" s="574" t="s">
        <v>2219</v>
      </c>
      <c r="B730" s="574" t="s">
        <v>2220</v>
      </c>
      <c r="C730" s="574" t="s">
        <v>2221</v>
      </c>
      <c r="D730" s="574" t="s">
        <v>2220</v>
      </c>
      <c r="E730" s="574" t="s">
        <v>2222</v>
      </c>
      <c r="F730" s="574" t="s">
        <v>2223</v>
      </c>
      <c r="G730" s="574" t="s">
        <v>2224</v>
      </c>
      <c r="H730" s="574" t="s">
        <v>2225</v>
      </c>
      <c r="I730" s="574" t="s">
        <v>2226</v>
      </c>
      <c r="J730" s="574" t="s">
        <v>2227</v>
      </c>
      <c r="K730" s="574" t="s">
        <v>2228</v>
      </c>
      <c r="L730" s="574" t="s">
        <v>2229</v>
      </c>
      <c r="M730" s="574" t="s">
        <v>2230</v>
      </c>
      <c r="N730" s="574" t="s">
        <v>2231</v>
      </c>
      <c r="O730" s="574" t="s">
        <v>2759</v>
      </c>
      <c r="P730" s="574" t="s">
        <v>2932</v>
      </c>
      <c r="Q730" s="574" t="s">
        <v>2234</v>
      </c>
      <c r="R730" s="574" t="s">
        <v>2225</v>
      </c>
      <c r="S730" s="574" t="s">
        <v>2737</v>
      </c>
      <c r="T730" s="574" t="s">
        <v>2738</v>
      </c>
      <c r="U730" s="574" t="s">
        <v>2762</v>
      </c>
      <c r="V730" s="574" t="s">
        <v>2238</v>
      </c>
      <c r="W730" s="574" t="s">
        <v>2239</v>
      </c>
      <c r="X730" s="574" t="s">
        <v>2371</v>
      </c>
      <c r="Y730" s="575" t="s">
        <v>2650</v>
      </c>
      <c r="Z730" s="575" t="s">
        <v>2650</v>
      </c>
      <c r="AA730" s="574" t="s">
        <v>1685</v>
      </c>
      <c r="AB730" s="574" t="s">
        <v>2935</v>
      </c>
      <c r="AC730" s="574" t="s">
        <v>2936</v>
      </c>
      <c r="AD730" s="574" t="s">
        <v>2937</v>
      </c>
      <c r="AE730" s="574" t="s">
        <v>2938</v>
      </c>
      <c r="AF730" s="574" t="s">
        <v>2939</v>
      </c>
      <c r="AG730" s="576">
        <v>16089.95</v>
      </c>
      <c r="AH730" s="576">
        <v>0</v>
      </c>
    </row>
    <row r="731" spans="1:34" customFormat="1" x14ac:dyDescent="0.25">
      <c r="A731" s="574" t="s">
        <v>2219</v>
      </c>
      <c r="B731" s="574" t="s">
        <v>2220</v>
      </c>
      <c r="C731" s="574" t="s">
        <v>2221</v>
      </c>
      <c r="D731" s="574" t="s">
        <v>2220</v>
      </c>
      <c r="E731" s="574" t="s">
        <v>2222</v>
      </c>
      <c r="F731" s="574" t="s">
        <v>2223</v>
      </c>
      <c r="G731" s="574" t="s">
        <v>2224</v>
      </c>
      <c r="H731" s="574" t="s">
        <v>2225</v>
      </c>
      <c r="I731" s="574" t="s">
        <v>2226</v>
      </c>
      <c r="J731" s="574" t="s">
        <v>2227</v>
      </c>
      <c r="K731" s="574" t="s">
        <v>2228</v>
      </c>
      <c r="L731" s="574" t="s">
        <v>2229</v>
      </c>
      <c r="M731" s="574" t="s">
        <v>2230</v>
      </c>
      <c r="N731" s="574" t="s">
        <v>2231</v>
      </c>
      <c r="O731" s="574" t="s">
        <v>2759</v>
      </c>
      <c r="P731" s="574" t="s">
        <v>2932</v>
      </c>
      <c r="Q731" s="574" t="s">
        <v>2234</v>
      </c>
      <c r="R731" s="574" t="s">
        <v>2225</v>
      </c>
      <c r="S731" s="574" t="s">
        <v>2737</v>
      </c>
      <c r="T731" s="574" t="s">
        <v>2738</v>
      </c>
      <c r="U731" s="574" t="s">
        <v>3400</v>
      </c>
      <c r="V731" s="574" t="s">
        <v>2238</v>
      </c>
      <c r="W731" s="574" t="s">
        <v>2239</v>
      </c>
      <c r="X731" s="574" t="s">
        <v>3314</v>
      </c>
      <c r="Y731" s="575" t="s">
        <v>2649</v>
      </c>
      <c r="Z731" s="575" t="s">
        <v>2649</v>
      </c>
      <c r="AA731" s="574" t="s">
        <v>2942</v>
      </c>
      <c r="AB731" s="574" t="s">
        <v>2943</v>
      </c>
      <c r="AC731" s="574" t="s">
        <v>2944</v>
      </c>
      <c r="AD731" s="574" t="s">
        <v>2945</v>
      </c>
      <c r="AE731" s="574" t="s">
        <v>2946</v>
      </c>
      <c r="AF731" s="574" t="s">
        <v>2945</v>
      </c>
      <c r="AG731" s="576">
        <v>501087</v>
      </c>
      <c r="AH731" s="576">
        <v>0</v>
      </c>
    </row>
    <row r="732" spans="1:34" customFormat="1" x14ac:dyDescent="0.25">
      <c r="A732" s="574" t="s">
        <v>2219</v>
      </c>
      <c r="B732" s="574" t="s">
        <v>2220</v>
      </c>
      <c r="C732" s="574" t="s">
        <v>2221</v>
      </c>
      <c r="D732" s="574" t="s">
        <v>2220</v>
      </c>
      <c r="E732" s="574" t="s">
        <v>2222</v>
      </c>
      <c r="F732" s="574" t="s">
        <v>2223</v>
      </c>
      <c r="G732" s="574" t="s">
        <v>2224</v>
      </c>
      <c r="H732" s="574" t="s">
        <v>2225</v>
      </c>
      <c r="I732" s="574" t="s">
        <v>2226</v>
      </c>
      <c r="J732" s="574" t="s">
        <v>2227</v>
      </c>
      <c r="K732" s="574" t="s">
        <v>2228</v>
      </c>
      <c r="L732" s="574" t="s">
        <v>2229</v>
      </c>
      <c r="M732" s="574" t="s">
        <v>2230</v>
      </c>
      <c r="N732" s="574" t="s">
        <v>2231</v>
      </c>
      <c r="O732" s="574" t="s">
        <v>2759</v>
      </c>
      <c r="P732" s="574" t="s">
        <v>2932</v>
      </c>
      <c r="Q732" s="574" t="s">
        <v>2234</v>
      </c>
      <c r="R732" s="574" t="s">
        <v>2225</v>
      </c>
      <c r="S732" s="574" t="s">
        <v>2737</v>
      </c>
      <c r="T732" s="574" t="s">
        <v>2738</v>
      </c>
      <c r="U732" s="574" t="s">
        <v>3400</v>
      </c>
      <c r="V732" s="574" t="s">
        <v>2238</v>
      </c>
      <c r="W732" s="574" t="s">
        <v>2239</v>
      </c>
      <c r="X732" s="574" t="s">
        <v>3314</v>
      </c>
      <c r="Y732" s="575" t="s">
        <v>2649</v>
      </c>
      <c r="Z732" s="575" t="s">
        <v>2586</v>
      </c>
      <c r="AA732" s="574" t="s">
        <v>2942</v>
      </c>
      <c r="AB732" s="574" t="s">
        <v>2943</v>
      </c>
      <c r="AC732" s="574" t="s">
        <v>2944</v>
      </c>
      <c r="AD732" s="574" t="s">
        <v>2945</v>
      </c>
      <c r="AE732" s="574" t="s">
        <v>2946</v>
      </c>
      <c r="AF732" s="574" t="s">
        <v>2945</v>
      </c>
      <c r="AG732" s="576">
        <v>-501087</v>
      </c>
      <c r="AH732" s="576">
        <v>0</v>
      </c>
    </row>
    <row r="733" spans="1:34" customFormat="1" x14ac:dyDescent="0.25">
      <c r="A733" s="574" t="s">
        <v>2219</v>
      </c>
      <c r="B733" s="574" t="s">
        <v>2220</v>
      </c>
      <c r="C733" s="574" t="s">
        <v>2221</v>
      </c>
      <c r="D733" s="574" t="s">
        <v>2220</v>
      </c>
      <c r="E733" s="574" t="s">
        <v>2222</v>
      </c>
      <c r="F733" s="574" t="s">
        <v>2223</v>
      </c>
      <c r="G733" s="574" t="s">
        <v>2224</v>
      </c>
      <c r="H733" s="574" t="s">
        <v>2225</v>
      </c>
      <c r="I733" s="574" t="s">
        <v>2226</v>
      </c>
      <c r="J733" s="574" t="s">
        <v>2227</v>
      </c>
      <c r="K733" s="574" t="s">
        <v>2228</v>
      </c>
      <c r="L733" s="574" t="s">
        <v>2229</v>
      </c>
      <c r="M733" s="574" t="s">
        <v>2230</v>
      </c>
      <c r="N733" s="574" t="s">
        <v>2231</v>
      </c>
      <c r="O733" s="574" t="s">
        <v>2759</v>
      </c>
      <c r="P733" s="574" t="s">
        <v>2932</v>
      </c>
      <c r="Q733" s="574" t="s">
        <v>2234</v>
      </c>
      <c r="R733" s="574" t="s">
        <v>2225</v>
      </c>
      <c r="S733" s="574" t="s">
        <v>2737</v>
      </c>
      <c r="T733" s="574" t="s">
        <v>2738</v>
      </c>
      <c r="U733" s="574" t="s">
        <v>3401</v>
      </c>
      <c r="V733" s="574" t="s">
        <v>2238</v>
      </c>
      <c r="W733" s="574" t="s">
        <v>2239</v>
      </c>
      <c r="X733" s="574" t="s">
        <v>3030</v>
      </c>
      <c r="Y733" s="575" t="s">
        <v>2649</v>
      </c>
      <c r="Z733" s="575" t="s">
        <v>2649</v>
      </c>
      <c r="AA733" s="574" t="s">
        <v>2942</v>
      </c>
      <c r="AB733" s="574" t="s">
        <v>2943</v>
      </c>
      <c r="AC733" s="574" t="s">
        <v>2944</v>
      </c>
      <c r="AD733" s="574" t="s">
        <v>2945</v>
      </c>
      <c r="AE733" s="574" t="s">
        <v>2946</v>
      </c>
      <c r="AF733" s="574" t="s">
        <v>2945</v>
      </c>
      <c r="AG733" s="576">
        <v>21063</v>
      </c>
      <c r="AH733" s="576">
        <v>0</v>
      </c>
    </row>
    <row r="734" spans="1:34" customFormat="1" x14ac:dyDescent="0.25">
      <c r="A734" s="574" t="s">
        <v>2219</v>
      </c>
      <c r="B734" s="574" t="s">
        <v>2220</v>
      </c>
      <c r="C734" s="574" t="s">
        <v>2221</v>
      </c>
      <c r="D734" s="574" t="s">
        <v>2220</v>
      </c>
      <c r="E734" s="574" t="s">
        <v>2222</v>
      </c>
      <c r="F734" s="574" t="s">
        <v>2223</v>
      </c>
      <c r="G734" s="574" t="s">
        <v>2224</v>
      </c>
      <c r="H734" s="574" t="s">
        <v>2225</v>
      </c>
      <c r="I734" s="574" t="s">
        <v>2226</v>
      </c>
      <c r="J734" s="574" t="s">
        <v>2227</v>
      </c>
      <c r="K734" s="574" t="s">
        <v>2228</v>
      </c>
      <c r="L734" s="574" t="s">
        <v>2229</v>
      </c>
      <c r="M734" s="574" t="s">
        <v>2230</v>
      </c>
      <c r="N734" s="574" t="s">
        <v>2231</v>
      </c>
      <c r="O734" s="574" t="s">
        <v>2759</v>
      </c>
      <c r="P734" s="574" t="s">
        <v>2932</v>
      </c>
      <c r="Q734" s="574" t="s">
        <v>2234</v>
      </c>
      <c r="R734" s="574" t="s">
        <v>2225</v>
      </c>
      <c r="S734" s="574" t="s">
        <v>2737</v>
      </c>
      <c r="T734" s="574" t="s">
        <v>2738</v>
      </c>
      <c r="U734" s="574" t="s">
        <v>3402</v>
      </c>
      <c r="V734" s="574" t="s">
        <v>2238</v>
      </c>
      <c r="W734" s="574" t="s">
        <v>2239</v>
      </c>
      <c r="X734" s="574" t="s">
        <v>3315</v>
      </c>
      <c r="Y734" s="575" t="s">
        <v>2649</v>
      </c>
      <c r="Z734" s="575" t="s">
        <v>2649</v>
      </c>
      <c r="AA734" s="574" t="s">
        <v>1688</v>
      </c>
      <c r="AB734" s="574" t="s">
        <v>2430</v>
      </c>
      <c r="AC734" s="574" t="s">
        <v>2431</v>
      </c>
      <c r="AD734" s="574" t="s">
        <v>99</v>
      </c>
      <c r="AE734" s="574" t="s">
        <v>1531</v>
      </c>
      <c r="AF734" s="574" t="s">
        <v>99</v>
      </c>
      <c r="AG734" s="576">
        <v>123250</v>
      </c>
      <c r="AH734" s="576">
        <v>0</v>
      </c>
    </row>
    <row r="735" spans="1:34" customFormat="1" x14ac:dyDescent="0.25">
      <c r="A735" s="574" t="s">
        <v>2219</v>
      </c>
      <c r="B735" s="574" t="s">
        <v>2220</v>
      </c>
      <c r="C735" s="574" t="s">
        <v>2221</v>
      </c>
      <c r="D735" s="574" t="s">
        <v>2220</v>
      </c>
      <c r="E735" s="574" t="s">
        <v>2222</v>
      </c>
      <c r="F735" s="574" t="s">
        <v>2223</v>
      </c>
      <c r="G735" s="574" t="s">
        <v>2224</v>
      </c>
      <c r="H735" s="574" t="s">
        <v>2225</v>
      </c>
      <c r="I735" s="574" t="s">
        <v>2226</v>
      </c>
      <c r="J735" s="574" t="s">
        <v>2227</v>
      </c>
      <c r="K735" s="574" t="s">
        <v>2228</v>
      </c>
      <c r="L735" s="574" t="s">
        <v>2229</v>
      </c>
      <c r="M735" s="574" t="s">
        <v>2230</v>
      </c>
      <c r="N735" s="574" t="s">
        <v>2231</v>
      </c>
      <c r="O735" s="574" t="s">
        <v>2759</v>
      </c>
      <c r="P735" s="574" t="s">
        <v>2932</v>
      </c>
      <c r="Q735" s="574" t="s">
        <v>2234</v>
      </c>
      <c r="R735" s="574" t="s">
        <v>2225</v>
      </c>
      <c r="S735" s="574" t="s">
        <v>2737</v>
      </c>
      <c r="T735" s="574" t="s">
        <v>2738</v>
      </c>
      <c r="U735" s="574" t="s">
        <v>3402</v>
      </c>
      <c r="V735" s="574" t="s">
        <v>2238</v>
      </c>
      <c r="W735" s="574" t="s">
        <v>2239</v>
      </c>
      <c r="X735" s="574" t="s">
        <v>3315</v>
      </c>
      <c r="Y735" s="575" t="s">
        <v>2649</v>
      </c>
      <c r="Z735" s="575" t="s">
        <v>2665</v>
      </c>
      <c r="AA735" s="574" t="s">
        <v>1688</v>
      </c>
      <c r="AB735" s="574" t="s">
        <v>2430</v>
      </c>
      <c r="AC735" s="574" t="s">
        <v>2431</v>
      </c>
      <c r="AD735" s="574" t="s">
        <v>99</v>
      </c>
      <c r="AE735" s="574" t="s">
        <v>1531</v>
      </c>
      <c r="AF735" s="574" t="s">
        <v>99</v>
      </c>
      <c r="AG735" s="576">
        <v>-123250</v>
      </c>
      <c r="AH735" s="576">
        <v>0</v>
      </c>
    </row>
    <row r="736" spans="1:34" customFormat="1" x14ac:dyDescent="0.25">
      <c r="A736" s="574" t="s">
        <v>2219</v>
      </c>
      <c r="B736" s="574" t="s">
        <v>2220</v>
      </c>
      <c r="C736" s="574" t="s">
        <v>2221</v>
      </c>
      <c r="D736" s="574" t="s">
        <v>2220</v>
      </c>
      <c r="E736" s="574" t="s">
        <v>2222</v>
      </c>
      <c r="F736" s="574" t="s">
        <v>2223</v>
      </c>
      <c r="G736" s="574" t="s">
        <v>2224</v>
      </c>
      <c r="H736" s="574" t="s">
        <v>2225</v>
      </c>
      <c r="I736" s="574" t="s">
        <v>2226</v>
      </c>
      <c r="J736" s="574" t="s">
        <v>2227</v>
      </c>
      <c r="K736" s="574" t="s">
        <v>2228</v>
      </c>
      <c r="L736" s="574" t="s">
        <v>2229</v>
      </c>
      <c r="M736" s="574" t="s">
        <v>2230</v>
      </c>
      <c r="N736" s="574" t="s">
        <v>2231</v>
      </c>
      <c r="O736" s="574" t="s">
        <v>2759</v>
      </c>
      <c r="P736" s="574" t="s">
        <v>2932</v>
      </c>
      <c r="Q736" s="574" t="s">
        <v>2234</v>
      </c>
      <c r="R736" s="574" t="s">
        <v>2225</v>
      </c>
      <c r="S736" s="574" t="s">
        <v>2737</v>
      </c>
      <c r="T736" s="574" t="s">
        <v>2738</v>
      </c>
      <c r="U736" s="574" t="s">
        <v>3403</v>
      </c>
      <c r="V736" s="574" t="s">
        <v>2238</v>
      </c>
      <c r="W736" s="574" t="s">
        <v>2239</v>
      </c>
      <c r="X736" s="574" t="s">
        <v>3316</v>
      </c>
      <c r="Y736" s="575" t="s">
        <v>2649</v>
      </c>
      <c r="Z736" s="575" t="s">
        <v>2649</v>
      </c>
      <c r="AA736" s="574" t="s">
        <v>2942</v>
      </c>
      <c r="AB736" s="574" t="s">
        <v>2943</v>
      </c>
      <c r="AC736" s="574" t="s">
        <v>2944</v>
      </c>
      <c r="AD736" s="574" t="s">
        <v>2945</v>
      </c>
      <c r="AE736" s="574" t="s">
        <v>2946</v>
      </c>
      <c r="AF736" s="574" t="s">
        <v>2945</v>
      </c>
      <c r="AG736" s="576">
        <v>35105</v>
      </c>
      <c r="AH736" s="576">
        <v>0</v>
      </c>
    </row>
    <row r="737" spans="1:34" customFormat="1" x14ac:dyDescent="0.25">
      <c r="A737" s="574" t="s">
        <v>2219</v>
      </c>
      <c r="B737" s="574" t="s">
        <v>2220</v>
      </c>
      <c r="C737" s="574" t="s">
        <v>2221</v>
      </c>
      <c r="D737" s="574" t="s">
        <v>2220</v>
      </c>
      <c r="E737" s="574" t="s">
        <v>2222</v>
      </c>
      <c r="F737" s="574" t="s">
        <v>2223</v>
      </c>
      <c r="G737" s="574" t="s">
        <v>2224</v>
      </c>
      <c r="H737" s="574" t="s">
        <v>2225</v>
      </c>
      <c r="I737" s="574" t="s">
        <v>2226</v>
      </c>
      <c r="J737" s="574" t="s">
        <v>2227</v>
      </c>
      <c r="K737" s="574" t="s">
        <v>2228</v>
      </c>
      <c r="L737" s="574" t="s">
        <v>2229</v>
      </c>
      <c r="M737" s="574" t="s">
        <v>2230</v>
      </c>
      <c r="N737" s="574" t="s">
        <v>2231</v>
      </c>
      <c r="O737" s="574" t="s">
        <v>2759</v>
      </c>
      <c r="P737" s="574" t="s">
        <v>2932</v>
      </c>
      <c r="Q737" s="574" t="s">
        <v>2234</v>
      </c>
      <c r="R737" s="574" t="s">
        <v>2225</v>
      </c>
      <c r="S737" s="574" t="s">
        <v>2737</v>
      </c>
      <c r="T737" s="574" t="s">
        <v>2738</v>
      </c>
      <c r="U737" s="574" t="s">
        <v>3403</v>
      </c>
      <c r="V737" s="574" t="s">
        <v>2238</v>
      </c>
      <c r="W737" s="574" t="s">
        <v>2239</v>
      </c>
      <c r="X737" s="574" t="s">
        <v>3316</v>
      </c>
      <c r="Y737" s="575" t="s">
        <v>2649</v>
      </c>
      <c r="Z737" s="575" t="s">
        <v>2669</v>
      </c>
      <c r="AA737" s="574" t="s">
        <v>2942</v>
      </c>
      <c r="AB737" s="574" t="s">
        <v>2943</v>
      </c>
      <c r="AC737" s="574" t="s">
        <v>2944</v>
      </c>
      <c r="AD737" s="574" t="s">
        <v>2945</v>
      </c>
      <c r="AE737" s="574" t="s">
        <v>2946</v>
      </c>
      <c r="AF737" s="574" t="s">
        <v>2945</v>
      </c>
      <c r="AG737" s="576">
        <v>-35105</v>
      </c>
      <c r="AH737" s="576">
        <v>0</v>
      </c>
    </row>
    <row r="738" spans="1:34" customFormat="1" x14ac:dyDescent="0.25">
      <c r="A738" s="574" t="s">
        <v>2219</v>
      </c>
      <c r="B738" s="574" t="s">
        <v>2220</v>
      </c>
      <c r="C738" s="574" t="s">
        <v>2221</v>
      </c>
      <c r="D738" s="574" t="s">
        <v>2220</v>
      </c>
      <c r="E738" s="574" t="s">
        <v>2222</v>
      </c>
      <c r="F738" s="574" t="s">
        <v>2223</v>
      </c>
      <c r="G738" s="574" t="s">
        <v>2224</v>
      </c>
      <c r="H738" s="574" t="s">
        <v>2225</v>
      </c>
      <c r="I738" s="574" t="s">
        <v>2226</v>
      </c>
      <c r="J738" s="574" t="s">
        <v>2227</v>
      </c>
      <c r="K738" s="574" t="s">
        <v>2228</v>
      </c>
      <c r="L738" s="574" t="s">
        <v>2229</v>
      </c>
      <c r="M738" s="574" t="s">
        <v>2230</v>
      </c>
      <c r="N738" s="574" t="s">
        <v>2231</v>
      </c>
      <c r="O738" s="574" t="s">
        <v>2759</v>
      </c>
      <c r="P738" s="574" t="s">
        <v>2932</v>
      </c>
      <c r="Q738" s="574" t="s">
        <v>2234</v>
      </c>
      <c r="R738" s="574" t="s">
        <v>2225</v>
      </c>
      <c r="S738" s="574" t="s">
        <v>2737</v>
      </c>
      <c r="T738" s="574" t="s">
        <v>2738</v>
      </c>
      <c r="U738" s="574" t="s">
        <v>3404</v>
      </c>
      <c r="V738" s="574" t="s">
        <v>2238</v>
      </c>
      <c r="W738" s="574" t="s">
        <v>2239</v>
      </c>
      <c r="X738" s="574" t="s">
        <v>2941</v>
      </c>
      <c r="Y738" s="575" t="s">
        <v>2649</v>
      </c>
      <c r="Z738" s="575" t="s">
        <v>2649</v>
      </c>
      <c r="AA738" s="574" t="s">
        <v>2942</v>
      </c>
      <c r="AB738" s="574" t="s">
        <v>2943</v>
      </c>
      <c r="AC738" s="574" t="s">
        <v>2944</v>
      </c>
      <c r="AD738" s="574" t="s">
        <v>2945</v>
      </c>
      <c r="AE738" s="574" t="s">
        <v>2946</v>
      </c>
      <c r="AF738" s="574" t="s">
        <v>2945</v>
      </c>
      <c r="AG738" s="576">
        <v>105315</v>
      </c>
      <c r="AH738" s="576">
        <v>0</v>
      </c>
    </row>
    <row r="739" spans="1:34" customFormat="1" x14ac:dyDescent="0.25">
      <c r="A739" s="574" t="s">
        <v>2219</v>
      </c>
      <c r="B739" s="574" t="s">
        <v>2220</v>
      </c>
      <c r="C739" s="574" t="s">
        <v>2221</v>
      </c>
      <c r="D739" s="574" t="s">
        <v>2220</v>
      </c>
      <c r="E739" s="574" t="s">
        <v>2222</v>
      </c>
      <c r="F739" s="574" t="s">
        <v>2223</v>
      </c>
      <c r="G739" s="574" t="s">
        <v>2224</v>
      </c>
      <c r="H739" s="574" t="s">
        <v>2225</v>
      </c>
      <c r="I739" s="574" t="s">
        <v>2226</v>
      </c>
      <c r="J739" s="574" t="s">
        <v>2227</v>
      </c>
      <c r="K739" s="574" t="s">
        <v>2228</v>
      </c>
      <c r="L739" s="574" t="s">
        <v>2229</v>
      </c>
      <c r="M739" s="574" t="s">
        <v>2230</v>
      </c>
      <c r="N739" s="574" t="s">
        <v>2231</v>
      </c>
      <c r="O739" s="574" t="s">
        <v>2759</v>
      </c>
      <c r="P739" s="574" t="s">
        <v>2932</v>
      </c>
      <c r="Q739" s="574" t="s">
        <v>2234</v>
      </c>
      <c r="R739" s="574" t="s">
        <v>2225</v>
      </c>
      <c r="S739" s="574" t="s">
        <v>2737</v>
      </c>
      <c r="T739" s="574" t="s">
        <v>2738</v>
      </c>
      <c r="U739" s="574" t="s">
        <v>3405</v>
      </c>
      <c r="V739" s="574" t="s">
        <v>2238</v>
      </c>
      <c r="W739" s="574" t="s">
        <v>2239</v>
      </c>
      <c r="X739" s="574" t="s">
        <v>3320</v>
      </c>
      <c r="Y739" s="575" t="s">
        <v>2649</v>
      </c>
      <c r="Z739" s="575" t="s">
        <v>2649</v>
      </c>
      <c r="AA739" s="574" t="s">
        <v>1688</v>
      </c>
      <c r="AB739" s="574" t="s">
        <v>2430</v>
      </c>
      <c r="AC739" s="574" t="s">
        <v>2431</v>
      </c>
      <c r="AD739" s="574" t="s">
        <v>99</v>
      </c>
      <c r="AE739" s="574" t="s">
        <v>1531</v>
      </c>
      <c r="AF739" s="574" t="s">
        <v>99</v>
      </c>
      <c r="AG739" s="576">
        <v>699175</v>
      </c>
      <c r="AH739" s="576">
        <v>0</v>
      </c>
    </row>
    <row r="740" spans="1:34" customFormat="1" x14ac:dyDescent="0.25">
      <c r="A740" s="574" t="s">
        <v>2219</v>
      </c>
      <c r="B740" s="574" t="s">
        <v>2220</v>
      </c>
      <c r="C740" s="574" t="s">
        <v>2221</v>
      </c>
      <c r="D740" s="574" t="s">
        <v>2220</v>
      </c>
      <c r="E740" s="574" t="s">
        <v>2222</v>
      </c>
      <c r="F740" s="574" t="s">
        <v>2223</v>
      </c>
      <c r="G740" s="574" t="s">
        <v>2224</v>
      </c>
      <c r="H740" s="574" t="s">
        <v>2225</v>
      </c>
      <c r="I740" s="574" t="s">
        <v>2226</v>
      </c>
      <c r="J740" s="574" t="s">
        <v>2227</v>
      </c>
      <c r="K740" s="574" t="s">
        <v>2228</v>
      </c>
      <c r="L740" s="574" t="s">
        <v>2229</v>
      </c>
      <c r="M740" s="574" t="s">
        <v>2230</v>
      </c>
      <c r="N740" s="574" t="s">
        <v>2231</v>
      </c>
      <c r="O740" s="574" t="s">
        <v>2759</v>
      </c>
      <c r="P740" s="574" t="s">
        <v>2932</v>
      </c>
      <c r="Q740" s="574" t="s">
        <v>2234</v>
      </c>
      <c r="R740" s="574" t="s">
        <v>2225</v>
      </c>
      <c r="S740" s="574" t="s">
        <v>2737</v>
      </c>
      <c r="T740" s="574" t="s">
        <v>2738</v>
      </c>
      <c r="U740" s="574" t="s">
        <v>3405</v>
      </c>
      <c r="V740" s="574" t="s">
        <v>2238</v>
      </c>
      <c r="W740" s="574" t="s">
        <v>2239</v>
      </c>
      <c r="X740" s="574" t="s">
        <v>3320</v>
      </c>
      <c r="Y740" s="575" t="s">
        <v>2649</v>
      </c>
      <c r="Z740" s="575" t="s">
        <v>2665</v>
      </c>
      <c r="AA740" s="574" t="s">
        <v>1688</v>
      </c>
      <c r="AB740" s="574" t="s">
        <v>2430</v>
      </c>
      <c r="AC740" s="574" t="s">
        <v>2431</v>
      </c>
      <c r="AD740" s="574" t="s">
        <v>99</v>
      </c>
      <c r="AE740" s="574" t="s">
        <v>1531</v>
      </c>
      <c r="AF740" s="574" t="s">
        <v>99</v>
      </c>
      <c r="AG740" s="576">
        <v>-699175</v>
      </c>
      <c r="AH740" s="576">
        <v>0</v>
      </c>
    </row>
    <row r="741" spans="1:34" customFormat="1" x14ac:dyDescent="0.25">
      <c r="A741" s="574" t="s">
        <v>2219</v>
      </c>
      <c r="B741" s="574" t="s">
        <v>2220</v>
      </c>
      <c r="C741" s="574" t="s">
        <v>2221</v>
      </c>
      <c r="D741" s="574" t="s">
        <v>2220</v>
      </c>
      <c r="E741" s="574" t="s">
        <v>2222</v>
      </c>
      <c r="F741" s="574" t="s">
        <v>2223</v>
      </c>
      <c r="G741" s="574" t="s">
        <v>2224</v>
      </c>
      <c r="H741" s="574" t="s">
        <v>2225</v>
      </c>
      <c r="I741" s="574" t="s">
        <v>2226</v>
      </c>
      <c r="J741" s="574" t="s">
        <v>2227</v>
      </c>
      <c r="K741" s="574" t="s">
        <v>2228</v>
      </c>
      <c r="L741" s="574" t="s">
        <v>2229</v>
      </c>
      <c r="M741" s="574" t="s">
        <v>2230</v>
      </c>
      <c r="N741" s="574" t="s">
        <v>2231</v>
      </c>
      <c r="O741" s="574" t="s">
        <v>2759</v>
      </c>
      <c r="P741" s="574" t="s">
        <v>2932</v>
      </c>
      <c r="Q741" s="574" t="s">
        <v>2234</v>
      </c>
      <c r="R741" s="574" t="s">
        <v>2225</v>
      </c>
      <c r="S741" s="574" t="s">
        <v>2737</v>
      </c>
      <c r="T741" s="574" t="s">
        <v>2738</v>
      </c>
      <c r="U741" s="574" t="s">
        <v>3406</v>
      </c>
      <c r="V741" s="574" t="s">
        <v>2238</v>
      </c>
      <c r="W741" s="574" t="s">
        <v>2239</v>
      </c>
      <c r="X741" s="574" t="s">
        <v>2948</v>
      </c>
      <c r="Y741" s="575" t="s">
        <v>2649</v>
      </c>
      <c r="Z741" s="575" t="s">
        <v>2649</v>
      </c>
      <c r="AA741" s="574" t="s">
        <v>2949</v>
      </c>
      <c r="AB741" s="574" t="s">
        <v>2950</v>
      </c>
      <c r="AC741" s="574" t="s">
        <v>2951</v>
      </c>
      <c r="AD741" s="574" t="s">
        <v>2952</v>
      </c>
      <c r="AE741" s="574" t="s">
        <v>2953</v>
      </c>
      <c r="AF741" s="574" t="s">
        <v>2952</v>
      </c>
      <c r="AG741" s="576">
        <v>6938.4</v>
      </c>
      <c r="AH741" s="576">
        <v>0</v>
      </c>
    </row>
    <row r="742" spans="1:34" customFormat="1" x14ac:dyDescent="0.25">
      <c r="A742" s="574" t="s">
        <v>2219</v>
      </c>
      <c r="B742" s="574" t="s">
        <v>2220</v>
      </c>
      <c r="C742" s="574" t="s">
        <v>2221</v>
      </c>
      <c r="D742" s="574" t="s">
        <v>2220</v>
      </c>
      <c r="E742" s="574" t="s">
        <v>2222</v>
      </c>
      <c r="F742" s="574" t="s">
        <v>2223</v>
      </c>
      <c r="G742" s="574" t="s">
        <v>2224</v>
      </c>
      <c r="H742" s="574" t="s">
        <v>2225</v>
      </c>
      <c r="I742" s="574" t="s">
        <v>2226</v>
      </c>
      <c r="J742" s="574" t="s">
        <v>2227</v>
      </c>
      <c r="K742" s="574" t="s">
        <v>2228</v>
      </c>
      <c r="L742" s="574" t="s">
        <v>2229</v>
      </c>
      <c r="M742" s="574" t="s">
        <v>2230</v>
      </c>
      <c r="N742" s="574" t="s">
        <v>2231</v>
      </c>
      <c r="O742" s="574" t="s">
        <v>2759</v>
      </c>
      <c r="P742" s="574" t="s">
        <v>2932</v>
      </c>
      <c r="Q742" s="574" t="s">
        <v>2234</v>
      </c>
      <c r="R742" s="574" t="s">
        <v>2225</v>
      </c>
      <c r="S742" s="574" t="s">
        <v>2737</v>
      </c>
      <c r="T742" s="574" t="s">
        <v>2738</v>
      </c>
      <c r="U742" s="574" t="s">
        <v>3406</v>
      </c>
      <c r="V742" s="574" t="s">
        <v>2238</v>
      </c>
      <c r="W742" s="574" t="s">
        <v>2239</v>
      </c>
      <c r="X742" s="574" t="s">
        <v>2948</v>
      </c>
      <c r="Y742" s="575" t="s">
        <v>2649</v>
      </c>
      <c r="Z742" s="575" t="s">
        <v>2649</v>
      </c>
      <c r="AA742" s="574" t="s">
        <v>2954</v>
      </c>
      <c r="AB742" s="574" t="s">
        <v>2955</v>
      </c>
      <c r="AC742" s="574" t="s">
        <v>2956</v>
      </c>
      <c r="AD742" s="574" t="s">
        <v>2957</v>
      </c>
      <c r="AE742" s="574" t="s">
        <v>2958</v>
      </c>
      <c r="AF742" s="574" t="s">
        <v>113</v>
      </c>
      <c r="AG742" s="576">
        <v>25358.2</v>
      </c>
      <c r="AH742" s="576">
        <v>0</v>
      </c>
    </row>
    <row r="743" spans="1:34" customFormat="1" x14ac:dyDescent="0.25">
      <c r="A743" s="574" t="s">
        <v>2219</v>
      </c>
      <c r="B743" s="574" t="s">
        <v>2220</v>
      </c>
      <c r="C743" s="574" t="s">
        <v>2221</v>
      </c>
      <c r="D743" s="574" t="s">
        <v>2220</v>
      </c>
      <c r="E743" s="574" t="s">
        <v>2222</v>
      </c>
      <c r="F743" s="574" t="s">
        <v>2223</v>
      </c>
      <c r="G743" s="574" t="s">
        <v>2224</v>
      </c>
      <c r="H743" s="574" t="s">
        <v>2225</v>
      </c>
      <c r="I743" s="574" t="s">
        <v>2226</v>
      </c>
      <c r="J743" s="574" t="s">
        <v>2227</v>
      </c>
      <c r="K743" s="574" t="s">
        <v>2228</v>
      </c>
      <c r="L743" s="574" t="s">
        <v>2229</v>
      </c>
      <c r="M743" s="574" t="s">
        <v>2230</v>
      </c>
      <c r="N743" s="574" t="s">
        <v>2231</v>
      </c>
      <c r="O743" s="574" t="s">
        <v>2759</v>
      </c>
      <c r="P743" s="574" t="s">
        <v>2932</v>
      </c>
      <c r="Q743" s="574" t="s">
        <v>2234</v>
      </c>
      <c r="R743" s="574" t="s">
        <v>2225</v>
      </c>
      <c r="S743" s="574" t="s">
        <v>2737</v>
      </c>
      <c r="T743" s="574" t="s">
        <v>2738</v>
      </c>
      <c r="U743" s="574" t="s">
        <v>3406</v>
      </c>
      <c r="V743" s="574" t="s">
        <v>2238</v>
      </c>
      <c r="W743" s="574" t="s">
        <v>2239</v>
      </c>
      <c r="X743" s="574" t="s">
        <v>2948</v>
      </c>
      <c r="Y743" s="575" t="s">
        <v>2649</v>
      </c>
      <c r="Z743" s="575" t="s">
        <v>2649</v>
      </c>
      <c r="AA743" s="574" t="s">
        <v>2954</v>
      </c>
      <c r="AB743" s="574" t="s">
        <v>2955</v>
      </c>
      <c r="AC743" s="574" t="s">
        <v>2956</v>
      </c>
      <c r="AD743" s="574" t="s">
        <v>2957</v>
      </c>
      <c r="AE743" s="574" t="s">
        <v>2959</v>
      </c>
      <c r="AF743" s="574" t="s">
        <v>2960</v>
      </c>
      <c r="AG743" s="576">
        <v>67142</v>
      </c>
      <c r="AH743" s="576">
        <v>0</v>
      </c>
    </row>
    <row r="744" spans="1:34" customFormat="1" x14ac:dyDescent="0.25">
      <c r="A744" s="574" t="s">
        <v>2219</v>
      </c>
      <c r="B744" s="574" t="s">
        <v>2220</v>
      </c>
      <c r="C744" s="574" t="s">
        <v>2221</v>
      </c>
      <c r="D744" s="574" t="s">
        <v>2220</v>
      </c>
      <c r="E744" s="574" t="s">
        <v>2222</v>
      </c>
      <c r="F744" s="574" t="s">
        <v>2223</v>
      </c>
      <c r="G744" s="574" t="s">
        <v>2224</v>
      </c>
      <c r="H744" s="574" t="s">
        <v>2225</v>
      </c>
      <c r="I744" s="574" t="s">
        <v>2226</v>
      </c>
      <c r="J744" s="574" t="s">
        <v>2227</v>
      </c>
      <c r="K744" s="574" t="s">
        <v>2228</v>
      </c>
      <c r="L744" s="574" t="s">
        <v>2229</v>
      </c>
      <c r="M744" s="574" t="s">
        <v>2230</v>
      </c>
      <c r="N744" s="574" t="s">
        <v>2231</v>
      </c>
      <c r="O744" s="574" t="s">
        <v>2759</v>
      </c>
      <c r="P744" s="574" t="s">
        <v>2932</v>
      </c>
      <c r="Q744" s="574" t="s">
        <v>2234</v>
      </c>
      <c r="R744" s="574" t="s">
        <v>2225</v>
      </c>
      <c r="S744" s="574" t="s">
        <v>2737</v>
      </c>
      <c r="T744" s="574" t="s">
        <v>2738</v>
      </c>
      <c r="U744" s="574" t="s">
        <v>3406</v>
      </c>
      <c r="V744" s="574" t="s">
        <v>2238</v>
      </c>
      <c r="W744" s="574" t="s">
        <v>2239</v>
      </c>
      <c r="X744" s="574" t="s">
        <v>2948</v>
      </c>
      <c r="Y744" s="575" t="s">
        <v>2649</v>
      </c>
      <c r="Z744" s="575" t="s">
        <v>2649</v>
      </c>
      <c r="AA744" s="574" t="s">
        <v>1692</v>
      </c>
      <c r="AB744" s="574" t="s">
        <v>2307</v>
      </c>
      <c r="AC744" s="574" t="s">
        <v>2308</v>
      </c>
      <c r="AD744" s="574" t="s">
        <v>2309</v>
      </c>
      <c r="AE744" s="574" t="s">
        <v>1482</v>
      </c>
      <c r="AF744" s="574" t="s">
        <v>2961</v>
      </c>
      <c r="AG744" s="576">
        <v>85951.2</v>
      </c>
      <c r="AH744" s="576">
        <v>0</v>
      </c>
    </row>
    <row r="745" spans="1:34" customFormat="1" x14ac:dyDescent="0.25">
      <c r="A745" s="574" t="s">
        <v>2219</v>
      </c>
      <c r="B745" s="574" t="s">
        <v>2220</v>
      </c>
      <c r="C745" s="574" t="s">
        <v>2221</v>
      </c>
      <c r="D745" s="574" t="s">
        <v>2220</v>
      </c>
      <c r="E745" s="574" t="s">
        <v>2222</v>
      </c>
      <c r="F745" s="574" t="s">
        <v>2223</v>
      </c>
      <c r="G745" s="574" t="s">
        <v>2224</v>
      </c>
      <c r="H745" s="574" t="s">
        <v>2225</v>
      </c>
      <c r="I745" s="574" t="s">
        <v>2226</v>
      </c>
      <c r="J745" s="574" t="s">
        <v>2227</v>
      </c>
      <c r="K745" s="574" t="s">
        <v>2228</v>
      </c>
      <c r="L745" s="574" t="s">
        <v>2229</v>
      </c>
      <c r="M745" s="574" t="s">
        <v>2230</v>
      </c>
      <c r="N745" s="574" t="s">
        <v>2231</v>
      </c>
      <c r="O745" s="574" t="s">
        <v>2759</v>
      </c>
      <c r="P745" s="574" t="s">
        <v>2932</v>
      </c>
      <c r="Q745" s="574" t="s">
        <v>2234</v>
      </c>
      <c r="R745" s="574" t="s">
        <v>2225</v>
      </c>
      <c r="S745" s="574" t="s">
        <v>2737</v>
      </c>
      <c r="T745" s="574" t="s">
        <v>2738</v>
      </c>
      <c r="U745" s="574" t="s">
        <v>3406</v>
      </c>
      <c r="V745" s="574" t="s">
        <v>2238</v>
      </c>
      <c r="W745" s="574" t="s">
        <v>2239</v>
      </c>
      <c r="X745" s="574" t="s">
        <v>2948</v>
      </c>
      <c r="Y745" s="575" t="s">
        <v>2649</v>
      </c>
      <c r="Z745" s="575" t="s">
        <v>2649</v>
      </c>
      <c r="AA745" s="574" t="s">
        <v>1693</v>
      </c>
      <c r="AB745" s="574" t="s">
        <v>2319</v>
      </c>
      <c r="AC745" s="574" t="s">
        <v>2652</v>
      </c>
      <c r="AD745" s="574" t="s">
        <v>2653</v>
      </c>
      <c r="AE745" s="574" t="s">
        <v>2654</v>
      </c>
      <c r="AF745" s="574" t="s">
        <v>2655</v>
      </c>
      <c r="AG745" s="576">
        <v>2301</v>
      </c>
      <c r="AH745" s="576">
        <v>0</v>
      </c>
    </row>
    <row r="746" spans="1:34" customFormat="1" x14ac:dyDescent="0.25">
      <c r="A746" s="574" t="s">
        <v>2219</v>
      </c>
      <c r="B746" s="574" t="s">
        <v>2220</v>
      </c>
      <c r="C746" s="574" t="s">
        <v>2221</v>
      </c>
      <c r="D746" s="574" t="s">
        <v>2220</v>
      </c>
      <c r="E746" s="574" t="s">
        <v>2222</v>
      </c>
      <c r="F746" s="574" t="s">
        <v>2223</v>
      </c>
      <c r="G746" s="574" t="s">
        <v>2224</v>
      </c>
      <c r="H746" s="574" t="s">
        <v>2225</v>
      </c>
      <c r="I746" s="574" t="s">
        <v>2226</v>
      </c>
      <c r="J746" s="574" t="s">
        <v>2227</v>
      </c>
      <c r="K746" s="574" t="s">
        <v>2228</v>
      </c>
      <c r="L746" s="574" t="s">
        <v>2229</v>
      </c>
      <c r="M746" s="574" t="s">
        <v>2230</v>
      </c>
      <c r="N746" s="574" t="s">
        <v>2231</v>
      </c>
      <c r="O746" s="574" t="s">
        <v>2759</v>
      </c>
      <c r="P746" s="574" t="s">
        <v>2932</v>
      </c>
      <c r="Q746" s="574" t="s">
        <v>2234</v>
      </c>
      <c r="R746" s="574" t="s">
        <v>2225</v>
      </c>
      <c r="S746" s="574" t="s">
        <v>2737</v>
      </c>
      <c r="T746" s="574" t="s">
        <v>2738</v>
      </c>
      <c r="U746" s="574" t="s">
        <v>3406</v>
      </c>
      <c r="V746" s="574" t="s">
        <v>2238</v>
      </c>
      <c r="W746" s="574" t="s">
        <v>2239</v>
      </c>
      <c r="X746" s="574" t="s">
        <v>2948</v>
      </c>
      <c r="Y746" s="575" t="s">
        <v>2649</v>
      </c>
      <c r="Z746" s="575" t="s">
        <v>2649</v>
      </c>
      <c r="AA746" s="574" t="s">
        <v>1693</v>
      </c>
      <c r="AB746" s="574" t="s">
        <v>2319</v>
      </c>
      <c r="AC746" s="574" t="s">
        <v>2962</v>
      </c>
      <c r="AD746" s="574" t="s">
        <v>126</v>
      </c>
      <c r="AE746" s="574" t="s">
        <v>1522</v>
      </c>
      <c r="AF746" s="574" t="s">
        <v>126</v>
      </c>
      <c r="AG746" s="576">
        <v>13452</v>
      </c>
      <c r="AH746" s="576">
        <v>0</v>
      </c>
    </row>
    <row r="747" spans="1:34" customFormat="1" x14ac:dyDescent="0.25">
      <c r="A747" s="574" t="s">
        <v>2219</v>
      </c>
      <c r="B747" s="574" t="s">
        <v>2220</v>
      </c>
      <c r="C747" s="574" t="s">
        <v>2221</v>
      </c>
      <c r="D747" s="574" t="s">
        <v>2220</v>
      </c>
      <c r="E747" s="574" t="s">
        <v>2222</v>
      </c>
      <c r="F747" s="574" t="s">
        <v>2223</v>
      </c>
      <c r="G747" s="574" t="s">
        <v>2224</v>
      </c>
      <c r="H747" s="574" t="s">
        <v>2225</v>
      </c>
      <c r="I747" s="574" t="s">
        <v>2226</v>
      </c>
      <c r="J747" s="574" t="s">
        <v>2227</v>
      </c>
      <c r="K747" s="574" t="s">
        <v>2228</v>
      </c>
      <c r="L747" s="574" t="s">
        <v>2229</v>
      </c>
      <c r="M747" s="574" t="s">
        <v>2230</v>
      </c>
      <c r="N747" s="574" t="s">
        <v>2231</v>
      </c>
      <c r="O747" s="574" t="s">
        <v>2759</v>
      </c>
      <c r="P747" s="574" t="s">
        <v>2932</v>
      </c>
      <c r="Q747" s="574" t="s">
        <v>2234</v>
      </c>
      <c r="R747" s="574" t="s">
        <v>2225</v>
      </c>
      <c r="S747" s="574" t="s">
        <v>2737</v>
      </c>
      <c r="T747" s="574" t="s">
        <v>2738</v>
      </c>
      <c r="U747" s="574" t="s">
        <v>3407</v>
      </c>
      <c r="V747" s="574" t="s">
        <v>2238</v>
      </c>
      <c r="W747" s="574" t="s">
        <v>2239</v>
      </c>
      <c r="X747" s="574" t="s">
        <v>3252</v>
      </c>
      <c r="Y747" s="575" t="s">
        <v>2649</v>
      </c>
      <c r="Z747" s="575" t="s">
        <v>2649</v>
      </c>
      <c r="AA747" s="574" t="s">
        <v>1688</v>
      </c>
      <c r="AB747" s="574" t="s">
        <v>2430</v>
      </c>
      <c r="AC747" s="574" t="s">
        <v>2431</v>
      </c>
      <c r="AD747" s="574" t="s">
        <v>99</v>
      </c>
      <c r="AE747" s="574" t="s">
        <v>1531</v>
      </c>
      <c r="AF747" s="574" t="s">
        <v>99</v>
      </c>
      <c r="AG747" s="576">
        <v>378769</v>
      </c>
      <c r="AH747" s="576">
        <v>0</v>
      </c>
    </row>
    <row r="748" spans="1:34" customFormat="1" x14ac:dyDescent="0.25">
      <c r="A748" s="574" t="s">
        <v>2219</v>
      </c>
      <c r="B748" s="574" t="s">
        <v>2220</v>
      </c>
      <c r="C748" s="574" t="s">
        <v>2221</v>
      </c>
      <c r="D748" s="574" t="s">
        <v>2220</v>
      </c>
      <c r="E748" s="574" t="s">
        <v>2222</v>
      </c>
      <c r="F748" s="574" t="s">
        <v>2223</v>
      </c>
      <c r="G748" s="574" t="s">
        <v>2224</v>
      </c>
      <c r="H748" s="574" t="s">
        <v>2225</v>
      </c>
      <c r="I748" s="574" t="s">
        <v>2226</v>
      </c>
      <c r="J748" s="574" t="s">
        <v>2227</v>
      </c>
      <c r="K748" s="574" t="s">
        <v>2228</v>
      </c>
      <c r="L748" s="574" t="s">
        <v>2229</v>
      </c>
      <c r="M748" s="574" t="s">
        <v>2230</v>
      </c>
      <c r="N748" s="574" t="s">
        <v>2231</v>
      </c>
      <c r="O748" s="574" t="s">
        <v>2759</v>
      </c>
      <c r="P748" s="574" t="s">
        <v>2932</v>
      </c>
      <c r="Q748" s="574" t="s">
        <v>2234</v>
      </c>
      <c r="R748" s="574" t="s">
        <v>2225</v>
      </c>
      <c r="S748" s="574" t="s">
        <v>2737</v>
      </c>
      <c r="T748" s="574" t="s">
        <v>2738</v>
      </c>
      <c r="U748" s="574" t="s">
        <v>3407</v>
      </c>
      <c r="V748" s="574" t="s">
        <v>2238</v>
      </c>
      <c r="W748" s="574" t="s">
        <v>2239</v>
      </c>
      <c r="X748" s="574" t="s">
        <v>3252</v>
      </c>
      <c r="Y748" s="575" t="s">
        <v>2649</v>
      </c>
      <c r="Z748" s="575" t="s">
        <v>2665</v>
      </c>
      <c r="AA748" s="574" t="s">
        <v>1688</v>
      </c>
      <c r="AB748" s="574" t="s">
        <v>2430</v>
      </c>
      <c r="AC748" s="574" t="s">
        <v>2431</v>
      </c>
      <c r="AD748" s="574" t="s">
        <v>99</v>
      </c>
      <c r="AE748" s="574" t="s">
        <v>1531</v>
      </c>
      <c r="AF748" s="574" t="s">
        <v>99</v>
      </c>
      <c r="AG748" s="576">
        <v>-378769</v>
      </c>
      <c r="AH748" s="576">
        <v>0</v>
      </c>
    </row>
    <row r="749" spans="1:34" customFormat="1" x14ac:dyDescent="0.25">
      <c r="A749" s="574" t="s">
        <v>2219</v>
      </c>
      <c r="B749" s="574" t="s">
        <v>2220</v>
      </c>
      <c r="C749" s="574" t="s">
        <v>2221</v>
      </c>
      <c r="D749" s="574" t="s">
        <v>2220</v>
      </c>
      <c r="E749" s="574" t="s">
        <v>2222</v>
      </c>
      <c r="F749" s="574" t="s">
        <v>2223</v>
      </c>
      <c r="G749" s="574" t="s">
        <v>2224</v>
      </c>
      <c r="H749" s="574" t="s">
        <v>2225</v>
      </c>
      <c r="I749" s="574" t="s">
        <v>2226</v>
      </c>
      <c r="J749" s="574" t="s">
        <v>2227</v>
      </c>
      <c r="K749" s="574" t="s">
        <v>2228</v>
      </c>
      <c r="L749" s="574" t="s">
        <v>2229</v>
      </c>
      <c r="M749" s="574" t="s">
        <v>2230</v>
      </c>
      <c r="N749" s="574" t="s">
        <v>2231</v>
      </c>
      <c r="O749" s="574" t="s">
        <v>2759</v>
      </c>
      <c r="P749" s="574" t="s">
        <v>2932</v>
      </c>
      <c r="Q749" s="574" t="s">
        <v>2234</v>
      </c>
      <c r="R749" s="574" t="s">
        <v>2225</v>
      </c>
      <c r="S749" s="574" t="s">
        <v>2737</v>
      </c>
      <c r="T749" s="574" t="s">
        <v>2738</v>
      </c>
      <c r="U749" s="574" t="s">
        <v>3408</v>
      </c>
      <c r="V749" s="574" t="s">
        <v>2238</v>
      </c>
      <c r="W749" s="574" t="s">
        <v>2239</v>
      </c>
      <c r="X749" s="574" t="s">
        <v>3321</v>
      </c>
      <c r="Y749" s="575" t="s">
        <v>2649</v>
      </c>
      <c r="Z749" s="575" t="s">
        <v>2649</v>
      </c>
      <c r="AA749" s="574" t="s">
        <v>1688</v>
      </c>
      <c r="AB749" s="574" t="s">
        <v>2430</v>
      </c>
      <c r="AC749" s="574" t="s">
        <v>2431</v>
      </c>
      <c r="AD749" s="574" t="s">
        <v>99</v>
      </c>
      <c r="AE749" s="574" t="s">
        <v>1531</v>
      </c>
      <c r="AF749" s="574" t="s">
        <v>99</v>
      </c>
      <c r="AG749" s="576">
        <v>649250</v>
      </c>
      <c r="AH749" s="576">
        <v>0</v>
      </c>
    </row>
    <row r="750" spans="1:34" customFormat="1" x14ac:dyDescent="0.25">
      <c r="A750" s="574" t="s">
        <v>2219</v>
      </c>
      <c r="B750" s="574" t="s">
        <v>2220</v>
      </c>
      <c r="C750" s="574" t="s">
        <v>2221</v>
      </c>
      <c r="D750" s="574" t="s">
        <v>2220</v>
      </c>
      <c r="E750" s="574" t="s">
        <v>2222</v>
      </c>
      <c r="F750" s="574" t="s">
        <v>2223</v>
      </c>
      <c r="G750" s="574" t="s">
        <v>2224</v>
      </c>
      <c r="H750" s="574" t="s">
        <v>2225</v>
      </c>
      <c r="I750" s="574" t="s">
        <v>2226</v>
      </c>
      <c r="J750" s="574" t="s">
        <v>2227</v>
      </c>
      <c r="K750" s="574" t="s">
        <v>2228</v>
      </c>
      <c r="L750" s="574" t="s">
        <v>2229</v>
      </c>
      <c r="M750" s="574" t="s">
        <v>2230</v>
      </c>
      <c r="N750" s="574" t="s">
        <v>2231</v>
      </c>
      <c r="O750" s="574" t="s">
        <v>2759</v>
      </c>
      <c r="P750" s="574" t="s">
        <v>2932</v>
      </c>
      <c r="Q750" s="574" t="s">
        <v>2234</v>
      </c>
      <c r="R750" s="574" t="s">
        <v>2225</v>
      </c>
      <c r="S750" s="574" t="s">
        <v>2737</v>
      </c>
      <c r="T750" s="574" t="s">
        <v>2738</v>
      </c>
      <c r="U750" s="574" t="s">
        <v>3408</v>
      </c>
      <c r="V750" s="574" t="s">
        <v>2238</v>
      </c>
      <c r="W750" s="574" t="s">
        <v>2239</v>
      </c>
      <c r="X750" s="574" t="s">
        <v>3321</v>
      </c>
      <c r="Y750" s="575" t="s">
        <v>2649</v>
      </c>
      <c r="Z750" s="575" t="s">
        <v>2665</v>
      </c>
      <c r="AA750" s="574" t="s">
        <v>1688</v>
      </c>
      <c r="AB750" s="574" t="s">
        <v>2430</v>
      </c>
      <c r="AC750" s="574" t="s">
        <v>2431</v>
      </c>
      <c r="AD750" s="574" t="s">
        <v>99</v>
      </c>
      <c r="AE750" s="574" t="s">
        <v>1531</v>
      </c>
      <c r="AF750" s="574" t="s">
        <v>99</v>
      </c>
      <c r="AG750" s="576">
        <v>-649250</v>
      </c>
      <c r="AH750" s="576">
        <v>0</v>
      </c>
    </row>
    <row r="751" spans="1:34" customFormat="1" x14ac:dyDescent="0.25">
      <c r="A751" s="574" t="s">
        <v>2219</v>
      </c>
      <c r="B751" s="574" t="s">
        <v>2220</v>
      </c>
      <c r="C751" s="574" t="s">
        <v>2221</v>
      </c>
      <c r="D751" s="574" t="s">
        <v>2220</v>
      </c>
      <c r="E751" s="574" t="s">
        <v>2222</v>
      </c>
      <c r="F751" s="574" t="s">
        <v>2223</v>
      </c>
      <c r="G751" s="574" t="s">
        <v>2224</v>
      </c>
      <c r="H751" s="574" t="s">
        <v>2225</v>
      </c>
      <c r="I751" s="574" t="s">
        <v>2226</v>
      </c>
      <c r="J751" s="574" t="s">
        <v>2227</v>
      </c>
      <c r="K751" s="574" t="s">
        <v>2228</v>
      </c>
      <c r="L751" s="574" t="s">
        <v>2229</v>
      </c>
      <c r="M751" s="574" t="s">
        <v>2230</v>
      </c>
      <c r="N751" s="574" t="s">
        <v>2231</v>
      </c>
      <c r="O751" s="574" t="s">
        <v>2759</v>
      </c>
      <c r="P751" s="574" t="s">
        <v>2932</v>
      </c>
      <c r="Q751" s="574" t="s">
        <v>2234</v>
      </c>
      <c r="R751" s="574" t="s">
        <v>2225</v>
      </c>
      <c r="S751" s="574" t="s">
        <v>2737</v>
      </c>
      <c r="T751" s="574" t="s">
        <v>2738</v>
      </c>
      <c r="U751" s="574" t="s">
        <v>3409</v>
      </c>
      <c r="V751" s="574" t="s">
        <v>2238</v>
      </c>
      <c r="W751" s="574" t="s">
        <v>2239</v>
      </c>
      <c r="X751" s="574" t="s">
        <v>2999</v>
      </c>
      <c r="Y751" s="575" t="s">
        <v>2649</v>
      </c>
      <c r="Z751" s="575" t="s">
        <v>2649</v>
      </c>
      <c r="AA751" s="574" t="s">
        <v>1693</v>
      </c>
      <c r="AB751" s="574" t="s">
        <v>2319</v>
      </c>
      <c r="AC751" s="574" t="s">
        <v>2320</v>
      </c>
      <c r="AD751" s="574" t="s">
        <v>2321</v>
      </c>
      <c r="AE751" s="574" t="s">
        <v>1446</v>
      </c>
      <c r="AF751" s="574" t="s">
        <v>2321</v>
      </c>
      <c r="AG751" s="576">
        <v>1652000</v>
      </c>
      <c r="AH751" s="576">
        <v>0</v>
      </c>
    </row>
    <row r="752" spans="1:34" customFormat="1" x14ac:dyDescent="0.25">
      <c r="A752" s="574" t="s">
        <v>2219</v>
      </c>
      <c r="B752" s="574" t="s">
        <v>2220</v>
      </c>
      <c r="C752" s="574" t="s">
        <v>2221</v>
      </c>
      <c r="D752" s="574" t="s">
        <v>2220</v>
      </c>
      <c r="E752" s="574" t="s">
        <v>2222</v>
      </c>
      <c r="F752" s="574" t="s">
        <v>2223</v>
      </c>
      <c r="G752" s="574" t="s">
        <v>2224</v>
      </c>
      <c r="H752" s="574" t="s">
        <v>2225</v>
      </c>
      <c r="I752" s="574" t="s">
        <v>2226</v>
      </c>
      <c r="J752" s="574" t="s">
        <v>2227</v>
      </c>
      <c r="K752" s="574" t="s">
        <v>2228</v>
      </c>
      <c r="L752" s="574" t="s">
        <v>2229</v>
      </c>
      <c r="M752" s="574" t="s">
        <v>2230</v>
      </c>
      <c r="N752" s="574" t="s">
        <v>2231</v>
      </c>
      <c r="O752" s="574" t="s">
        <v>2759</v>
      </c>
      <c r="P752" s="574" t="s">
        <v>2932</v>
      </c>
      <c r="Q752" s="574" t="s">
        <v>2234</v>
      </c>
      <c r="R752" s="574" t="s">
        <v>2225</v>
      </c>
      <c r="S752" s="574" t="s">
        <v>2737</v>
      </c>
      <c r="T752" s="574" t="s">
        <v>2738</v>
      </c>
      <c r="U752" s="574" t="s">
        <v>3410</v>
      </c>
      <c r="V752" s="574" t="s">
        <v>2238</v>
      </c>
      <c r="W752" s="574" t="s">
        <v>2239</v>
      </c>
      <c r="X752" s="574" t="s">
        <v>3322</v>
      </c>
      <c r="Y752" s="575" t="s">
        <v>2649</v>
      </c>
      <c r="Z752" s="575" t="s">
        <v>2649</v>
      </c>
      <c r="AA752" s="574" t="s">
        <v>1688</v>
      </c>
      <c r="AB752" s="574" t="s">
        <v>2430</v>
      </c>
      <c r="AC752" s="574" t="s">
        <v>2431</v>
      </c>
      <c r="AD752" s="574" t="s">
        <v>99</v>
      </c>
      <c r="AE752" s="574" t="s">
        <v>1531</v>
      </c>
      <c r="AF752" s="574" t="s">
        <v>99</v>
      </c>
      <c r="AG752" s="576">
        <v>582350</v>
      </c>
      <c r="AH752" s="576">
        <v>0</v>
      </c>
    </row>
    <row r="753" spans="1:34" customFormat="1" x14ac:dyDescent="0.25">
      <c r="A753" s="574" t="s">
        <v>2219</v>
      </c>
      <c r="B753" s="574" t="s">
        <v>2220</v>
      </c>
      <c r="C753" s="574" t="s">
        <v>2221</v>
      </c>
      <c r="D753" s="574" t="s">
        <v>2220</v>
      </c>
      <c r="E753" s="574" t="s">
        <v>2222</v>
      </c>
      <c r="F753" s="574" t="s">
        <v>2223</v>
      </c>
      <c r="G753" s="574" t="s">
        <v>2224</v>
      </c>
      <c r="H753" s="574" t="s">
        <v>2225</v>
      </c>
      <c r="I753" s="574" t="s">
        <v>2226</v>
      </c>
      <c r="J753" s="574" t="s">
        <v>2227</v>
      </c>
      <c r="K753" s="574" t="s">
        <v>2228</v>
      </c>
      <c r="L753" s="574" t="s">
        <v>2229</v>
      </c>
      <c r="M753" s="574" t="s">
        <v>2230</v>
      </c>
      <c r="N753" s="574" t="s">
        <v>2231</v>
      </c>
      <c r="O753" s="574" t="s">
        <v>2759</v>
      </c>
      <c r="P753" s="574" t="s">
        <v>2932</v>
      </c>
      <c r="Q753" s="574" t="s">
        <v>2234</v>
      </c>
      <c r="R753" s="574" t="s">
        <v>2225</v>
      </c>
      <c r="S753" s="574" t="s">
        <v>2737</v>
      </c>
      <c r="T753" s="574" t="s">
        <v>2738</v>
      </c>
      <c r="U753" s="574" t="s">
        <v>3410</v>
      </c>
      <c r="V753" s="574" t="s">
        <v>2238</v>
      </c>
      <c r="W753" s="574" t="s">
        <v>2239</v>
      </c>
      <c r="X753" s="574" t="s">
        <v>3322</v>
      </c>
      <c r="Y753" s="575" t="s">
        <v>2649</v>
      </c>
      <c r="Z753" s="575" t="s">
        <v>2665</v>
      </c>
      <c r="AA753" s="574" t="s">
        <v>1688</v>
      </c>
      <c r="AB753" s="574" t="s">
        <v>2430</v>
      </c>
      <c r="AC753" s="574" t="s">
        <v>2431</v>
      </c>
      <c r="AD753" s="574" t="s">
        <v>99</v>
      </c>
      <c r="AE753" s="574" t="s">
        <v>1531</v>
      </c>
      <c r="AF753" s="574" t="s">
        <v>99</v>
      </c>
      <c r="AG753" s="576">
        <v>-582350</v>
      </c>
      <c r="AH753" s="576">
        <v>0</v>
      </c>
    </row>
    <row r="754" spans="1:34" customFormat="1" x14ac:dyDescent="0.25">
      <c r="A754" s="574" t="s">
        <v>2219</v>
      </c>
      <c r="B754" s="574" t="s">
        <v>2220</v>
      </c>
      <c r="C754" s="574" t="s">
        <v>2221</v>
      </c>
      <c r="D754" s="574" t="s">
        <v>2220</v>
      </c>
      <c r="E754" s="574" t="s">
        <v>2222</v>
      </c>
      <c r="F754" s="574" t="s">
        <v>2223</v>
      </c>
      <c r="G754" s="574" t="s">
        <v>2224</v>
      </c>
      <c r="H754" s="574" t="s">
        <v>2225</v>
      </c>
      <c r="I754" s="574" t="s">
        <v>2226</v>
      </c>
      <c r="J754" s="574" t="s">
        <v>2227</v>
      </c>
      <c r="K754" s="574" t="s">
        <v>2228</v>
      </c>
      <c r="L754" s="574" t="s">
        <v>2229</v>
      </c>
      <c r="M754" s="574" t="s">
        <v>2230</v>
      </c>
      <c r="N754" s="574" t="s">
        <v>2231</v>
      </c>
      <c r="O754" s="574" t="s">
        <v>2759</v>
      </c>
      <c r="P754" s="574" t="s">
        <v>2932</v>
      </c>
      <c r="Q754" s="574" t="s">
        <v>2234</v>
      </c>
      <c r="R754" s="574" t="s">
        <v>2225</v>
      </c>
      <c r="S754" s="574" t="s">
        <v>2737</v>
      </c>
      <c r="T754" s="574" t="s">
        <v>2738</v>
      </c>
      <c r="U754" s="574" t="s">
        <v>3411</v>
      </c>
      <c r="V754" s="574" t="s">
        <v>2238</v>
      </c>
      <c r="W754" s="574" t="s">
        <v>2239</v>
      </c>
      <c r="X754" s="574" t="s">
        <v>2964</v>
      </c>
      <c r="Y754" s="575" t="s">
        <v>2649</v>
      </c>
      <c r="Z754" s="575" t="s">
        <v>2649</v>
      </c>
      <c r="AA754" s="574" t="s">
        <v>1686</v>
      </c>
      <c r="AB754" s="574" t="s">
        <v>2965</v>
      </c>
      <c r="AC754" s="574" t="s">
        <v>2966</v>
      </c>
      <c r="AD754" s="574" t="s">
        <v>2967</v>
      </c>
      <c r="AE754" s="574" t="s">
        <v>2968</v>
      </c>
      <c r="AF754" s="574" t="s">
        <v>2969</v>
      </c>
      <c r="AG754" s="576">
        <v>413472</v>
      </c>
      <c r="AH754" s="576">
        <v>0</v>
      </c>
    </row>
    <row r="755" spans="1:34" customFormat="1" x14ac:dyDescent="0.25">
      <c r="A755" s="574" t="s">
        <v>2219</v>
      </c>
      <c r="B755" s="574" t="s">
        <v>2220</v>
      </c>
      <c r="C755" s="574" t="s">
        <v>2221</v>
      </c>
      <c r="D755" s="574" t="s">
        <v>2220</v>
      </c>
      <c r="E755" s="574" t="s">
        <v>2222</v>
      </c>
      <c r="F755" s="574" t="s">
        <v>2223</v>
      </c>
      <c r="G755" s="574" t="s">
        <v>2224</v>
      </c>
      <c r="H755" s="574" t="s">
        <v>2225</v>
      </c>
      <c r="I755" s="574" t="s">
        <v>2226</v>
      </c>
      <c r="J755" s="574" t="s">
        <v>2227</v>
      </c>
      <c r="K755" s="574" t="s">
        <v>2228</v>
      </c>
      <c r="L755" s="574" t="s">
        <v>2229</v>
      </c>
      <c r="M755" s="574" t="s">
        <v>2230</v>
      </c>
      <c r="N755" s="574" t="s">
        <v>2231</v>
      </c>
      <c r="O755" s="574" t="s">
        <v>2759</v>
      </c>
      <c r="P755" s="574" t="s">
        <v>2932</v>
      </c>
      <c r="Q755" s="574" t="s">
        <v>2234</v>
      </c>
      <c r="R755" s="574" t="s">
        <v>2225</v>
      </c>
      <c r="S755" s="574" t="s">
        <v>2737</v>
      </c>
      <c r="T755" s="574" t="s">
        <v>2738</v>
      </c>
      <c r="U755" s="574" t="s">
        <v>3412</v>
      </c>
      <c r="V755" s="574" t="s">
        <v>2238</v>
      </c>
      <c r="W755" s="574" t="s">
        <v>2239</v>
      </c>
      <c r="X755" s="574" t="s">
        <v>3323</v>
      </c>
      <c r="Y755" s="575" t="s">
        <v>2649</v>
      </c>
      <c r="Z755" s="575" t="s">
        <v>2649</v>
      </c>
      <c r="AA755" s="574" t="s">
        <v>1688</v>
      </c>
      <c r="AB755" s="574" t="s">
        <v>2430</v>
      </c>
      <c r="AC755" s="574" t="s">
        <v>2431</v>
      </c>
      <c r="AD755" s="574" t="s">
        <v>99</v>
      </c>
      <c r="AE755" s="574" t="s">
        <v>1531</v>
      </c>
      <c r="AF755" s="574" t="s">
        <v>99</v>
      </c>
      <c r="AG755" s="576">
        <v>605025</v>
      </c>
      <c r="AH755" s="576">
        <v>0</v>
      </c>
    </row>
    <row r="756" spans="1:34" customFormat="1" x14ac:dyDescent="0.25">
      <c r="A756" s="574" t="s">
        <v>2219</v>
      </c>
      <c r="B756" s="574" t="s">
        <v>2220</v>
      </c>
      <c r="C756" s="574" t="s">
        <v>2221</v>
      </c>
      <c r="D756" s="574" t="s">
        <v>2220</v>
      </c>
      <c r="E756" s="574" t="s">
        <v>2222</v>
      </c>
      <c r="F756" s="574" t="s">
        <v>2223</v>
      </c>
      <c r="G756" s="574" t="s">
        <v>2224</v>
      </c>
      <c r="H756" s="574" t="s">
        <v>2225</v>
      </c>
      <c r="I756" s="574" t="s">
        <v>2226</v>
      </c>
      <c r="J756" s="574" t="s">
        <v>2227</v>
      </c>
      <c r="K756" s="574" t="s">
        <v>2228</v>
      </c>
      <c r="L756" s="574" t="s">
        <v>2229</v>
      </c>
      <c r="M756" s="574" t="s">
        <v>2230</v>
      </c>
      <c r="N756" s="574" t="s">
        <v>2231</v>
      </c>
      <c r="O756" s="574" t="s">
        <v>2759</v>
      </c>
      <c r="P756" s="574" t="s">
        <v>2932</v>
      </c>
      <c r="Q756" s="574" t="s">
        <v>2234</v>
      </c>
      <c r="R756" s="574" t="s">
        <v>2225</v>
      </c>
      <c r="S756" s="574" t="s">
        <v>2737</v>
      </c>
      <c r="T756" s="574" t="s">
        <v>2738</v>
      </c>
      <c r="U756" s="574" t="s">
        <v>3412</v>
      </c>
      <c r="V756" s="574" t="s">
        <v>2238</v>
      </c>
      <c r="W756" s="574" t="s">
        <v>2239</v>
      </c>
      <c r="X756" s="574" t="s">
        <v>3323</v>
      </c>
      <c r="Y756" s="575" t="s">
        <v>2649</v>
      </c>
      <c r="Z756" s="575" t="s">
        <v>2665</v>
      </c>
      <c r="AA756" s="574" t="s">
        <v>1688</v>
      </c>
      <c r="AB756" s="574" t="s">
        <v>2430</v>
      </c>
      <c r="AC756" s="574" t="s">
        <v>2431</v>
      </c>
      <c r="AD756" s="574" t="s">
        <v>99</v>
      </c>
      <c r="AE756" s="574" t="s">
        <v>1531</v>
      </c>
      <c r="AF756" s="574" t="s">
        <v>99</v>
      </c>
      <c r="AG756" s="576">
        <v>-605025</v>
      </c>
      <c r="AH756" s="576">
        <v>0</v>
      </c>
    </row>
    <row r="757" spans="1:34" customFormat="1" x14ac:dyDescent="0.25">
      <c r="A757" s="574" t="s">
        <v>2219</v>
      </c>
      <c r="B757" s="574" t="s">
        <v>2220</v>
      </c>
      <c r="C757" s="574" t="s">
        <v>2221</v>
      </c>
      <c r="D757" s="574" t="s">
        <v>2220</v>
      </c>
      <c r="E757" s="574" t="s">
        <v>2222</v>
      </c>
      <c r="F757" s="574" t="s">
        <v>2223</v>
      </c>
      <c r="G757" s="574" t="s">
        <v>2224</v>
      </c>
      <c r="H757" s="574" t="s">
        <v>2225</v>
      </c>
      <c r="I757" s="574" t="s">
        <v>2226</v>
      </c>
      <c r="J757" s="574" t="s">
        <v>2227</v>
      </c>
      <c r="K757" s="574" t="s">
        <v>2228</v>
      </c>
      <c r="L757" s="574" t="s">
        <v>2229</v>
      </c>
      <c r="M757" s="574" t="s">
        <v>2230</v>
      </c>
      <c r="N757" s="574" t="s">
        <v>2231</v>
      </c>
      <c r="O757" s="574" t="s">
        <v>2759</v>
      </c>
      <c r="P757" s="574" t="s">
        <v>2932</v>
      </c>
      <c r="Q757" s="574" t="s">
        <v>2234</v>
      </c>
      <c r="R757" s="574" t="s">
        <v>2225</v>
      </c>
      <c r="S757" s="574" t="s">
        <v>2737</v>
      </c>
      <c r="T757" s="574" t="s">
        <v>2738</v>
      </c>
      <c r="U757" s="574" t="s">
        <v>3413</v>
      </c>
      <c r="V757" s="574" t="s">
        <v>2238</v>
      </c>
      <c r="W757" s="574" t="s">
        <v>2239</v>
      </c>
      <c r="X757" s="574" t="s">
        <v>2971</v>
      </c>
      <c r="Y757" s="575" t="s">
        <v>2649</v>
      </c>
      <c r="Z757" s="575" t="s">
        <v>2649</v>
      </c>
      <c r="AA757" s="574" t="s">
        <v>1688</v>
      </c>
      <c r="AB757" s="574" t="s">
        <v>2430</v>
      </c>
      <c r="AC757" s="574" t="s">
        <v>2431</v>
      </c>
      <c r="AD757" s="574" t="s">
        <v>99</v>
      </c>
      <c r="AE757" s="574" t="s">
        <v>1531</v>
      </c>
      <c r="AF757" s="574" t="s">
        <v>99</v>
      </c>
      <c r="AG757" s="576">
        <v>69393.05</v>
      </c>
      <c r="AH757" s="576">
        <v>0</v>
      </c>
    </row>
    <row r="758" spans="1:34" customFormat="1" x14ac:dyDescent="0.25">
      <c r="A758" s="574" t="s">
        <v>2219</v>
      </c>
      <c r="B758" s="574" t="s">
        <v>2220</v>
      </c>
      <c r="C758" s="574" t="s">
        <v>2221</v>
      </c>
      <c r="D758" s="574" t="s">
        <v>2220</v>
      </c>
      <c r="E758" s="574" t="s">
        <v>2222</v>
      </c>
      <c r="F758" s="574" t="s">
        <v>2223</v>
      </c>
      <c r="G758" s="574" t="s">
        <v>2224</v>
      </c>
      <c r="H758" s="574" t="s">
        <v>2225</v>
      </c>
      <c r="I758" s="574" t="s">
        <v>2226</v>
      </c>
      <c r="J758" s="574" t="s">
        <v>2227</v>
      </c>
      <c r="K758" s="574" t="s">
        <v>2228</v>
      </c>
      <c r="L758" s="574" t="s">
        <v>2229</v>
      </c>
      <c r="M758" s="574" t="s">
        <v>2230</v>
      </c>
      <c r="N758" s="574" t="s">
        <v>2231</v>
      </c>
      <c r="O758" s="574" t="s">
        <v>2759</v>
      </c>
      <c r="P758" s="574" t="s">
        <v>2932</v>
      </c>
      <c r="Q758" s="574" t="s">
        <v>2234</v>
      </c>
      <c r="R758" s="574" t="s">
        <v>2225</v>
      </c>
      <c r="S758" s="574" t="s">
        <v>2737</v>
      </c>
      <c r="T758" s="574" t="s">
        <v>2738</v>
      </c>
      <c r="U758" s="574" t="s">
        <v>3414</v>
      </c>
      <c r="V758" s="574" t="s">
        <v>2238</v>
      </c>
      <c r="W758" s="574" t="s">
        <v>2239</v>
      </c>
      <c r="X758" s="574" t="s">
        <v>2993</v>
      </c>
      <c r="Y758" s="575" t="s">
        <v>2649</v>
      </c>
      <c r="Z758" s="575" t="s">
        <v>2649</v>
      </c>
      <c r="AA758" s="574" t="s">
        <v>1686</v>
      </c>
      <c r="AB758" s="574" t="s">
        <v>2965</v>
      </c>
      <c r="AC758" s="574" t="s">
        <v>2966</v>
      </c>
      <c r="AD758" s="574" t="s">
        <v>2967</v>
      </c>
      <c r="AE758" s="574" t="s">
        <v>2968</v>
      </c>
      <c r="AF758" s="574" t="s">
        <v>2969</v>
      </c>
      <c r="AG758" s="576">
        <v>868608</v>
      </c>
      <c r="AH758" s="576">
        <v>0</v>
      </c>
    </row>
    <row r="759" spans="1:34" customFormat="1" x14ac:dyDescent="0.25">
      <c r="A759" s="574" t="s">
        <v>2219</v>
      </c>
      <c r="B759" s="574" t="s">
        <v>2220</v>
      </c>
      <c r="C759" s="574" t="s">
        <v>2221</v>
      </c>
      <c r="D759" s="574" t="s">
        <v>2220</v>
      </c>
      <c r="E759" s="574" t="s">
        <v>2222</v>
      </c>
      <c r="F759" s="574" t="s">
        <v>2223</v>
      </c>
      <c r="G759" s="574" t="s">
        <v>2224</v>
      </c>
      <c r="H759" s="574" t="s">
        <v>2225</v>
      </c>
      <c r="I759" s="574" t="s">
        <v>2226</v>
      </c>
      <c r="J759" s="574" t="s">
        <v>2227</v>
      </c>
      <c r="K759" s="574" t="s">
        <v>2228</v>
      </c>
      <c r="L759" s="574" t="s">
        <v>2229</v>
      </c>
      <c r="M759" s="574" t="s">
        <v>2230</v>
      </c>
      <c r="N759" s="574" t="s">
        <v>2231</v>
      </c>
      <c r="O759" s="574" t="s">
        <v>2759</v>
      </c>
      <c r="P759" s="574" t="s">
        <v>2932</v>
      </c>
      <c r="Q759" s="574" t="s">
        <v>2234</v>
      </c>
      <c r="R759" s="574" t="s">
        <v>2225</v>
      </c>
      <c r="S759" s="574" t="s">
        <v>2737</v>
      </c>
      <c r="T759" s="574" t="s">
        <v>2738</v>
      </c>
      <c r="U759" s="574" t="s">
        <v>3415</v>
      </c>
      <c r="V759" s="574" t="s">
        <v>2238</v>
      </c>
      <c r="W759" s="574" t="s">
        <v>2239</v>
      </c>
      <c r="X759" s="574" t="s">
        <v>2978</v>
      </c>
      <c r="Y759" s="575" t="s">
        <v>2649</v>
      </c>
      <c r="Z759" s="575" t="s">
        <v>2649</v>
      </c>
      <c r="AA759" s="574" t="s">
        <v>1688</v>
      </c>
      <c r="AB759" s="574" t="s">
        <v>2430</v>
      </c>
      <c r="AC759" s="574" t="s">
        <v>2431</v>
      </c>
      <c r="AD759" s="574" t="s">
        <v>99</v>
      </c>
      <c r="AE759" s="574" t="s">
        <v>1531</v>
      </c>
      <c r="AF759" s="574" t="s">
        <v>99</v>
      </c>
      <c r="AG759" s="576">
        <v>103785</v>
      </c>
      <c r="AH759" s="576">
        <v>0</v>
      </c>
    </row>
    <row r="760" spans="1:34" customFormat="1" x14ac:dyDescent="0.25">
      <c r="A760" s="574" t="s">
        <v>2219</v>
      </c>
      <c r="B760" s="574" t="s">
        <v>2220</v>
      </c>
      <c r="C760" s="574" t="s">
        <v>2221</v>
      </c>
      <c r="D760" s="574" t="s">
        <v>2220</v>
      </c>
      <c r="E760" s="574" t="s">
        <v>2222</v>
      </c>
      <c r="F760" s="574" t="s">
        <v>2223</v>
      </c>
      <c r="G760" s="574" t="s">
        <v>2224</v>
      </c>
      <c r="H760" s="574" t="s">
        <v>2225</v>
      </c>
      <c r="I760" s="574" t="s">
        <v>2226</v>
      </c>
      <c r="J760" s="574" t="s">
        <v>2227</v>
      </c>
      <c r="K760" s="574" t="s">
        <v>2228</v>
      </c>
      <c r="L760" s="574" t="s">
        <v>2229</v>
      </c>
      <c r="M760" s="574" t="s">
        <v>2230</v>
      </c>
      <c r="N760" s="574" t="s">
        <v>2231</v>
      </c>
      <c r="O760" s="574" t="s">
        <v>2759</v>
      </c>
      <c r="P760" s="574" t="s">
        <v>2932</v>
      </c>
      <c r="Q760" s="574" t="s">
        <v>2234</v>
      </c>
      <c r="R760" s="574" t="s">
        <v>2225</v>
      </c>
      <c r="S760" s="574" t="s">
        <v>2737</v>
      </c>
      <c r="T760" s="574" t="s">
        <v>2738</v>
      </c>
      <c r="U760" s="574" t="s">
        <v>3416</v>
      </c>
      <c r="V760" s="574" t="s">
        <v>2238</v>
      </c>
      <c r="W760" s="574" t="s">
        <v>2239</v>
      </c>
      <c r="X760" s="574" t="s">
        <v>2980</v>
      </c>
      <c r="Y760" s="575" t="s">
        <v>2649</v>
      </c>
      <c r="Z760" s="575" t="s">
        <v>2649</v>
      </c>
      <c r="AA760" s="574" t="s">
        <v>1688</v>
      </c>
      <c r="AB760" s="574" t="s">
        <v>2430</v>
      </c>
      <c r="AC760" s="574" t="s">
        <v>2431</v>
      </c>
      <c r="AD760" s="574" t="s">
        <v>99</v>
      </c>
      <c r="AE760" s="574" t="s">
        <v>1531</v>
      </c>
      <c r="AF760" s="574" t="s">
        <v>99</v>
      </c>
      <c r="AG760" s="576">
        <v>348600</v>
      </c>
      <c r="AH760" s="576">
        <v>0</v>
      </c>
    </row>
    <row r="761" spans="1:34" customFormat="1" x14ac:dyDescent="0.25">
      <c r="A761" s="574" t="s">
        <v>2219</v>
      </c>
      <c r="B761" s="574" t="s">
        <v>2220</v>
      </c>
      <c r="C761" s="574" t="s">
        <v>2221</v>
      </c>
      <c r="D761" s="574" t="s">
        <v>2220</v>
      </c>
      <c r="E761" s="574" t="s">
        <v>2222</v>
      </c>
      <c r="F761" s="574" t="s">
        <v>2223</v>
      </c>
      <c r="G761" s="574" t="s">
        <v>2224</v>
      </c>
      <c r="H761" s="574" t="s">
        <v>2225</v>
      </c>
      <c r="I761" s="574" t="s">
        <v>2226</v>
      </c>
      <c r="J761" s="574" t="s">
        <v>2227</v>
      </c>
      <c r="K761" s="574" t="s">
        <v>2228</v>
      </c>
      <c r="L761" s="574" t="s">
        <v>2229</v>
      </c>
      <c r="M761" s="574" t="s">
        <v>2230</v>
      </c>
      <c r="N761" s="574" t="s">
        <v>2231</v>
      </c>
      <c r="O761" s="574" t="s">
        <v>2759</v>
      </c>
      <c r="P761" s="574" t="s">
        <v>2932</v>
      </c>
      <c r="Q761" s="574" t="s">
        <v>2234</v>
      </c>
      <c r="R761" s="574" t="s">
        <v>2225</v>
      </c>
      <c r="S761" s="574" t="s">
        <v>2737</v>
      </c>
      <c r="T761" s="574" t="s">
        <v>2738</v>
      </c>
      <c r="U761" s="574" t="s">
        <v>3417</v>
      </c>
      <c r="V761" s="574" t="s">
        <v>2238</v>
      </c>
      <c r="W761" s="574" t="s">
        <v>2239</v>
      </c>
      <c r="X761" s="574" t="s">
        <v>2982</v>
      </c>
      <c r="Y761" s="575" t="s">
        <v>2649</v>
      </c>
      <c r="Z761" s="575" t="s">
        <v>2649</v>
      </c>
      <c r="AA761" s="574" t="s">
        <v>2949</v>
      </c>
      <c r="AB761" s="574" t="s">
        <v>2950</v>
      </c>
      <c r="AC761" s="574" t="s">
        <v>2974</v>
      </c>
      <c r="AD761" s="574" t="s">
        <v>2975</v>
      </c>
      <c r="AE761" s="574" t="s">
        <v>2976</v>
      </c>
      <c r="AF761" s="574" t="s">
        <v>2975</v>
      </c>
      <c r="AG761" s="576">
        <v>10797</v>
      </c>
      <c r="AH761" s="576">
        <v>0</v>
      </c>
    </row>
    <row r="762" spans="1:34" customFormat="1" x14ac:dyDescent="0.25">
      <c r="A762" s="574" t="s">
        <v>2219</v>
      </c>
      <c r="B762" s="574" t="s">
        <v>2220</v>
      </c>
      <c r="C762" s="574" t="s">
        <v>2221</v>
      </c>
      <c r="D762" s="574" t="s">
        <v>2220</v>
      </c>
      <c r="E762" s="574" t="s">
        <v>2222</v>
      </c>
      <c r="F762" s="574" t="s">
        <v>2223</v>
      </c>
      <c r="G762" s="574" t="s">
        <v>2224</v>
      </c>
      <c r="H762" s="574" t="s">
        <v>2225</v>
      </c>
      <c r="I762" s="574" t="s">
        <v>2226</v>
      </c>
      <c r="J762" s="574" t="s">
        <v>2227</v>
      </c>
      <c r="K762" s="574" t="s">
        <v>2228</v>
      </c>
      <c r="L762" s="574" t="s">
        <v>2229</v>
      </c>
      <c r="M762" s="574" t="s">
        <v>2230</v>
      </c>
      <c r="N762" s="574" t="s">
        <v>2231</v>
      </c>
      <c r="O762" s="574" t="s">
        <v>2759</v>
      </c>
      <c r="P762" s="574" t="s">
        <v>2932</v>
      </c>
      <c r="Q762" s="574" t="s">
        <v>2234</v>
      </c>
      <c r="R762" s="574" t="s">
        <v>2225</v>
      </c>
      <c r="S762" s="574" t="s">
        <v>2737</v>
      </c>
      <c r="T762" s="574" t="s">
        <v>2738</v>
      </c>
      <c r="U762" s="574" t="s">
        <v>3417</v>
      </c>
      <c r="V762" s="574" t="s">
        <v>2238</v>
      </c>
      <c r="W762" s="574" t="s">
        <v>2239</v>
      </c>
      <c r="X762" s="574" t="s">
        <v>2982</v>
      </c>
      <c r="Y762" s="575" t="s">
        <v>2649</v>
      </c>
      <c r="Z762" s="575" t="s">
        <v>2649</v>
      </c>
      <c r="AA762" s="574" t="s">
        <v>2949</v>
      </c>
      <c r="AB762" s="574" t="s">
        <v>2950</v>
      </c>
      <c r="AC762" s="574" t="s">
        <v>2951</v>
      </c>
      <c r="AD762" s="574" t="s">
        <v>2952</v>
      </c>
      <c r="AE762" s="574" t="s">
        <v>2953</v>
      </c>
      <c r="AF762" s="574" t="s">
        <v>2952</v>
      </c>
      <c r="AG762" s="576">
        <v>4165.3999999999996</v>
      </c>
      <c r="AH762" s="576">
        <v>0</v>
      </c>
    </row>
    <row r="763" spans="1:34" customFormat="1" x14ac:dyDescent="0.25">
      <c r="A763" s="574" t="s">
        <v>2219</v>
      </c>
      <c r="B763" s="574" t="s">
        <v>2220</v>
      </c>
      <c r="C763" s="574" t="s">
        <v>2221</v>
      </c>
      <c r="D763" s="574" t="s">
        <v>2220</v>
      </c>
      <c r="E763" s="574" t="s">
        <v>2222</v>
      </c>
      <c r="F763" s="574" t="s">
        <v>2223</v>
      </c>
      <c r="G763" s="574" t="s">
        <v>2224</v>
      </c>
      <c r="H763" s="574" t="s">
        <v>2225</v>
      </c>
      <c r="I763" s="574" t="s">
        <v>2226</v>
      </c>
      <c r="J763" s="574" t="s">
        <v>2227</v>
      </c>
      <c r="K763" s="574" t="s">
        <v>2228</v>
      </c>
      <c r="L763" s="574" t="s">
        <v>2229</v>
      </c>
      <c r="M763" s="574" t="s">
        <v>2230</v>
      </c>
      <c r="N763" s="574" t="s">
        <v>2231</v>
      </c>
      <c r="O763" s="574" t="s">
        <v>2759</v>
      </c>
      <c r="P763" s="574" t="s">
        <v>2932</v>
      </c>
      <c r="Q763" s="574" t="s">
        <v>2234</v>
      </c>
      <c r="R763" s="574" t="s">
        <v>2225</v>
      </c>
      <c r="S763" s="574" t="s">
        <v>2737</v>
      </c>
      <c r="T763" s="574" t="s">
        <v>2738</v>
      </c>
      <c r="U763" s="574" t="s">
        <v>3417</v>
      </c>
      <c r="V763" s="574" t="s">
        <v>2238</v>
      </c>
      <c r="W763" s="574" t="s">
        <v>2239</v>
      </c>
      <c r="X763" s="574" t="s">
        <v>2982</v>
      </c>
      <c r="Y763" s="575" t="s">
        <v>2649</v>
      </c>
      <c r="Z763" s="575" t="s">
        <v>2649</v>
      </c>
      <c r="AA763" s="574" t="s">
        <v>2954</v>
      </c>
      <c r="AB763" s="574" t="s">
        <v>2955</v>
      </c>
      <c r="AC763" s="574" t="s">
        <v>2983</v>
      </c>
      <c r="AD763" s="574" t="s">
        <v>2984</v>
      </c>
      <c r="AE763" s="574" t="s">
        <v>2985</v>
      </c>
      <c r="AF763" s="574" t="s">
        <v>2986</v>
      </c>
      <c r="AG763" s="576">
        <v>41949</v>
      </c>
      <c r="AH763" s="576">
        <v>0</v>
      </c>
    </row>
    <row r="764" spans="1:34" customFormat="1" x14ac:dyDescent="0.25">
      <c r="A764" s="574" t="s">
        <v>2219</v>
      </c>
      <c r="B764" s="574" t="s">
        <v>2220</v>
      </c>
      <c r="C764" s="574" t="s">
        <v>2221</v>
      </c>
      <c r="D764" s="574" t="s">
        <v>2220</v>
      </c>
      <c r="E764" s="574" t="s">
        <v>2222</v>
      </c>
      <c r="F764" s="574" t="s">
        <v>2223</v>
      </c>
      <c r="G764" s="574" t="s">
        <v>2224</v>
      </c>
      <c r="H764" s="574" t="s">
        <v>2225</v>
      </c>
      <c r="I764" s="574" t="s">
        <v>2226</v>
      </c>
      <c r="J764" s="574" t="s">
        <v>2227</v>
      </c>
      <c r="K764" s="574" t="s">
        <v>2228</v>
      </c>
      <c r="L764" s="574" t="s">
        <v>2229</v>
      </c>
      <c r="M764" s="574" t="s">
        <v>2230</v>
      </c>
      <c r="N764" s="574" t="s">
        <v>2231</v>
      </c>
      <c r="O764" s="574" t="s">
        <v>2759</v>
      </c>
      <c r="P764" s="574" t="s">
        <v>2932</v>
      </c>
      <c r="Q764" s="574" t="s">
        <v>2234</v>
      </c>
      <c r="R764" s="574" t="s">
        <v>2225</v>
      </c>
      <c r="S764" s="574" t="s">
        <v>2737</v>
      </c>
      <c r="T764" s="574" t="s">
        <v>2738</v>
      </c>
      <c r="U764" s="574" t="s">
        <v>3417</v>
      </c>
      <c r="V764" s="574" t="s">
        <v>2238</v>
      </c>
      <c r="W764" s="574" t="s">
        <v>2239</v>
      </c>
      <c r="X764" s="574" t="s">
        <v>2982</v>
      </c>
      <c r="Y764" s="575" t="s">
        <v>2649</v>
      </c>
      <c r="Z764" s="575" t="s">
        <v>2649</v>
      </c>
      <c r="AA764" s="574" t="s">
        <v>2954</v>
      </c>
      <c r="AB764" s="574" t="s">
        <v>2955</v>
      </c>
      <c r="AC764" s="574" t="s">
        <v>2956</v>
      </c>
      <c r="AD764" s="574" t="s">
        <v>2957</v>
      </c>
      <c r="AE764" s="574" t="s">
        <v>2958</v>
      </c>
      <c r="AF764" s="574" t="s">
        <v>113</v>
      </c>
      <c r="AG764" s="576">
        <v>15245.6</v>
      </c>
      <c r="AH764" s="576">
        <v>0</v>
      </c>
    </row>
    <row r="765" spans="1:34" customFormat="1" x14ac:dyDescent="0.25">
      <c r="A765" s="574" t="s">
        <v>2219</v>
      </c>
      <c r="B765" s="574" t="s">
        <v>2220</v>
      </c>
      <c r="C765" s="574" t="s">
        <v>2221</v>
      </c>
      <c r="D765" s="574" t="s">
        <v>2220</v>
      </c>
      <c r="E765" s="574" t="s">
        <v>2222</v>
      </c>
      <c r="F765" s="574" t="s">
        <v>2223</v>
      </c>
      <c r="G765" s="574" t="s">
        <v>2224</v>
      </c>
      <c r="H765" s="574" t="s">
        <v>2225</v>
      </c>
      <c r="I765" s="574" t="s">
        <v>2226</v>
      </c>
      <c r="J765" s="574" t="s">
        <v>2227</v>
      </c>
      <c r="K765" s="574" t="s">
        <v>2228</v>
      </c>
      <c r="L765" s="574" t="s">
        <v>2229</v>
      </c>
      <c r="M765" s="574" t="s">
        <v>2230</v>
      </c>
      <c r="N765" s="574" t="s">
        <v>2231</v>
      </c>
      <c r="O765" s="574" t="s">
        <v>2759</v>
      </c>
      <c r="P765" s="574" t="s">
        <v>2932</v>
      </c>
      <c r="Q765" s="574" t="s">
        <v>2234</v>
      </c>
      <c r="R765" s="574" t="s">
        <v>2225</v>
      </c>
      <c r="S765" s="574" t="s">
        <v>2737</v>
      </c>
      <c r="T765" s="574" t="s">
        <v>2738</v>
      </c>
      <c r="U765" s="574" t="s">
        <v>3417</v>
      </c>
      <c r="V765" s="574" t="s">
        <v>2238</v>
      </c>
      <c r="W765" s="574" t="s">
        <v>2239</v>
      </c>
      <c r="X765" s="574" t="s">
        <v>2982</v>
      </c>
      <c r="Y765" s="575" t="s">
        <v>2649</v>
      </c>
      <c r="Z765" s="575" t="s">
        <v>2649</v>
      </c>
      <c r="AA765" s="574" t="s">
        <v>2954</v>
      </c>
      <c r="AB765" s="574" t="s">
        <v>2955</v>
      </c>
      <c r="AC765" s="574" t="s">
        <v>2956</v>
      </c>
      <c r="AD765" s="574" t="s">
        <v>2957</v>
      </c>
      <c r="AE765" s="574" t="s">
        <v>2959</v>
      </c>
      <c r="AF765" s="574" t="s">
        <v>2960</v>
      </c>
      <c r="AG765" s="576">
        <v>100814.48</v>
      </c>
      <c r="AH765" s="576">
        <v>0</v>
      </c>
    </row>
    <row r="766" spans="1:34" customFormat="1" x14ac:dyDescent="0.25">
      <c r="A766" s="574" t="s">
        <v>2219</v>
      </c>
      <c r="B766" s="574" t="s">
        <v>2220</v>
      </c>
      <c r="C766" s="574" t="s">
        <v>2221</v>
      </c>
      <c r="D766" s="574" t="s">
        <v>2220</v>
      </c>
      <c r="E766" s="574" t="s">
        <v>2222</v>
      </c>
      <c r="F766" s="574" t="s">
        <v>2223</v>
      </c>
      <c r="G766" s="574" t="s">
        <v>2224</v>
      </c>
      <c r="H766" s="574" t="s">
        <v>2225</v>
      </c>
      <c r="I766" s="574" t="s">
        <v>2226</v>
      </c>
      <c r="J766" s="574" t="s">
        <v>2227</v>
      </c>
      <c r="K766" s="574" t="s">
        <v>2228</v>
      </c>
      <c r="L766" s="574" t="s">
        <v>2229</v>
      </c>
      <c r="M766" s="574" t="s">
        <v>2230</v>
      </c>
      <c r="N766" s="574" t="s">
        <v>2231</v>
      </c>
      <c r="O766" s="574" t="s">
        <v>2759</v>
      </c>
      <c r="P766" s="574" t="s">
        <v>2932</v>
      </c>
      <c r="Q766" s="574" t="s">
        <v>2234</v>
      </c>
      <c r="R766" s="574" t="s">
        <v>2225</v>
      </c>
      <c r="S766" s="574" t="s">
        <v>2737</v>
      </c>
      <c r="T766" s="574" t="s">
        <v>2738</v>
      </c>
      <c r="U766" s="574" t="s">
        <v>3417</v>
      </c>
      <c r="V766" s="574" t="s">
        <v>2238</v>
      </c>
      <c r="W766" s="574" t="s">
        <v>2239</v>
      </c>
      <c r="X766" s="574" t="s">
        <v>2982</v>
      </c>
      <c r="Y766" s="575" t="s">
        <v>2649</v>
      </c>
      <c r="Z766" s="575" t="s">
        <v>2649</v>
      </c>
      <c r="AA766" s="574" t="s">
        <v>1692</v>
      </c>
      <c r="AB766" s="574" t="s">
        <v>2307</v>
      </c>
      <c r="AC766" s="574" t="s">
        <v>2308</v>
      </c>
      <c r="AD766" s="574" t="s">
        <v>2309</v>
      </c>
      <c r="AE766" s="574" t="s">
        <v>1482</v>
      </c>
      <c r="AF766" s="574" t="s">
        <v>2961</v>
      </c>
      <c r="AG766" s="576">
        <v>6513.6</v>
      </c>
      <c r="AH766" s="576">
        <v>0</v>
      </c>
    </row>
    <row r="767" spans="1:34" customFormat="1" x14ac:dyDescent="0.25">
      <c r="A767" s="574" t="s">
        <v>2219</v>
      </c>
      <c r="B767" s="574" t="s">
        <v>2220</v>
      </c>
      <c r="C767" s="574" t="s">
        <v>2221</v>
      </c>
      <c r="D767" s="574" t="s">
        <v>2220</v>
      </c>
      <c r="E767" s="574" t="s">
        <v>2222</v>
      </c>
      <c r="F767" s="574" t="s">
        <v>2223</v>
      </c>
      <c r="G767" s="574" t="s">
        <v>2224</v>
      </c>
      <c r="H767" s="574" t="s">
        <v>2225</v>
      </c>
      <c r="I767" s="574" t="s">
        <v>2226</v>
      </c>
      <c r="J767" s="574" t="s">
        <v>2227</v>
      </c>
      <c r="K767" s="574" t="s">
        <v>2228</v>
      </c>
      <c r="L767" s="574" t="s">
        <v>2229</v>
      </c>
      <c r="M767" s="574" t="s">
        <v>2230</v>
      </c>
      <c r="N767" s="574" t="s">
        <v>2231</v>
      </c>
      <c r="O767" s="574" t="s">
        <v>2759</v>
      </c>
      <c r="P767" s="574" t="s">
        <v>2932</v>
      </c>
      <c r="Q767" s="574" t="s">
        <v>2234</v>
      </c>
      <c r="R767" s="574" t="s">
        <v>2225</v>
      </c>
      <c r="S767" s="574" t="s">
        <v>2737</v>
      </c>
      <c r="T767" s="574" t="s">
        <v>2738</v>
      </c>
      <c r="U767" s="574" t="s">
        <v>3417</v>
      </c>
      <c r="V767" s="574" t="s">
        <v>2238</v>
      </c>
      <c r="W767" s="574" t="s">
        <v>2239</v>
      </c>
      <c r="X767" s="574" t="s">
        <v>2982</v>
      </c>
      <c r="Y767" s="575" t="s">
        <v>2649</v>
      </c>
      <c r="Z767" s="575" t="s">
        <v>2649</v>
      </c>
      <c r="AA767" s="574" t="s">
        <v>1693</v>
      </c>
      <c r="AB767" s="574" t="s">
        <v>2319</v>
      </c>
      <c r="AC767" s="574" t="s">
        <v>2987</v>
      </c>
      <c r="AD767" s="574" t="s">
        <v>2988</v>
      </c>
      <c r="AE767" s="574" t="s">
        <v>2989</v>
      </c>
      <c r="AF767" s="574" t="s">
        <v>2990</v>
      </c>
      <c r="AG767" s="576">
        <v>1309.8</v>
      </c>
      <c r="AH767" s="576">
        <v>0</v>
      </c>
    </row>
    <row r="768" spans="1:34" customFormat="1" x14ac:dyDescent="0.25">
      <c r="A768" s="574" t="s">
        <v>2219</v>
      </c>
      <c r="B768" s="574" t="s">
        <v>2220</v>
      </c>
      <c r="C768" s="574" t="s">
        <v>2221</v>
      </c>
      <c r="D768" s="574" t="s">
        <v>2220</v>
      </c>
      <c r="E768" s="574" t="s">
        <v>2222</v>
      </c>
      <c r="F768" s="574" t="s">
        <v>2223</v>
      </c>
      <c r="G768" s="574" t="s">
        <v>2224</v>
      </c>
      <c r="H768" s="574" t="s">
        <v>2225</v>
      </c>
      <c r="I768" s="574" t="s">
        <v>2226</v>
      </c>
      <c r="J768" s="574" t="s">
        <v>2227</v>
      </c>
      <c r="K768" s="574" t="s">
        <v>2228</v>
      </c>
      <c r="L768" s="574" t="s">
        <v>2229</v>
      </c>
      <c r="M768" s="574" t="s">
        <v>2230</v>
      </c>
      <c r="N768" s="574" t="s">
        <v>2231</v>
      </c>
      <c r="O768" s="574" t="s">
        <v>2759</v>
      </c>
      <c r="P768" s="574" t="s">
        <v>2932</v>
      </c>
      <c r="Q768" s="574" t="s">
        <v>2234</v>
      </c>
      <c r="R768" s="574" t="s">
        <v>2225</v>
      </c>
      <c r="S768" s="574" t="s">
        <v>2737</v>
      </c>
      <c r="T768" s="574" t="s">
        <v>2738</v>
      </c>
      <c r="U768" s="574" t="s">
        <v>3418</v>
      </c>
      <c r="V768" s="574" t="s">
        <v>2238</v>
      </c>
      <c r="W768" s="574" t="s">
        <v>2239</v>
      </c>
      <c r="X768" s="574" t="s">
        <v>2991</v>
      </c>
      <c r="Y768" s="575" t="s">
        <v>2649</v>
      </c>
      <c r="Z768" s="575" t="s">
        <v>2649</v>
      </c>
      <c r="AA768" s="574" t="s">
        <v>1688</v>
      </c>
      <c r="AB768" s="574" t="s">
        <v>2430</v>
      </c>
      <c r="AC768" s="574" t="s">
        <v>2431</v>
      </c>
      <c r="AD768" s="574" t="s">
        <v>99</v>
      </c>
      <c r="AE768" s="574" t="s">
        <v>1531</v>
      </c>
      <c r="AF768" s="574" t="s">
        <v>99</v>
      </c>
      <c r="AG768" s="576">
        <v>211250</v>
      </c>
      <c r="AH768" s="576">
        <v>0</v>
      </c>
    </row>
    <row r="769" spans="1:34" customFormat="1" x14ac:dyDescent="0.25">
      <c r="A769" s="574" t="s">
        <v>2219</v>
      </c>
      <c r="B769" s="574" t="s">
        <v>2220</v>
      </c>
      <c r="C769" s="574" t="s">
        <v>2221</v>
      </c>
      <c r="D769" s="574" t="s">
        <v>2220</v>
      </c>
      <c r="E769" s="574" t="s">
        <v>2222</v>
      </c>
      <c r="F769" s="574" t="s">
        <v>2223</v>
      </c>
      <c r="G769" s="574" t="s">
        <v>2224</v>
      </c>
      <c r="H769" s="574" t="s">
        <v>2225</v>
      </c>
      <c r="I769" s="574" t="s">
        <v>2226</v>
      </c>
      <c r="J769" s="574" t="s">
        <v>2227</v>
      </c>
      <c r="K769" s="574" t="s">
        <v>2228</v>
      </c>
      <c r="L769" s="574" t="s">
        <v>2229</v>
      </c>
      <c r="M769" s="574" t="s">
        <v>2230</v>
      </c>
      <c r="N769" s="574" t="s">
        <v>2231</v>
      </c>
      <c r="O769" s="574" t="s">
        <v>2759</v>
      </c>
      <c r="P769" s="574" t="s">
        <v>2932</v>
      </c>
      <c r="Q769" s="574" t="s">
        <v>2234</v>
      </c>
      <c r="R769" s="574" t="s">
        <v>2225</v>
      </c>
      <c r="S769" s="574" t="s">
        <v>2737</v>
      </c>
      <c r="T769" s="574" t="s">
        <v>2738</v>
      </c>
      <c r="U769" s="574" t="s">
        <v>3419</v>
      </c>
      <c r="V769" s="574" t="s">
        <v>2238</v>
      </c>
      <c r="W769" s="574" t="s">
        <v>2239</v>
      </c>
      <c r="X769" s="574" t="s">
        <v>2973</v>
      </c>
      <c r="Y769" s="575" t="s">
        <v>2649</v>
      </c>
      <c r="Z769" s="575" t="s">
        <v>2649</v>
      </c>
      <c r="AA769" s="574" t="s">
        <v>2949</v>
      </c>
      <c r="AB769" s="574" t="s">
        <v>2950</v>
      </c>
      <c r="AC769" s="574" t="s">
        <v>2974</v>
      </c>
      <c r="AD769" s="574" t="s">
        <v>2975</v>
      </c>
      <c r="AE769" s="574" t="s">
        <v>2976</v>
      </c>
      <c r="AF769" s="574" t="s">
        <v>2975</v>
      </c>
      <c r="AG769" s="576">
        <v>5097.6000000000004</v>
      </c>
      <c r="AH769" s="576">
        <v>0</v>
      </c>
    </row>
    <row r="770" spans="1:34" customFormat="1" x14ac:dyDescent="0.25">
      <c r="A770" s="574" t="s">
        <v>2219</v>
      </c>
      <c r="B770" s="574" t="s">
        <v>2220</v>
      </c>
      <c r="C770" s="574" t="s">
        <v>2221</v>
      </c>
      <c r="D770" s="574" t="s">
        <v>2220</v>
      </c>
      <c r="E770" s="574" t="s">
        <v>2222</v>
      </c>
      <c r="F770" s="574" t="s">
        <v>2223</v>
      </c>
      <c r="G770" s="574" t="s">
        <v>2224</v>
      </c>
      <c r="H770" s="574" t="s">
        <v>2225</v>
      </c>
      <c r="I770" s="574" t="s">
        <v>2226</v>
      </c>
      <c r="J770" s="574" t="s">
        <v>2227</v>
      </c>
      <c r="K770" s="574" t="s">
        <v>2228</v>
      </c>
      <c r="L770" s="574" t="s">
        <v>2229</v>
      </c>
      <c r="M770" s="574" t="s">
        <v>2230</v>
      </c>
      <c r="N770" s="574" t="s">
        <v>2231</v>
      </c>
      <c r="O770" s="574" t="s">
        <v>2759</v>
      </c>
      <c r="P770" s="574" t="s">
        <v>2932</v>
      </c>
      <c r="Q770" s="574" t="s">
        <v>2234</v>
      </c>
      <c r="R770" s="574" t="s">
        <v>2225</v>
      </c>
      <c r="S770" s="574" t="s">
        <v>2737</v>
      </c>
      <c r="T770" s="574" t="s">
        <v>2738</v>
      </c>
      <c r="U770" s="574" t="s">
        <v>3419</v>
      </c>
      <c r="V770" s="574" t="s">
        <v>2238</v>
      </c>
      <c r="W770" s="574" t="s">
        <v>2239</v>
      </c>
      <c r="X770" s="574" t="s">
        <v>2973</v>
      </c>
      <c r="Y770" s="575" t="s">
        <v>2649</v>
      </c>
      <c r="Z770" s="575" t="s">
        <v>2649</v>
      </c>
      <c r="AA770" s="574" t="s">
        <v>2949</v>
      </c>
      <c r="AB770" s="574" t="s">
        <v>2950</v>
      </c>
      <c r="AC770" s="574" t="s">
        <v>2951</v>
      </c>
      <c r="AD770" s="574" t="s">
        <v>2952</v>
      </c>
      <c r="AE770" s="574" t="s">
        <v>2953</v>
      </c>
      <c r="AF770" s="574" t="s">
        <v>2952</v>
      </c>
      <c r="AG770" s="576">
        <v>531</v>
      </c>
      <c r="AH770" s="576">
        <v>0</v>
      </c>
    </row>
    <row r="771" spans="1:34" customFormat="1" x14ac:dyDescent="0.25">
      <c r="A771" s="574" t="s">
        <v>2219</v>
      </c>
      <c r="B771" s="574" t="s">
        <v>2220</v>
      </c>
      <c r="C771" s="574" t="s">
        <v>2221</v>
      </c>
      <c r="D771" s="574" t="s">
        <v>2220</v>
      </c>
      <c r="E771" s="574" t="s">
        <v>2222</v>
      </c>
      <c r="F771" s="574" t="s">
        <v>2223</v>
      </c>
      <c r="G771" s="574" t="s">
        <v>2224</v>
      </c>
      <c r="H771" s="574" t="s">
        <v>2225</v>
      </c>
      <c r="I771" s="574" t="s">
        <v>2226</v>
      </c>
      <c r="J771" s="574" t="s">
        <v>2227</v>
      </c>
      <c r="K771" s="574" t="s">
        <v>2228</v>
      </c>
      <c r="L771" s="574" t="s">
        <v>2229</v>
      </c>
      <c r="M771" s="574" t="s">
        <v>2230</v>
      </c>
      <c r="N771" s="574" t="s">
        <v>2231</v>
      </c>
      <c r="O771" s="574" t="s">
        <v>2759</v>
      </c>
      <c r="P771" s="574" t="s">
        <v>2932</v>
      </c>
      <c r="Q771" s="574" t="s">
        <v>2234</v>
      </c>
      <c r="R771" s="574" t="s">
        <v>2225</v>
      </c>
      <c r="S771" s="574" t="s">
        <v>2737</v>
      </c>
      <c r="T771" s="574" t="s">
        <v>2738</v>
      </c>
      <c r="U771" s="574" t="s">
        <v>3419</v>
      </c>
      <c r="V771" s="574" t="s">
        <v>2238</v>
      </c>
      <c r="W771" s="574" t="s">
        <v>2239</v>
      </c>
      <c r="X771" s="574" t="s">
        <v>2973</v>
      </c>
      <c r="Y771" s="575" t="s">
        <v>2649</v>
      </c>
      <c r="Z771" s="575" t="s">
        <v>2649</v>
      </c>
      <c r="AA771" s="574" t="s">
        <v>2954</v>
      </c>
      <c r="AB771" s="574" t="s">
        <v>2955</v>
      </c>
      <c r="AC771" s="574" t="s">
        <v>2956</v>
      </c>
      <c r="AD771" s="574" t="s">
        <v>2957</v>
      </c>
      <c r="AE771" s="574" t="s">
        <v>2958</v>
      </c>
      <c r="AF771" s="574" t="s">
        <v>113</v>
      </c>
      <c r="AG771" s="576">
        <v>1929.3</v>
      </c>
      <c r="AH771" s="576">
        <v>0</v>
      </c>
    </row>
    <row r="772" spans="1:34" customFormat="1" x14ac:dyDescent="0.25">
      <c r="A772" s="574" t="s">
        <v>2219</v>
      </c>
      <c r="B772" s="574" t="s">
        <v>2220</v>
      </c>
      <c r="C772" s="574" t="s">
        <v>2221</v>
      </c>
      <c r="D772" s="574" t="s">
        <v>2220</v>
      </c>
      <c r="E772" s="574" t="s">
        <v>2222</v>
      </c>
      <c r="F772" s="574" t="s">
        <v>2223</v>
      </c>
      <c r="G772" s="574" t="s">
        <v>2224</v>
      </c>
      <c r="H772" s="574" t="s">
        <v>2225</v>
      </c>
      <c r="I772" s="574" t="s">
        <v>2226</v>
      </c>
      <c r="J772" s="574" t="s">
        <v>2227</v>
      </c>
      <c r="K772" s="574" t="s">
        <v>2228</v>
      </c>
      <c r="L772" s="574" t="s">
        <v>2229</v>
      </c>
      <c r="M772" s="574" t="s">
        <v>2230</v>
      </c>
      <c r="N772" s="574" t="s">
        <v>2231</v>
      </c>
      <c r="O772" s="574" t="s">
        <v>2759</v>
      </c>
      <c r="P772" s="574" t="s">
        <v>2932</v>
      </c>
      <c r="Q772" s="574" t="s">
        <v>2234</v>
      </c>
      <c r="R772" s="574" t="s">
        <v>2225</v>
      </c>
      <c r="S772" s="574" t="s">
        <v>2737</v>
      </c>
      <c r="T772" s="574" t="s">
        <v>2738</v>
      </c>
      <c r="U772" s="574" t="s">
        <v>3419</v>
      </c>
      <c r="V772" s="574" t="s">
        <v>2238</v>
      </c>
      <c r="W772" s="574" t="s">
        <v>2239</v>
      </c>
      <c r="X772" s="574" t="s">
        <v>2973</v>
      </c>
      <c r="Y772" s="575" t="s">
        <v>2649</v>
      </c>
      <c r="Z772" s="575" t="s">
        <v>2649</v>
      </c>
      <c r="AA772" s="574" t="s">
        <v>2954</v>
      </c>
      <c r="AB772" s="574" t="s">
        <v>2955</v>
      </c>
      <c r="AC772" s="574" t="s">
        <v>2956</v>
      </c>
      <c r="AD772" s="574" t="s">
        <v>2957</v>
      </c>
      <c r="AE772" s="574" t="s">
        <v>2959</v>
      </c>
      <c r="AF772" s="574" t="s">
        <v>2960</v>
      </c>
      <c r="AG772" s="576">
        <v>134343</v>
      </c>
      <c r="AH772" s="576">
        <v>0</v>
      </c>
    </row>
    <row r="773" spans="1:34" customFormat="1" x14ac:dyDescent="0.25">
      <c r="A773" s="574" t="s">
        <v>2219</v>
      </c>
      <c r="B773" s="574" t="s">
        <v>2220</v>
      </c>
      <c r="C773" s="574" t="s">
        <v>2221</v>
      </c>
      <c r="D773" s="574" t="s">
        <v>2220</v>
      </c>
      <c r="E773" s="574" t="s">
        <v>2222</v>
      </c>
      <c r="F773" s="574" t="s">
        <v>2223</v>
      </c>
      <c r="G773" s="574" t="s">
        <v>2224</v>
      </c>
      <c r="H773" s="574" t="s">
        <v>2225</v>
      </c>
      <c r="I773" s="574" t="s">
        <v>2226</v>
      </c>
      <c r="J773" s="574" t="s">
        <v>2227</v>
      </c>
      <c r="K773" s="574" t="s">
        <v>2228</v>
      </c>
      <c r="L773" s="574" t="s">
        <v>2229</v>
      </c>
      <c r="M773" s="574" t="s">
        <v>2230</v>
      </c>
      <c r="N773" s="574" t="s">
        <v>2231</v>
      </c>
      <c r="O773" s="574" t="s">
        <v>2759</v>
      </c>
      <c r="P773" s="574" t="s">
        <v>2932</v>
      </c>
      <c r="Q773" s="574" t="s">
        <v>2234</v>
      </c>
      <c r="R773" s="574" t="s">
        <v>2225</v>
      </c>
      <c r="S773" s="574" t="s">
        <v>2737</v>
      </c>
      <c r="T773" s="574" t="s">
        <v>2738</v>
      </c>
      <c r="U773" s="574" t="s">
        <v>3419</v>
      </c>
      <c r="V773" s="574" t="s">
        <v>2238</v>
      </c>
      <c r="W773" s="574" t="s">
        <v>2239</v>
      </c>
      <c r="X773" s="574" t="s">
        <v>2973</v>
      </c>
      <c r="Y773" s="575" t="s">
        <v>2649</v>
      </c>
      <c r="Z773" s="575" t="s">
        <v>2649</v>
      </c>
      <c r="AA773" s="574" t="s">
        <v>1693</v>
      </c>
      <c r="AB773" s="574" t="s">
        <v>2319</v>
      </c>
      <c r="AC773" s="574" t="s">
        <v>2652</v>
      </c>
      <c r="AD773" s="574" t="s">
        <v>2653</v>
      </c>
      <c r="AE773" s="574" t="s">
        <v>2654</v>
      </c>
      <c r="AF773" s="574" t="s">
        <v>2655</v>
      </c>
      <c r="AG773" s="576">
        <v>654.9</v>
      </c>
      <c r="AH773" s="576">
        <v>0</v>
      </c>
    </row>
    <row r="774" spans="1:34" customFormat="1" x14ac:dyDescent="0.25">
      <c r="A774" s="574" t="s">
        <v>2219</v>
      </c>
      <c r="B774" s="574" t="s">
        <v>2220</v>
      </c>
      <c r="C774" s="574" t="s">
        <v>2221</v>
      </c>
      <c r="D774" s="574" t="s">
        <v>2220</v>
      </c>
      <c r="E774" s="574" t="s">
        <v>2222</v>
      </c>
      <c r="F774" s="574" t="s">
        <v>2223</v>
      </c>
      <c r="G774" s="574" t="s">
        <v>2224</v>
      </c>
      <c r="H774" s="574" t="s">
        <v>2225</v>
      </c>
      <c r="I774" s="574" t="s">
        <v>2226</v>
      </c>
      <c r="J774" s="574" t="s">
        <v>2227</v>
      </c>
      <c r="K774" s="574" t="s">
        <v>2228</v>
      </c>
      <c r="L774" s="574" t="s">
        <v>2229</v>
      </c>
      <c r="M774" s="574" t="s">
        <v>2230</v>
      </c>
      <c r="N774" s="574" t="s">
        <v>2231</v>
      </c>
      <c r="O774" s="574" t="s">
        <v>2759</v>
      </c>
      <c r="P774" s="574" t="s">
        <v>2932</v>
      </c>
      <c r="Q774" s="574" t="s">
        <v>2234</v>
      </c>
      <c r="R774" s="574" t="s">
        <v>2225</v>
      </c>
      <c r="S774" s="574" t="s">
        <v>2737</v>
      </c>
      <c r="T774" s="574" t="s">
        <v>2738</v>
      </c>
      <c r="U774" s="574" t="s">
        <v>3419</v>
      </c>
      <c r="V774" s="574" t="s">
        <v>2238</v>
      </c>
      <c r="W774" s="574" t="s">
        <v>2239</v>
      </c>
      <c r="X774" s="574" t="s">
        <v>2973</v>
      </c>
      <c r="Y774" s="575" t="s">
        <v>2649</v>
      </c>
      <c r="Z774" s="575" t="s">
        <v>2649</v>
      </c>
      <c r="AA774" s="574" t="s">
        <v>1693</v>
      </c>
      <c r="AB774" s="574" t="s">
        <v>2319</v>
      </c>
      <c r="AC774" s="574" t="s">
        <v>2962</v>
      </c>
      <c r="AD774" s="574" t="s">
        <v>126</v>
      </c>
      <c r="AE774" s="574" t="s">
        <v>1522</v>
      </c>
      <c r="AF774" s="574" t="s">
        <v>126</v>
      </c>
      <c r="AG774" s="576">
        <v>17683.48</v>
      </c>
      <c r="AH774" s="576">
        <v>0</v>
      </c>
    </row>
    <row r="775" spans="1:34" customFormat="1" x14ac:dyDescent="0.25">
      <c r="A775" s="574" t="s">
        <v>2219</v>
      </c>
      <c r="B775" s="574" t="s">
        <v>2220</v>
      </c>
      <c r="C775" s="574" t="s">
        <v>2221</v>
      </c>
      <c r="D775" s="574" t="s">
        <v>2220</v>
      </c>
      <c r="E775" s="574" t="s">
        <v>2222</v>
      </c>
      <c r="F775" s="574" t="s">
        <v>2223</v>
      </c>
      <c r="G775" s="574" t="s">
        <v>2224</v>
      </c>
      <c r="H775" s="574" t="s">
        <v>2225</v>
      </c>
      <c r="I775" s="574" t="s">
        <v>2226</v>
      </c>
      <c r="J775" s="574" t="s">
        <v>2227</v>
      </c>
      <c r="K775" s="574" t="s">
        <v>2228</v>
      </c>
      <c r="L775" s="574" t="s">
        <v>2229</v>
      </c>
      <c r="M775" s="574" t="s">
        <v>2230</v>
      </c>
      <c r="N775" s="574" t="s">
        <v>2231</v>
      </c>
      <c r="O775" s="574" t="s">
        <v>2759</v>
      </c>
      <c r="P775" s="574" t="s">
        <v>2932</v>
      </c>
      <c r="Q775" s="574" t="s">
        <v>2234</v>
      </c>
      <c r="R775" s="574" t="s">
        <v>2225</v>
      </c>
      <c r="S775" s="574" t="s">
        <v>2737</v>
      </c>
      <c r="T775" s="574" t="s">
        <v>2738</v>
      </c>
      <c r="U775" s="574" t="s">
        <v>3420</v>
      </c>
      <c r="V775" s="574" t="s">
        <v>2238</v>
      </c>
      <c r="W775" s="574" t="s">
        <v>2239</v>
      </c>
      <c r="X775" s="574" t="s">
        <v>2995</v>
      </c>
      <c r="Y775" s="575" t="s">
        <v>2306</v>
      </c>
      <c r="Z775" s="575" t="s">
        <v>2306</v>
      </c>
      <c r="AA775" s="574" t="s">
        <v>1693</v>
      </c>
      <c r="AB775" s="574" t="s">
        <v>2319</v>
      </c>
      <c r="AC775" s="574" t="s">
        <v>2962</v>
      </c>
      <c r="AD775" s="574" t="s">
        <v>126</v>
      </c>
      <c r="AE775" s="574" t="s">
        <v>1522</v>
      </c>
      <c r="AF775" s="574" t="s">
        <v>126</v>
      </c>
      <c r="AG775" s="576">
        <v>123900</v>
      </c>
      <c r="AH775" s="576">
        <v>0</v>
      </c>
    </row>
    <row r="776" spans="1:34" customFormat="1" x14ac:dyDescent="0.25">
      <c r="A776" s="574" t="s">
        <v>2219</v>
      </c>
      <c r="B776" s="574" t="s">
        <v>2220</v>
      </c>
      <c r="C776" s="574" t="s">
        <v>2221</v>
      </c>
      <c r="D776" s="574" t="s">
        <v>2220</v>
      </c>
      <c r="E776" s="574" t="s">
        <v>2222</v>
      </c>
      <c r="F776" s="574" t="s">
        <v>2223</v>
      </c>
      <c r="G776" s="574" t="s">
        <v>2224</v>
      </c>
      <c r="H776" s="574" t="s">
        <v>2225</v>
      </c>
      <c r="I776" s="574" t="s">
        <v>2226</v>
      </c>
      <c r="J776" s="574" t="s">
        <v>2227</v>
      </c>
      <c r="K776" s="574" t="s">
        <v>2228</v>
      </c>
      <c r="L776" s="574" t="s">
        <v>2229</v>
      </c>
      <c r="M776" s="574" t="s">
        <v>2230</v>
      </c>
      <c r="N776" s="574" t="s">
        <v>2231</v>
      </c>
      <c r="O776" s="574" t="s">
        <v>2759</v>
      </c>
      <c r="P776" s="574" t="s">
        <v>2932</v>
      </c>
      <c r="Q776" s="574" t="s">
        <v>2234</v>
      </c>
      <c r="R776" s="574" t="s">
        <v>2225</v>
      </c>
      <c r="S776" s="574" t="s">
        <v>2737</v>
      </c>
      <c r="T776" s="574" t="s">
        <v>2738</v>
      </c>
      <c r="U776" s="574" t="s">
        <v>3421</v>
      </c>
      <c r="V776" s="574" t="s">
        <v>2238</v>
      </c>
      <c r="W776" s="574" t="s">
        <v>2239</v>
      </c>
      <c r="X776" s="574" t="s">
        <v>2997</v>
      </c>
      <c r="Y776" s="575" t="s">
        <v>2306</v>
      </c>
      <c r="Z776" s="575" t="s">
        <v>2306</v>
      </c>
      <c r="AA776" s="574" t="s">
        <v>1693</v>
      </c>
      <c r="AB776" s="574" t="s">
        <v>2319</v>
      </c>
      <c r="AC776" s="574" t="s">
        <v>2962</v>
      </c>
      <c r="AD776" s="574" t="s">
        <v>126</v>
      </c>
      <c r="AE776" s="574" t="s">
        <v>1522</v>
      </c>
      <c r="AF776" s="574" t="s">
        <v>126</v>
      </c>
      <c r="AG776" s="576">
        <v>204140</v>
      </c>
      <c r="AH776" s="576">
        <v>0</v>
      </c>
    </row>
    <row r="777" spans="1:34" customFormat="1" x14ac:dyDescent="0.25">
      <c r="A777" s="574" t="s">
        <v>2219</v>
      </c>
      <c r="B777" s="574" t="s">
        <v>2220</v>
      </c>
      <c r="C777" s="574" t="s">
        <v>2221</v>
      </c>
      <c r="D777" s="574" t="s">
        <v>2220</v>
      </c>
      <c r="E777" s="574" t="s">
        <v>2222</v>
      </c>
      <c r="F777" s="574" t="s">
        <v>2223</v>
      </c>
      <c r="G777" s="574" t="s">
        <v>2224</v>
      </c>
      <c r="H777" s="574" t="s">
        <v>2225</v>
      </c>
      <c r="I777" s="574" t="s">
        <v>2226</v>
      </c>
      <c r="J777" s="574" t="s">
        <v>2227</v>
      </c>
      <c r="K777" s="574" t="s">
        <v>2228</v>
      </c>
      <c r="L777" s="574" t="s">
        <v>2229</v>
      </c>
      <c r="M777" s="574" t="s">
        <v>2230</v>
      </c>
      <c r="N777" s="574" t="s">
        <v>2231</v>
      </c>
      <c r="O777" s="574" t="s">
        <v>2759</v>
      </c>
      <c r="P777" s="574" t="s">
        <v>2932</v>
      </c>
      <c r="Q777" s="574" t="s">
        <v>2234</v>
      </c>
      <c r="R777" s="574" t="s">
        <v>2225</v>
      </c>
      <c r="S777" s="574" t="s">
        <v>2737</v>
      </c>
      <c r="T777" s="574" t="s">
        <v>2738</v>
      </c>
      <c r="U777" s="574" t="s">
        <v>3422</v>
      </c>
      <c r="V777" s="574" t="s">
        <v>2238</v>
      </c>
      <c r="W777" s="574" t="s">
        <v>2239</v>
      </c>
      <c r="X777" s="574" t="s">
        <v>3022</v>
      </c>
      <c r="Y777" s="575" t="s">
        <v>2346</v>
      </c>
      <c r="Z777" s="575" t="s">
        <v>2346</v>
      </c>
      <c r="AA777" s="574" t="s">
        <v>1692</v>
      </c>
      <c r="AB777" s="574" t="s">
        <v>2307</v>
      </c>
      <c r="AC777" s="574" t="s">
        <v>2308</v>
      </c>
      <c r="AD777" s="574" t="s">
        <v>2309</v>
      </c>
      <c r="AE777" s="574" t="s">
        <v>1490</v>
      </c>
      <c r="AF777" s="574" t="s">
        <v>176</v>
      </c>
      <c r="AG777" s="576">
        <v>365350</v>
      </c>
      <c r="AH777" s="576">
        <v>0</v>
      </c>
    </row>
    <row r="778" spans="1:34" customFormat="1" x14ac:dyDescent="0.25">
      <c r="A778" s="574" t="s">
        <v>2219</v>
      </c>
      <c r="B778" s="574" t="s">
        <v>2220</v>
      </c>
      <c r="C778" s="574" t="s">
        <v>2221</v>
      </c>
      <c r="D778" s="574" t="s">
        <v>2220</v>
      </c>
      <c r="E778" s="574" t="s">
        <v>2222</v>
      </c>
      <c r="F778" s="574" t="s">
        <v>2223</v>
      </c>
      <c r="G778" s="574" t="s">
        <v>2224</v>
      </c>
      <c r="H778" s="574" t="s">
        <v>2225</v>
      </c>
      <c r="I778" s="574" t="s">
        <v>2226</v>
      </c>
      <c r="J778" s="574" t="s">
        <v>2227</v>
      </c>
      <c r="K778" s="574" t="s">
        <v>2228</v>
      </c>
      <c r="L778" s="574" t="s">
        <v>2229</v>
      </c>
      <c r="M778" s="574" t="s">
        <v>2230</v>
      </c>
      <c r="N778" s="574" t="s">
        <v>2231</v>
      </c>
      <c r="O778" s="574" t="s">
        <v>2759</v>
      </c>
      <c r="P778" s="574" t="s">
        <v>2932</v>
      </c>
      <c r="Q778" s="574" t="s">
        <v>2234</v>
      </c>
      <c r="R778" s="574" t="s">
        <v>2225</v>
      </c>
      <c r="S778" s="574" t="s">
        <v>2737</v>
      </c>
      <c r="T778" s="574" t="s">
        <v>2738</v>
      </c>
      <c r="U778" s="574" t="s">
        <v>3423</v>
      </c>
      <c r="V778" s="574" t="s">
        <v>2238</v>
      </c>
      <c r="W778" s="574" t="s">
        <v>2239</v>
      </c>
      <c r="X778" s="574" t="s">
        <v>3003</v>
      </c>
      <c r="Y778" s="575" t="s">
        <v>2346</v>
      </c>
      <c r="Z778" s="575" t="s">
        <v>2346</v>
      </c>
      <c r="AA778" s="574" t="s">
        <v>1693</v>
      </c>
      <c r="AB778" s="574" t="s">
        <v>2319</v>
      </c>
      <c r="AC778" s="574" t="s">
        <v>2320</v>
      </c>
      <c r="AD778" s="574" t="s">
        <v>2321</v>
      </c>
      <c r="AE778" s="574" t="s">
        <v>1446</v>
      </c>
      <c r="AF778" s="574" t="s">
        <v>2321</v>
      </c>
      <c r="AG778" s="576">
        <v>46964</v>
      </c>
      <c r="AH778" s="576">
        <v>0</v>
      </c>
    </row>
    <row r="779" spans="1:34" customFormat="1" x14ac:dyDescent="0.25">
      <c r="A779" s="574" t="s">
        <v>2219</v>
      </c>
      <c r="B779" s="574" t="s">
        <v>2220</v>
      </c>
      <c r="C779" s="574" t="s">
        <v>2221</v>
      </c>
      <c r="D779" s="574" t="s">
        <v>2220</v>
      </c>
      <c r="E779" s="574" t="s">
        <v>2222</v>
      </c>
      <c r="F779" s="574" t="s">
        <v>2223</v>
      </c>
      <c r="G779" s="574" t="s">
        <v>2224</v>
      </c>
      <c r="H779" s="574" t="s">
        <v>2225</v>
      </c>
      <c r="I779" s="574" t="s">
        <v>2226</v>
      </c>
      <c r="J779" s="574" t="s">
        <v>2227</v>
      </c>
      <c r="K779" s="574" t="s">
        <v>2228</v>
      </c>
      <c r="L779" s="574" t="s">
        <v>2229</v>
      </c>
      <c r="M779" s="574" t="s">
        <v>2230</v>
      </c>
      <c r="N779" s="574" t="s">
        <v>2231</v>
      </c>
      <c r="O779" s="574" t="s">
        <v>2759</v>
      </c>
      <c r="P779" s="574" t="s">
        <v>2932</v>
      </c>
      <c r="Q779" s="574" t="s">
        <v>2234</v>
      </c>
      <c r="R779" s="574" t="s">
        <v>2225</v>
      </c>
      <c r="S779" s="574" t="s">
        <v>2737</v>
      </c>
      <c r="T779" s="574" t="s">
        <v>2738</v>
      </c>
      <c r="U779" s="574" t="s">
        <v>3424</v>
      </c>
      <c r="V779" s="574" t="s">
        <v>2238</v>
      </c>
      <c r="W779" s="574" t="s">
        <v>2239</v>
      </c>
      <c r="X779" s="574" t="s">
        <v>3281</v>
      </c>
      <c r="Y779" s="575" t="s">
        <v>2346</v>
      </c>
      <c r="Z779" s="575" t="s">
        <v>2346</v>
      </c>
      <c r="AA779" s="574" t="s">
        <v>1693</v>
      </c>
      <c r="AB779" s="574" t="s">
        <v>2319</v>
      </c>
      <c r="AC779" s="574" t="s">
        <v>2320</v>
      </c>
      <c r="AD779" s="574" t="s">
        <v>2321</v>
      </c>
      <c r="AE779" s="574" t="s">
        <v>1446</v>
      </c>
      <c r="AF779" s="574" t="s">
        <v>2321</v>
      </c>
      <c r="AG779" s="576">
        <v>176779.1</v>
      </c>
      <c r="AH779" s="576">
        <v>0</v>
      </c>
    </row>
    <row r="780" spans="1:34" customFormat="1" x14ac:dyDescent="0.25">
      <c r="A780" s="574" t="s">
        <v>2219</v>
      </c>
      <c r="B780" s="574" t="s">
        <v>2220</v>
      </c>
      <c r="C780" s="574" t="s">
        <v>2221</v>
      </c>
      <c r="D780" s="574" t="s">
        <v>2220</v>
      </c>
      <c r="E780" s="574" t="s">
        <v>2222</v>
      </c>
      <c r="F780" s="574" t="s">
        <v>2223</v>
      </c>
      <c r="G780" s="574" t="s">
        <v>2224</v>
      </c>
      <c r="H780" s="574" t="s">
        <v>2225</v>
      </c>
      <c r="I780" s="574" t="s">
        <v>2226</v>
      </c>
      <c r="J780" s="574" t="s">
        <v>2227</v>
      </c>
      <c r="K780" s="574" t="s">
        <v>2228</v>
      </c>
      <c r="L780" s="574" t="s">
        <v>2229</v>
      </c>
      <c r="M780" s="574" t="s">
        <v>2230</v>
      </c>
      <c r="N780" s="574" t="s">
        <v>2231</v>
      </c>
      <c r="O780" s="574" t="s">
        <v>2759</v>
      </c>
      <c r="P780" s="574" t="s">
        <v>2932</v>
      </c>
      <c r="Q780" s="574" t="s">
        <v>2234</v>
      </c>
      <c r="R780" s="574" t="s">
        <v>2225</v>
      </c>
      <c r="S780" s="574" t="s">
        <v>2737</v>
      </c>
      <c r="T780" s="574" t="s">
        <v>2738</v>
      </c>
      <c r="U780" s="574" t="s">
        <v>3425</v>
      </c>
      <c r="V780" s="574" t="s">
        <v>2238</v>
      </c>
      <c r="W780" s="574" t="s">
        <v>2239</v>
      </c>
      <c r="X780" s="574" t="s">
        <v>3020</v>
      </c>
      <c r="Y780" s="575" t="s">
        <v>2346</v>
      </c>
      <c r="Z780" s="575" t="s">
        <v>2346</v>
      </c>
      <c r="AA780" s="574" t="s">
        <v>1693</v>
      </c>
      <c r="AB780" s="574" t="s">
        <v>2319</v>
      </c>
      <c r="AC780" s="574" t="s">
        <v>2652</v>
      </c>
      <c r="AD780" s="574" t="s">
        <v>2653</v>
      </c>
      <c r="AE780" s="574" t="s">
        <v>2654</v>
      </c>
      <c r="AF780" s="574" t="s">
        <v>2655</v>
      </c>
      <c r="AG780" s="576">
        <v>115640</v>
      </c>
      <c r="AH780" s="576">
        <v>0</v>
      </c>
    </row>
    <row r="781" spans="1:34" customFormat="1" x14ac:dyDescent="0.25">
      <c r="A781" s="574" t="s">
        <v>2219</v>
      </c>
      <c r="B781" s="574" t="s">
        <v>2220</v>
      </c>
      <c r="C781" s="574" t="s">
        <v>2221</v>
      </c>
      <c r="D781" s="574" t="s">
        <v>2220</v>
      </c>
      <c r="E781" s="574" t="s">
        <v>2222</v>
      </c>
      <c r="F781" s="574" t="s">
        <v>2223</v>
      </c>
      <c r="G781" s="574" t="s">
        <v>2224</v>
      </c>
      <c r="H781" s="574" t="s">
        <v>2225</v>
      </c>
      <c r="I781" s="574" t="s">
        <v>2226</v>
      </c>
      <c r="J781" s="574" t="s">
        <v>2227</v>
      </c>
      <c r="K781" s="574" t="s">
        <v>2228</v>
      </c>
      <c r="L781" s="574" t="s">
        <v>2229</v>
      </c>
      <c r="M781" s="574" t="s">
        <v>2230</v>
      </c>
      <c r="N781" s="574" t="s">
        <v>2231</v>
      </c>
      <c r="O781" s="574" t="s">
        <v>2759</v>
      </c>
      <c r="P781" s="574" t="s">
        <v>2932</v>
      </c>
      <c r="Q781" s="574" t="s">
        <v>2234</v>
      </c>
      <c r="R781" s="574" t="s">
        <v>2225</v>
      </c>
      <c r="S781" s="574" t="s">
        <v>2737</v>
      </c>
      <c r="T781" s="574" t="s">
        <v>2738</v>
      </c>
      <c r="U781" s="574" t="s">
        <v>3426</v>
      </c>
      <c r="V781" s="574" t="s">
        <v>2238</v>
      </c>
      <c r="W781" s="574" t="s">
        <v>2239</v>
      </c>
      <c r="X781" s="574" t="s">
        <v>3028</v>
      </c>
      <c r="Y781" s="575" t="s">
        <v>2346</v>
      </c>
      <c r="Z781" s="575" t="s">
        <v>2346</v>
      </c>
      <c r="AA781" s="574" t="s">
        <v>1692</v>
      </c>
      <c r="AB781" s="574" t="s">
        <v>2307</v>
      </c>
      <c r="AC781" s="574" t="s">
        <v>2308</v>
      </c>
      <c r="AD781" s="574" t="s">
        <v>2309</v>
      </c>
      <c r="AE781" s="574" t="s">
        <v>1490</v>
      </c>
      <c r="AF781" s="574" t="s">
        <v>176</v>
      </c>
      <c r="AG781" s="576">
        <v>18409.41</v>
      </c>
      <c r="AH781" s="576">
        <v>0</v>
      </c>
    </row>
    <row r="782" spans="1:34" customFormat="1" x14ac:dyDescent="0.25">
      <c r="A782" s="574" t="s">
        <v>2219</v>
      </c>
      <c r="B782" s="574" t="s">
        <v>2220</v>
      </c>
      <c r="C782" s="574" t="s">
        <v>2221</v>
      </c>
      <c r="D782" s="574" t="s">
        <v>2220</v>
      </c>
      <c r="E782" s="574" t="s">
        <v>2222</v>
      </c>
      <c r="F782" s="574" t="s">
        <v>2223</v>
      </c>
      <c r="G782" s="574" t="s">
        <v>2224</v>
      </c>
      <c r="H782" s="574" t="s">
        <v>2225</v>
      </c>
      <c r="I782" s="574" t="s">
        <v>2226</v>
      </c>
      <c r="J782" s="574" t="s">
        <v>2227</v>
      </c>
      <c r="K782" s="574" t="s">
        <v>2228</v>
      </c>
      <c r="L782" s="574" t="s">
        <v>2229</v>
      </c>
      <c r="M782" s="574" t="s">
        <v>2230</v>
      </c>
      <c r="N782" s="574" t="s">
        <v>2231</v>
      </c>
      <c r="O782" s="574" t="s">
        <v>2759</v>
      </c>
      <c r="P782" s="574" t="s">
        <v>2932</v>
      </c>
      <c r="Q782" s="574" t="s">
        <v>2234</v>
      </c>
      <c r="R782" s="574" t="s">
        <v>2225</v>
      </c>
      <c r="S782" s="574" t="s">
        <v>2737</v>
      </c>
      <c r="T782" s="574" t="s">
        <v>2738</v>
      </c>
      <c r="U782" s="574" t="s">
        <v>3427</v>
      </c>
      <c r="V782" s="574" t="s">
        <v>2238</v>
      </c>
      <c r="W782" s="574" t="s">
        <v>2239</v>
      </c>
      <c r="X782" s="574" t="s">
        <v>3122</v>
      </c>
      <c r="Y782" s="575" t="s">
        <v>2346</v>
      </c>
      <c r="Z782" s="575" t="s">
        <v>2346</v>
      </c>
      <c r="AA782" s="574" t="s">
        <v>1693</v>
      </c>
      <c r="AB782" s="574" t="s">
        <v>2319</v>
      </c>
      <c r="AC782" s="574" t="s">
        <v>2320</v>
      </c>
      <c r="AD782" s="574" t="s">
        <v>2321</v>
      </c>
      <c r="AE782" s="574" t="s">
        <v>1446</v>
      </c>
      <c r="AF782" s="574" t="s">
        <v>2321</v>
      </c>
      <c r="AG782" s="576">
        <v>37760</v>
      </c>
      <c r="AH782" s="576">
        <v>0</v>
      </c>
    </row>
    <row r="783" spans="1:34" customFormat="1" x14ac:dyDescent="0.25">
      <c r="A783" s="574" t="s">
        <v>2219</v>
      </c>
      <c r="B783" s="574" t="s">
        <v>2220</v>
      </c>
      <c r="C783" s="574" t="s">
        <v>2221</v>
      </c>
      <c r="D783" s="574" t="s">
        <v>2220</v>
      </c>
      <c r="E783" s="574" t="s">
        <v>2222</v>
      </c>
      <c r="F783" s="574" t="s">
        <v>2223</v>
      </c>
      <c r="G783" s="574" t="s">
        <v>2224</v>
      </c>
      <c r="H783" s="574" t="s">
        <v>2225</v>
      </c>
      <c r="I783" s="574" t="s">
        <v>2226</v>
      </c>
      <c r="J783" s="574" t="s">
        <v>2227</v>
      </c>
      <c r="K783" s="574" t="s">
        <v>2228</v>
      </c>
      <c r="L783" s="574" t="s">
        <v>2229</v>
      </c>
      <c r="M783" s="574" t="s">
        <v>2230</v>
      </c>
      <c r="N783" s="574" t="s">
        <v>2231</v>
      </c>
      <c r="O783" s="574" t="s">
        <v>2759</v>
      </c>
      <c r="P783" s="574" t="s">
        <v>2932</v>
      </c>
      <c r="Q783" s="574" t="s">
        <v>2234</v>
      </c>
      <c r="R783" s="574" t="s">
        <v>2225</v>
      </c>
      <c r="S783" s="574" t="s">
        <v>2737</v>
      </c>
      <c r="T783" s="574" t="s">
        <v>2738</v>
      </c>
      <c r="U783" s="574" t="s">
        <v>3428</v>
      </c>
      <c r="V783" s="574" t="s">
        <v>2238</v>
      </c>
      <c r="W783" s="574" t="s">
        <v>2239</v>
      </c>
      <c r="X783" s="574" t="s">
        <v>3016</v>
      </c>
      <c r="Y783" s="575" t="s">
        <v>2346</v>
      </c>
      <c r="Z783" s="575" t="s">
        <v>2346</v>
      </c>
      <c r="AA783" s="574" t="s">
        <v>1691</v>
      </c>
      <c r="AB783" s="574" t="s">
        <v>2297</v>
      </c>
      <c r="AC783" s="574" t="s">
        <v>2298</v>
      </c>
      <c r="AD783" s="574" t="s">
        <v>2299</v>
      </c>
      <c r="AE783" s="574" t="s">
        <v>1468</v>
      </c>
      <c r="AF783" s="574" t="s">
        <v>2299</v>
      </c>
      <c r="AG783" s="576">
        <v>205100</v>
      </c>
      <c r="AH783" s="576">
        <v>0</v>
      </c>
    </row>
    <row r="784" spans="1:34" customFormat="1" x14ac:dyDescent="0.25">
      <c r="A784" s="574" t="s">
        <v>2219</v>
      </c>
      <c r="B784" s="574" t="s">
        <v>2220</v>
      </c>
      <c r="C784" s="574" t="s">
        <v>2221</v>
      </c>
      <c r="D784" s="574" t="s">
        <v>2220</v>
      </c>
      <c r="E784" s="574" t="s">
        <v>2222</v>
      </c>
      <c r="F784" s="574" t="s">
        <v>2223</v>
      </c>
      <c r="G784" s="574" t="s">
        <v>2224</v>
      </c>
      <c r="H784" s="574" t="s">
        <v>2225</v>
      </c>
      <c r="I784" s="574" t="s">
        <v>2226</v>
      </c>
      <c r="J784" s="574" t="s">
        <v>2227</v>
      </c>
      <c r="K784" s="574" t="s">
        <v>2228</v>
      </c>
      <c r="L784" s="574" t="s">
        <v>2229</v>
      </c>
      <c r="M784" s="574" t="s">
        <v>2230</v>
      </c>
      <c r="N784" s="574" t="s">
        <v>2231</v>
      </c>
      <c r="O784" s="574" t="s">
        <v>2759</v>
      </c>
      <c r="P784" s="574" t="s">
        <v>2932</v>
      </c>
      <c r="Q784" s="574" t="s">
        <v>2234</v>
      </c>
      <c r="R784" s="574" t="s">
        <v>2225</v>
      </c>
      <c r="S784" s="574" t="s">
        <v>2737</v>
      </c>
      <c r="T784" s="574" t="s">
        <v>2738</v>
      </c>
      <c r="U784" s="574" t="s">
        <v>3429</v>
      </c>
      <c r="V784" s="574" t="s">
        <v>2238</v>
      </c>
      <c r="W784" s="574" t="s">
        <v>2239</v>
      </c>
      <c r="X784" s="574" t="s">
        <v>3065</v>
      </c>
      <c r="Y784" s="575" t="s">
        <v>2346</v>
      </c>
      <c r="Z784" s="575" t="s">
        <v>2346</v>
      </c>
      <c r="AA784" s="574" t="s">
        <v>1693</v>
      </c>
      <c r="AB784" s="574" t="s">
        <v>2319</v>
      </c>
      <c r="AC784" s="574" t="s">
        <v>2320</v>
      </c>
      <c r="AD784" s="574" t="s">
        <v>2321</v>
      </c>
      <c r="AE784" s="574" t="s">
        <v>1446</v>
      </c>
      <c r="AF784" s="574" t="s">
        <v>2321</v>
      </c>
      <c r="AG784" s="576">
        <v>44250</v>
      </c>
      <c r="AH784" s="576">
        <v>0</v>
      </c>
    </row>
    <row r="785" spans="1:34" customFormat="1" x14ac:dyDescent="0.25">
      <c r="A785" s="574" t="s">
        <v>2219</v>
      </c>
      <c r="B785" s="574" t="s">
        <v>2220</v>
      </c>
      <c r="C785" s="574" t="s">
        <v>2221</v>
      </c>
      <c r="D785" s="574" t="s">
        <v>2220</v>
      </c>
      <c r="E785" s="574" t="s">
        <v>2222</v>
      </c>
      <c r="F785" s="574" t="s">
        <v>2223</v>
      </c>
      <c r="G785" s="574" t="s">
        <v>2224</v>
      </c>
      <c r="H785" s="574" t="s">
        <v>2225</v>
      </c>
      <c r="I785" s="574" t="s">
        <v>2226</v>
      </c>
      <c r="J785" s="574" t="s">
        <v>2227</v>
      </c>
      <c r="K785" s="574" t="s">
        <v>2228</v>
      </c>
      <c r="L785" s="574" t="s">
        <v>2229</v>
      </c>
      <c r="M785" s="574" t="s">
        <v>2230</v>
      </c>
      <c r="N785" s="574" t="s">
        <v>2231</v>
      </c>
      <c r="O785" s="574" t="s">
        <v>2759</v>
      </c>
      <c r="P785" s="574" t="s">
        <v>2932</v>
      </c>
      <c r="Q785" s="574" t="s">
        <v>2234</v>
      </c>
      <c r="R785" s="574" t="s">
        <v>2225</v>
      </c>
      <c r="S785" s="574" t="s">
        <v>2737</v>
      </c>
      <c r="T785" s="574" t="s">
        <v>2738</v>
      </c>
      <c r="U785" s="574" t="s">
        <v>3429</v>
      </c>
      <c r="V785" s="574" t="s">
        <v>2238</v>
      </c>
      <c r="W785" s="574" t="s">
        <v>2239</v>
      </c>
      <c r="X785" s="574" t="s">
        <v>3065</v>
      </c>
      <c r="Y785" s="575" t="s">
        <v>2346</v>
      </c>
      <c r="Z785" s="575" t="s">
        <v>2669</v>
      </c>
      <c r="AA785" s="574" t="s">
        <v>1693</v>
      </c>
      <c r="AB785" s="574" t="s">
        <v>2319</v>
      </c>
      <c r="AC785" s="574" t="s">
        <v>2320</v>
      </c>
      <c r="AD785" s="574" t="s">
        <v>2321</v>
      </c>
      <c r="AE785" s="574" t="s">
        <v>1446</v>
      </c>
      <c r="AF785" s="574" t="s">
        <v>2321</v>
      </c>
      <c r="AG785" s="576">
        <v>-44250</v>
      </c>
      <c r="AH785" s="576">
        <v>0</v>
      </c>
    </row>
    <row r="786" spans="1:34" customFormat="1" x14ac:dyDescent="0.25">
      <c r="A786" s="574" t="s">
        <v>2219</v>
      </c>
      <c r="B786" s="574" t="s">
        <v>2220</v>
      </c>
      <c r="C786" s="574" t="s">
        <v>2221</v>
      </c>
      <c r="D786" s="574" t="s">
        <v>2220</v>
      </c>
      <c r="E786" s="574" t="s">
        <v>2222</v>
      </c>
      <c r="F786" s="574" t="s">
        <v>2223</v>
      </c>
      <c r="G786" s="574" t="s">
        <v>2224</v>
      </c>
      <c r="H786" s="574" t="s">
        <v>2225</v>
      </c>
      <c r="I786" s="574" t="s">
        <v>2226</v>
      </c>
      <c r="J786" s="574" t="s">
        <v>2227</v>
      </c>
      <c r="K786" s="574" t="s">
        <v>2228</v>
      </c>
      <c r="L786" s="574" t="s">
        <v>2229</v>
      </c>
      <c r="M786" s="574" t="s">
        <v>2230</v>
      </c>
      <c r="N786" s="574" t="s">
        <v>2231</v>
      </c>
      <c r="O786" s="574" t="s">
        <v>2759</v>
      </c>
      <c r="P786" s="574" t="s">
        <v>2932</v>
      </c>
      <c r="Q786" s="574" t="s">
        <v>2234</v>
      </c>
      <c r="R786" s="574" t="s">
        <v>2225</v>
      </c>
      <c r="S786" s="574" t="s">
        <v>2737</v>
      </c>
      <c r="T786" s="574" t="s">
        <v>2738</v>
      </c>
      <c r="U786" s="574" t="s">
        <v>3430</v>
      </c>
      <c r="V786" s="574" t="s">
        <v>2238</v>
      </c>
      <c r="W786" s="574" t="s">
        <v>2239</v>
      </c>
      <c r="X786" s="574" t="s">
        <v>3008</v>
      </c>
      <c r="Y786" s="575" t="s">
        <v>2346</v>
      </c>
      <c r="Z786" s="575" t="s">
        <v>2346</v>
      </c>
      <c r="AA786" s="574" t="s">
        <v>1693</v>
      </c>
      <c r="AB786" s="574" t="s">
        <v>2319</v>
      </c>
      <c r="AC786" s="574" t="s">
        <v>2320</v>
      </c>
      <c r="AD786" s="574" t="s">
        <v>2321</v>
      </c>
      <c r="AE786" s="574" t="s">
        <v>1446</v>
      </c>
      <c r="AF786" s="574" t="s">
        <v>2321</v>
      </c>
      <c r="AG786" s="576">
        <v>29526.84</v>
      </c>
      <c r="AH786" s="576">
        <v>0</v>
      </c>
    </row>
    <row r="787" spans="1:34" customFormat="1" x14ac:dyDescent="0.25">
      <c r="A787" s="574" t="s">
        <v>2219</v>
      </c>
      <c r="B787" s="574" t="s">
        <v>2220</v>
      </c>
      <c r="C787" s="574" t="s">
        <v>2221</v>
      </c>
      <c r="D787" s="574" t="s">
        <v>2220</v>
      </c>
      <c r="E787" s="574" t="s">
        <v>2222</v>
      </c>
      <c r="F787" s="574" t="s">
        <v>2223</v>
      </c>
      <c r="G787" s="574" t="s">
        <v>2224</v>
      </c>
      <c r="H787" s="574" t="s">
        <v>2225</v>
      </c>
      <c r="I787" s="574" t="s">
        <v>2226</v>
      </c>
      <c r="J787" s="574" t="s">
        <v>2227</v>
      </c>
      <c r="K787" s="574" t="s">
        <v>2228</v>
      </c>
      <c r="L787" s="574" t="s">
        <v>2229</v>
      </c>
      <c r="M787" s="574" t="s">
        <v>2230</v>
      </c>
      <c r="N787" s="574" t="s">
        <v>2231</v>
      </c>
      <c r="O787" s="574" t="s">
        <v>2759</v>
      </c>
      <c r="P787" s="574" t="s">
        <v>2932</v>
      </c>
      <c r="Q787" s="574" t="s">
        <v>2234</v>
      </c>
      <c r="R787" s="574" t="s">
        <v>2225</v>
      </c>
      <c r="S787" s="574" t="s">
        <v>2737</v>
      </c>
      <c r="T787" s="574" t="s">
        <v>2738</v>
      </c>
      <c r="U787" s="574" t="s">
        <v>3431</v>
      </c>
      <c r="V787" s="574" t="s">
        <v>2238</v>
      </c>
      <c r="W787" s="574" t="s">
        <v>2239</v>
      </c>
      <c r="X787" s="574" t="s">
        <v>3010</v>
      </c>
      <c r="Y787" s="575" t="s">
        <v>2346</v>
      </c>
      <c r="Z787" s="575" t="s">
        <v>2346</v>
      </c>
      <c r="AA787" s="574" t="s">
        <v>1693</v>
      </c>
      <c r="AB787" s="574" t="s">
        <v>2319</v>
      </c>
      <c r="AC787" s="574" t="s">
        <v>2320</v>
      </c>
      <c r="AD787" s="574" t="s">
        <v>2321</v>
      </c>
      <c r="AE787" s="574" t="s">
        <v>1446</v>
      </c>
      <c r="AF787" s="574" t="s">
        <v>2321</v>
      </c>
      <c r="AG787" s="576">
        <v>31624</v>
      </c>
      <c r="AH787" s="576">
        <v>0</v>
      </c>
    </row>
    <row r="788" spans="1:34" customFormat="1" x14ac:dyDescent="0.25">
      <c r="A788" s="574" t="s">
        <v>2219</v>
      </c>
      <c r="B788" s="574" t="s">
        <v>2220</v>
      </c>
      <c r="C788" s="574" t="s">
        <v>2221</v>
      </c>
      <c r="D788" s="574" t="s">
        <v>2220</v>
      </c>
      <c r="E788" s="574" t="s">
        <v>2222</v>
      </c>
      <c r="F788" s="574" t="s">
        <v>2223</v>
      </c>
      <c r="G788" s="574" t="s">
        <v>2224</v>
      </c>
      <c r="H788" s="574" t="s">
        <v>2225</v>
      </c>
      <c r="I788" s="574" t="s">
        <v>2226</v>
      </c>
      <c r="J788" s="574" t="s">
        <v>2227</v>
      </c>
      <c r="K788" s="574" t="s">
        <v>2228</v>
      </c>
      <c r="L788" s="574" t="s">
        <v>2229</v>
      </c>
      <c r="M788" s="574" t="s">
        <v>2230</v>
      </c>
      <c r="N788" s="574" t="s">
        <v>2231</v>
      </c>
      <c r="O788" s="574" t="s">
        <v>2759</v>
      </c>
      <c r="P788" s="574" t="s">
        <v>2932</v>
      </c>
      <c r="Q788" s="574" t="s">
        <v>2234</v>
      </c>
      <c r="R788" s="574" t="s">
        <v>2225</v>
      </c>
      <c r="S788" s="574" t="s">
        <v>2737</v>
      </c>
      <c r="T788" s="574" t="s">
        <v>2738</v>
      </c>
      <c r="U788" s="574" t="s">
        <v>3432</v>
      </c>
      <c r="V788" s="574" t="s">
        <v>2238</v>
      </c>
      <c r="W788" s="574" t="s">
        <v>2239</v>
      </c>
      <c r="X788" s="574" t="s">
        <v>3012</v>
      </c>
      <c r="Y788" s="575" t="s">
        <v>2346</v>
      </c>
      <c r="Z788" s="575" t="s">
        <v>2346</v>
      </c>
      <c r="AA788" s="574" t="s">
        <v>1686</v>
      </c>
      <c r="AB788" s="574" t="s">
        <v>2965</v>
      </c>
      <c r="AC788" s="574" t="s">
        <v>2966</v>
      </c>
      <c r="AD788" s="574" t="s">
        <v>2967</v>
      </c>
      <c r="AE788" s="574" t="s">
        <v>3000</v>
      </c>
      <c r="AF788" s="574" t="s">
        <v>3001</v>
      </c>
      <c r="AG788" s="576">
        <v>41300</v>
      </c>
      <c r="AH788" s="576">
        <v>0</v>
      </c>
    </row>
    <row r="789" spans="1:34" customFormat="1" x14ac:dyDescent="0.25">
      <c r="A789" s="574" t="s">
        <v>2219</v>
      </c>
      <c r="B789" s="574" t="s">
        <v>2220</v>
      </c>
      <c r="C789" s="574" t="s">
        <v>2221</v>
      </c>
      <c r="D789" s="574" t="s">
        <v>2220</v>
      </c>
      <c r="E789" s="574" t="s">
        <v>2222</v>
      </c>
      <c r="F789" s="574" t="s">
        <v>2223</v>
      </c>
      <c r="G789" s="574" t="s">
        <v>2224</v>
      </c>
      <c r="H789" s="574" t="s">
        <v>2225</v>
      </c>
      <c r="I789" s="574" t="s">
        <v>2226</v>
      </c>
      <c r="J789" s="574" t="s">
        <v>2227</v>
      </c>
      <c r="K789" s="574" t="s">
        <v>2228</v>
      </c>
      <c r="L789" s="574" t="s">
        <v>2229</v>
      </c>
      <c r="M789" s="574" t="s">
        <v>2230</v>
      </c>
      <c r="N789" s="574" t="s">
        <v>2231</v>
      </c>
      <c r="O789" s="574" t="s">
        <v>2759</v>
      </c>
      <c r="P789" s="574" t="s">
        <v>2932</v>
      </c>
      <c r="Q789" s="574" t="s">
        <v>2234</v>
      </c>
      <c r="R789" s="574" t="s">
        <v>2225</v>
      </c>
      <c r="S789" s="574" t="s">
        <v>2737</v>
      </c>
      <c r="T789" s="574" t="s">
        <v>2738</v>
      </c>
      <c r="U789" s="574" t="s">
        <v>3433</v>
      </c>
      <c r="V789" s="574" t="s">
        <v>2238</v>
      </c>
      <c r="W789" s="574" t="s">
        <v>2239</v>
      </c>
      <c r="X789" s="574" t="s">
        <v>3018</v>
      </c>
      <c r="Y789" s="575" t="s">
        <v>2346</v>
      </c>
      <c r="Z789" s="575" t="s">
        <v>2346</v>
      </c>
      <c r="AA789" s="574" t="s">
        <v>1691</v>
      </c>
      <c r="AB789" s="574" t="s">
        <v>2297</v>
      </c>
      <c r="AC789" s="574" t="s">
        <v>2298</v>
      </c>
      <c r="AD789" s="574" t="s">
        <v>2299</v>
      </c>
      <c r="AE789" s="574" t="s">
        <v>1468</v>
      </c>
      <c r="AF789" s="574" t="s">
        <v>2299</v>
      </c>
      <c r="AG789" s="576">
        <v>37500</v>
      </c>
      <c r="AH789" s="576">
        <v>0</v>
      </c>
    </row>
    <row r="790" spans="1:34" customFormat="1" x14ac:dyDescent="0.25">
      <c r="A790" s="574" t="s">
        <v>2219</v>
      </c>
      <c r="B790" s="574" t="s">
        <v>2220</v>
      </c>
      <c r="C790" s="574" t="s">
        <v>2221</v>
      </c>
      <c r="D790" s="574" t="s">
        <v>2220</v>
      </c>
      <c r="E790" s="574" t="s">
        <v>2222</v>
      </c>
      <c r="F790" s="574" t="s">
        <v>2223</v>
      </c>
      <c r="G790" s="574" t="s">
        <v>2224</v>
      </c>
      <c r="H790" s="574" t="s">
        <v>2225</v>
      </c>
      <c r="I790" s="574" t="s">
        <v>2226</v>
      </c>
      <c r="J790" s="574" t="s">
        <v>2227</v>
      </c>
      <c r="K790" s="574" t="s">
        <v>2228</v>
      </c>
      <c r="L790" s="574" t="s">
        <v>2229</v>
      </c>
      <c r="M790" s="574" t="s">
        <v>2230</v>
      </c>
      <c r="N790" s="574" t="s">
        <v>2231</v>
      </c>
      <c r="O790" s="574" t="s">
        <v>2759</v>
      </c>
      <c r="P790" s="574" t="s">
        <v>2932</v>
      </c>
      <c r="Q790" s="574" t="s">
        <v>2234</v>
      </c>
      <c r="R790" s="574" t="s">
        <v>2225</v>
      </c>
      <c r="S790" s="574" t="s">
        <v>2737</v>
      </c>
      <c r="T790" s="574" t="s">
        <v>2738</v>
      </c>
      <c r="U790" s="574" t="s">
        <v>3434</v>
      </c>
      <c r="V790" s="574" t="s">
        <v>2238</v>
      </c>
      <c r="W790" s="574" t="s">
        <v>2239</v>
      </c>
      <c r="X790" s="574" t="s">
        <v>3014</v>
      </c>
      <c r="Y790" s="575" t="s">
        <v>2346</v>
      </c>
      <c r="Z790" s="575" t="s">
        <v>2346</v>
      </c>
      <c r="AA790" s="574" t="s">
        <v>1691</v>
      </c>
      <c r="AB790" s="574" t="s">
        <v>2297</v>
      </c>
      <c r="AC790" s="574" t="s">
        <v>2298</v>
      </c>
      <c r="AD790" s="574" t="s">
        <v>2299</v>
      </c>
      <c r="AE790" s="574" t="s">
        <v>1468</v>
      </c>
      <c r="AF790" s="574" t="s">
        <v>2299</v>
      </c>
      <c r="AG790" s="576">
        <v>41820</v>
      </c>
      <c r="AH790" s="576">
        <v>0</v>
      </c>
    </row>
    <row r="791" spans="1:34" customFormat="1" x14ac:dyDescent="0.25">
      <c r="A791" s="574" t="s">
        <v>2219</v>
      </c>
      <c r="B791" s="574" t="s">
        <v>2220</v>
      </c>
      <c r="C791" s="574" t="s">
        <v>2221</v>
      </c>
      <c r="D791" s="574" t="s">
        <v>2220</v>
      </c>
      <c r="E791" s="574" t="s">
        <v>2222</v>
      </c>
      <c r="F791" s="574" t="s">
        <v>2223</v>
      </c>
      <c r="G791" s="574" t="s">
        <v>2224</v>
      </c>
      <c r="H791" s="574" t="s">
        <v>2225</v>
      </c>
      <c r="I791" s="574" t="s">
        <v>2226</v>
      </c>
      <c r="J791" s="574" t="s">
        <v>2227</v>
      </c>
      <c r="K791" s="574" t="s">
        <v>2228</v>
      </c>
      <c r="L791" s="574" t="s">
        <v>2229</v>
      </c>
      <c r="M791" s="574" t="s">
        <v>2230</v>
      </c>
      <c r="N791" s="574" t="s">
        <v>2231</v>
      </c>
      <c r="O791" s="574" t="s">
        <v>2759</v>
      </c>
      <c r="P791" s="574" t="s">
        <v>2932</v>
      </c>
      <c r="Q791" s="574" t="s">
        <v>2234</v>
      </c>
      <c r="R791" s="574" t="s">
        <v>2225</v>
      </c>
      <c r="S791" s="574" t="s">
        <v>2737</v>
      </c>
      <c r="T791" s="574" t="s">
        <v>2738</v>
      </c>
      <c r="U791" s="574" t="s">
        <v>3435</v>
      </c>
      <c r="V791" s="574" t="s">
        <v>2238</v>
      </c>
      <c r="W791" s="574" t="s">
        <v>2239</v>
      </c>
      <c r="X791" s="574" t="s">
        <v>3006</v>
      </c>
      <c r="Y791" s="575" t="s">
        <v>2346</v>
      </c>
      <c r="Z791" s="575" t="s">
        <v>2346</v>
      </c>
      <c r="AA791" s="574" t="s">
        <v>1691</v>
      </c>
      <c r="AB791" s="574" t="s">
        <v>2297</v>
      </c>
      <c r="AC791" s="574" t="s">
        <v>2298</v>
      </c>
      <c r="AD791" s="574" t="s">
        <v>2299</v>
      </c>
      <c r="AE791" s="574" t="s">
        <v>1468</v>
      </c>
      <c r="AF791" s="574" t="s">
        <v>2299</v>
      </c>
      <c r="AG791" s="576">
        <v>245000</v>
      </c>
      <c r="AH791" s="576">
        <v>0</v>
      </c>
    </row>
    <row r="792" spans="1:34" customFormat="1" x14ac:dyDescent="0.25">
      <c r="A792" s="574" t="s">
        <v>2219</v>
      </c>
      <c r="B792" s="574" t="s">
        <v>2220</v>
      </c>
      <c r="C792" s="574" t="s">
        <v>2221</v>
      </c>
      <c r="D792" s="574" t="s">
        <v>2220</v>
      </c>
      <c r="E792" s="574" t="s">
        <v>2222</v>
      </c>
      <c r="F792" s="574" t="s">
        <v>2223</v>
      </c>
      <c r="G792" s="574" t="s">
        <v>2224</v>
      </c>
      <c r="H792" s="574" t="s">
        <v>2225</v>
      </c>
      <c r="I792" s="574" t="s">
        <v>2226</v>
      </c>
      <c r="J792" s="574" t="s">
        <v>2227</v>
      </c>
      <c r="K792" s="574" t="s">
        <v>2228</v>
      </c>
      <c r="L792" s="574" t="s">
        <v>2229</v>
      </c>
      <c r="M792" s="574" t="s">
        <v>2230</v>
      </c>
      <c r="N792" s="574" t="s">
        <v>2231</v>
      </c>
      <c r="O792" s="574" t="s">
        <v>2759</v>
      </c>
      <c r="P792" s="574" t="s">
        <v>2932</v>
      </c>
      <c r="Q792" s="574" t="s">
        <v>2234</v>
      </c>
      <c r="R792" s="574" t="s">
        <v>2225</v>
      </c>
      <c r="S792" s="574" t="s">
        <v>2737</v>
      </c>
      <c r="T792" s="574" t="s">
        <v>2738</v>
      </c>
      <c r="U792" s="574" t="s">
        <v>3436</v>
      </c>
      <c r="V792" s="574" t="s">
        <v>2238</v>
      </c>
      <c r="W792" s="574" t="s">
        <v>2239</v>
      </c>
      <c r="X792" s="574" t="s">
        <v>3026</v>
      </c>
      <c r="Y792" s="575" t="s">
        <v>2366</v>
      </c>
      <c r="Z792" s="575" t="s">
        <v>2366</v>
      </c>
      <c r="AA792" s="574" t="s">
        <v>1693</v>
      </c>
      <c r="AB792" s="574" t="s">
        <v>2319</v>
      </c>
      <c r="AC792" s="574" t="s">
        <v>2320</v>
      </c>
      <c r="AD792" s="574" t="s">
        <v>2321</v>
      </c>
      <c r="AE792" s="574" t="s">
        <v>1446</v>
      </c>
      <c r="AF792" s="574" t="s">
        <v>2321</v>
      </c>
      <c r="AG792" s="576">
        <v>570648</v>
      </c>
      <c r="AH792" s="576">
        <v>0</v>
      </c>
    </row>
    <row r="793" spans="1:34" customFormat="1" x14ac:dyDescent="0.25">
      <c r="A793" s="574" t="s">
        <v>2219</v>
      </c>
      <c r="B793" s="574" t="s">
        <v>2220</v>
      </c>
      <c r="C793" s="574" t="s">
        <v>2221</v>
      </c>
      <c r="D793" s="574" t="s">
        <v>2220</v>
      </c>
      <c r="E793" s="574" t="s">
        <v>2222</v>
      </c>
      <c r="F793" s="574" t="s">
        <v>2223</v>
      </c>
      <c r="G793" s="574" t="s">
        <v>2224</v>
      </c>
      <c r="H793" s="574" t="s">
        <v>2225</v>
      </c>
      <c r="I793" s="574" t="s">
        <v>2226</v>
      </c>
      <c r="J793" s="574" t="s">
        <v>2227</v>
      </c>
      <c r="K793" s="574" t="s">
        <v>2228</v>
      </c>
      <c r="L793" s="574" t="s">
        <v>2229</v>
      </c>
      <c r="M793" s="574" t="s">
        <v>2230</v>
      </c>
      <c r="N793" s="574" t="s">
        <v>2231</v>
      </c>
      <c r="O793" s="574" t="s">
        <v>2759</v>
      </c>
      <c r="P793" s="574" t="s">
        <v>2932</v>
      </c>
      <c r="Q793" s="574" t="s">
        <v>2234</v>
      </c>
      <c r="R793" s="574" t="s">
        <v>2225</v>
      </c>
      <c r="S793" s="574" t="s">
        <v>2737</v>
      </c>
      <c r="T793" s="574" t="s">
        <v>2738</v>
      </c>
      <c r="U793" s="574" t="s">
        <v>3437</v>
      </c>
      <c r="V793" s="574" t="s">
        <v>2238</v>
      </c>
      <c r="W793" s="574" t="s">
        <v>2239</v>
      </c>
      <c r="X793" s="574" t="s">
        <v>3024</v>
      </c>
      <c r="Y793" s="575" t="s">
        <v>2366</v>
      </c>
      <c r="Z793" s="575" t="s">
        <v>2366</v>
      </c>
      <c r="AA793" s="574" t="s">
        <v>1693</v>
      </c>
      <c r="AB793" s="574" t="s">
        <v>2319</v>
      </c>
      <c r="AC793" s="574" t="s">
        <v>2320</v>
      </c>
      <c r="AD793" s="574" t="s">
        <v>2321</v>
      </c>
      <c r="AE793" s="574" t="s">
        <v>1446</v>
      </c>
      <c r="AF793" s="574" t="s">
        <v>2321</v>
      </c>
      <c r="AG793" s="576">
        <v>925120</v>
      </c>
      <c r="AH793" s="576">
        <v>0</v>
      </c>
    </row>
    <row r="794" spans="1:34" customFormat="1" x14ac:dyDescent="0.25">
      <c r="A794" s="574" t="s">
        <v>2219</v>
      </c>
      <c r="B794" s="574" t="s">
        <v>2220</v>
      </c>
      <c r="C794" s="574" t="s">
        <v>2221</v>
      </c>
      <c r="D794" s="574" t="s">
        <v>2220</v>
      </c>
      <c r="E794" s="574" t="s">
        <v>2222</v>
      </c>
      <c r="F794" s="574" t="s">
        <v>2223</v>
      </c>
      <c r="G794" s="574" t="s">
        <v>2224</v>
      </c>
      <c r="H794" s="574" t="s">
        <v>2225</v>
      </c>
      <c r="I794" s="574" t="s">
        <v>2226</v>
      </c>
      <c r="J794" s="574" t="s">
        <v>2227</v>
      </c>
      <c r="K794" s="574" t="s">
        <v>2228</v>
      </c>
      <c r="L794" s="574" t="s">
        <v>2229</v>
      </c>
      <c r="M794" s="574" t="s">
        <v>2230</v>
      </c>
      <c r="N794" s="574" t="s">
        <v>2231</v>
      </c>
      <c r="O794" s="574" t="s">
        <v>2759</v>
      </c>
      <c r="P794" s="574" t="s">
        <v>2932</v>
      </c>
      <c r="Q794" s="574" t="s">
        <v>2234</v>
      </c>
      <c r="R794" s="574" t="s">
        <v>2225</v>
      </c>
      <c r="S794" s="574" t="s">
        <v>2737</v>
      </c>
      <c r="T794" s="574" t="s">
        <v>2738</v>
      </c>
      <c r="U794" s="574" t="s">
        <v>3438</v>
      </c>
      <c r="V794" s="574" t="s">
        <v>2238</v>
      </c>
      <c r="W794" s="574" t="s">
        <v>2239</v>
      </c>
      <c r="X794" s="574" t="s">
        <v>3383</v>
      </c>
      <c r="Y794" s="575" t="s">
        <v>2366</v>
      </c>
      <c r="Z794" s="575" t="s">
        <v>2366</v>
      </c>
      <c r="AA794" s="574" t="s">
        <v>1693</v>
      </c>
      <c r="AB794" s="574" t="s">
        <v>2319</v>
      </c>
      <c r="AC794" s="574" t="s">
        <v>2320</v>
      </c>
      <c r="AD794" s="574" t="s">
        <v>2321</v>
      </c>
      <c r="AE794" s="574" t="s">
        <v>1446</v>
      </c>
      <c r="AF794" s="574" t="s">
        <v>2321</v>
      </c>
      <c r="AG794" s="576">
        <v>843200</v>
      </c>
      <c r="AH794" s="576">
        <v>0</v>
      </c>
    </row>
    <row r="795" spans="1:34" customFormat="1" x14ac:dyDescent="0.25">
      <c r="A795" s="574" t="s">
        <v>2219</v>
      </c>
      <c r="B795" s="574" t="s">
        <v>2220</v>
      </c>
      <c r="C795" s="574" t="s">
        <v>2221</v>
      </c>
      <c r="D795" s="574" t="s">
        <v>2220</v>
      </c>
      <c r="E795" s="574" t="s">
        <v>2222</v>
      </c>
      <c r="F795" s="574" t="s">
        <v>2223</v>
      </c>
      <c r="G795" s="574" t="s">
        <v>2224</v>
      </c>
      <c r="H795" s="574" t="s">
        <v>2225</v>
      </c>
      <c r="I795" s="574" t="s">
        <v>2226</v>
      </c>
      <c r="J795" s="574" t="s">
        <v>2227</v>
      </c>
      <c r="K795" s="574" t="s">
        <v>2228</v>
      </c>
      <c r="L795" s="574" t="s">
        <v>2229</v>
      </c>
      <c r="M795" s="574" t="s">
        <v>2230</v>
      </c>
      <c r="N795" s="574" t="s">
        <v>2231</v>
      </c>
      <c r="O795" s="574" t="s">
        <v>2759</v>
      </c>
      <c r="P795" s="574" t="s">
        <v>2932</v>
      </c>
      <c r="Q795" s="574" t="s">
        <v>2234</v>
      </c>
      <c r="R795" s="574" t="s">
        <v>2225</v>
      </c>
      <c r="S795" s="574" t="s">
        <v>2737</v>
      </c>
      <c r="T795" s="574" t="s">
        <v>2738</v>
      </c>
      <c r="U795" s="574" t="s">
        <v>3438</v>
      </c>
      <c r="V795" s="574" t="s">
        <v>2238</v>
      </c>
      <c r="W795" s="574" t="s">
        <v>2239</v>
      </c>
      <c r="X795" s="574" t="s">
        <v>3383</v>
      </c>
      <c r="Y795" s="575" t="s">
        <v>2366</v>
      </c>
      <c r="Z795" s="575" t="s">
        <v>2669</v>
      </c>
      <c r="AA795" s="574" t="s">
        <v>1693</v>
      </c>
      <c r="AB795" s="574" t="s">
        <v>2319</v>
      </c>
      <c r="AC795" s="574" t="s">
        <v>2320</v>
      </c>
      <c r="AD795" s="574" t="s">
        <v>2321</v>
      </c>
      <c r="AE795" s="574" t="s">
        <v>1446</v>
      </c>
      <c r="AF795" s="574" t="s">
        <v>2321</v>
      </c>
      <c r="AG795" s="576">
        <v>-843200</v>
      </c>
      <c r="AH795" s="576">
        <v>0</v>
      </c>
    </row>
    <row r="796" spans="1:34" customFormat="1" x14ac:dyDescent="0.25">
      <c r="A796" s="574" t="s">
        <v>2219</v>
      </c>
      <c r="B796" s="574" t="s">
        <v>2220</v>
      </c>
      <c r="C796" s="574" t="s">
        <v>2221</v>
      </c>
      <c r="D796" s="574" t="s">
        <v>2220</v>
      </c>
      <c r="E796" s="574" t="s">
        <v>2222</v>
      </c>
      <c r="F796" s="574" t="s">
        <v>2223</v>
      </c>
      <c r="G796" s="574" t="s">
        <v>2224</v>
      </c>
      <c r="H796" s="574" t="s">
        <v>2225</v>
      </c>
      <c r="I796" s="574" t="s">
        <v>2226</v>
      </c>
      <c r="J796" s="574" t="s">
        <v>2227</v>
      </c>
      <c r="K796" s="574" t="s">
        <v>2228</v>
      </c>
      <c r="L796" s="574" t="s">
        <v>2229</v>
      </c>
      <c r="M796" s="574" t="s">
        <v>2230</v>
      </c>
      <c r="N796" s="574" t="s">
        <v>2231</v>
      </c>
      <c r="O796" s="574" t="s">
        <v>2759</v>
      </c>
      <c r="P796" s="574" t="s">
        <v>2932</v>
      </c>
      <c r="Q796" s="574" t="s">
        <v>2234</v>
      </c>
      <c r="R796" s="574" t="s">
        <v>2225</v>
      </c>
      <c r="S796" s="574" t="s">
        <v>2737</v>
      </c>
      <c r="T796" s="574" t="s">
        <v>2738</v>
      </c>
      <c r="U796" s="574" t="s">
        <v>3439</v>
      </c>
      <c r="V796" s="574" t="s">
        <v>2238</v>
      </c>
      <c r="W796" s="574" t="s">
        <v>2239</v>
      </c>
      <c r="X796" s="574" t="s">
        <v>3397</v>
      </c>
      <c r="Y796" s="575" t="s">
        <v>2372</v>
      </c>
      <c r="Z796" s="575" t="s">
        <v>2372</v>
      </c>
      <c r="AA796" s="574" t="s">
        <v>1692</v>
      </c>
      <c r="AB796" s="574" t="s">
        <v>2307</v>
      </c>
      <c r="AC796" s="574" t="s">
        <v>2308</v>
      </c>
      <c r="AD796" s="574" t="s">
        <v>2309</v>
      </c>
      <c r="AE796" s="574" t="s">
        <v>1490</v>
      </c>
      <c r="AF796" s="574" t="s">
        <v>176</v>
      </c>
      <c r="AG796" s="576">
        <v>21280</v>
      </c>
      <c r="AH796" s="576">
        <v>0</v>
      </c>
    </row>
    <row r="797" spans="1:34" customFormat="1" x14ac:dyDescent="0.25">
      <c r="A797" s="574" t="s">
        <v>2219</v>
      </c>
      <c r="B797" s="574" t="s">
        <v>2220</v>
      </c>
      <c r="C797" s="574" t="s">
        <v>2221</v>
      </c>
      <c r="D797" s="574" t="s">
        <v>2220</v>
      </c>
      <c r="E797" s="574" t="s">
        <v>2222</v>
      </c>
      <c r="F797" s="574" t="s">
        <v>2223</v>
      </c>
      <c r="G797" s="574" t="s">
        <v>2224</v>
      </c>
      <c r="H797" s="574" t="s">
        <v>2225</v>
      </c>
      <c r="I797" s="574" t="s">
        <v>2226</v>
      </c>
      <c r="J797" s="574" t="s">
        <v>2227</v>
      </c>
      <c r="K797" s="574" t="s">
        <v>2228</v>
      </c>
      <c r="L797" s="574" t="s">
        <v>2229</v>
      </c>
      <c r="M797" s="574" t="s">
        <v>2230</v>
      </c>
      <c r="N797" s="574" t="s">
        <v>2231</v>
      </c>
      <c r="O797" s="574" t="s">
        <v>2759</v>
      </c>
      <c r="P797" s="574" t="s">
        <v>2932</v>
      </c>
      <c r="Q797" s="574" t="s">
        <v>2234</v>
      </c>
      <c r="R797" s="574" t="s">
        <v>2225</v>
      </c>
      <c r="S797" s="574" t="s">
        <v>2737</v>
      </c>
      <c r="T797" s="574" t="s">
        <v>2738</v>
      </c>
      <c r="U797" s="574" t="s">
        <v>3439</v>
      </c>
      <c r="V797" s="574" t="s">
        <v>2238</v>
      </c>
      <c r="W797" s="574" t="s">
        <v>2239</v>
      </c>
      <c r="X797" s="574" t="s">
        <v>3397</v>
      </c>
      <c r="Y797" s="575" t="s">
        <v>2372</v>
      </c>
      <c r="Z797" s="575" t="s">
        <v>2372</v>
      </c>
      <c r="AA797" s="574" t="s">
        <v>1693</v>
      </c>
      <c r="AB797" s="574" t="s">
        <v>2319</v>
      </c>
      <c r="AC797" s="574" t="s">
        <v>2320</v>
      </c>
      <c r="AD797" s="574" t="s">
        <v>2321</v>
      </c>
      <c r="AE797" s="574" t="s">
        <v>1446</v>
      </c>
      <c r="AF797" s="574" t="s">
        <v>2321</v>
      </c>
      <c r="AG797" s="576">
        <v>110520</v>
      </c>
      <c r="AH797" s="576">
        <v>0</v>
      </c>
    </row>
    <row r="798" spans="1:34" customFormat="1" x14ac:dyDescent="0.25">
      <c r="A798" s="574" t="s">
        <v>2219</v>
      </c>
      <c r="B798" s="574" t="s">
        <v>2220</v>
      </c>
      <c r="C798" s="574" t="s">
        <v>2221</v>
      </c>
      <c r="D798" s="574" t="s">
        <v>2220</v>
      </c>
      <c r="E798" s="574" t="s">
        <v>2222</v>
      </c>
      <c r="F798" s="574" t="s">
        <v>2223</v>
      </c>
      <c r="G798" s="574" t="s">
        <v>2224</v>
      </c>
      <c r="H798" s="574" t="s">
        <v>2225</v>
      </c>
      <c r="I798" s="574" t="s">
        <v>2226</v>
      </c>
      <c r="J798" s="574" t="s">
        <v>2227</v>
      </c>
      <c r="K798" s="574" t="s">
        <v>2228</v>
      </c>
      <c r="L798" s="574" t="s">
        <v>2229</v>
      </c>
      <c r="M798" s="574" t="s">
        <v>2230</v>
      </c>
      <c r="N798" s="574" t="s">
        <v>2231</v>
      </c>
      <c r="O798" s="574" t="s">
        <v>2759</v>
      </c>
      <c r="P798" s="574" t="s">
        <v>2932</v>
      </c>
      <c r="Q798" s="574" t="s">
        <v>2234</v>
      </c>
      <c r="R798" s="574" t="s">
        <v>2225</v>
      </c>
      <c r="S798" s="574" t="s">
        <v>2737</v>
      </c>
      <c r="T798" s="574" t="s">
        <v>2738</v>
      </c>
      <c r="U798" s="574" t="s">
        <v>3439</v>
      </c>
      <c r="V798" s="574" t="s">
        <v>2238</v>
      </c>
      <c r="W798" s="574" t="s">
        <v>2239</v>
      </c>
      <c r="X798" s="574" t="s">
        <v>3397</v>
      </c>
      <c r="Y798" s="575" t="s">
        <v>2372</v>
      </c>
      <c r="Z798" s="575" t="s">
        <v>2372</v>
      </c>
      <c r="AA798" s="574" t="s">
        <v>1692</v>
      </c>
      <c r="AB798" s="574" t="s">
        <v>2307</v>
      </c>
      <c r="AC798" s="574" t="s">
        <v>2308</v>
      </c>
      <c r="AD798" s="574" t="s">
        <v>2309</v>
      </c>
      <c r="AE798" s="574" t="s">
        <v>1490</v>
      </c>
      <c r="AF798" s="574" t="s">
        <v>176</v>
      </c>
      <c r="AG798" s="576">
        <v>-21280</v>
      </c>
      <c r="AH798" s="576">
        <v>0</v>
      </c>
    </row>
    <row r="799" spans="1:34" customFormat="1" x14ac:dyDescent="0.25">
      <c r="A799" s="574" t="s">
        <v>2219</v>
      </c>
      <c r="B799" s="574" t="s">
        <v>2220</v>
      </c>
      <c r="C799" s="574" t="s">
        <v>2221</v>
      </c>
      <c r="D799" s="574" t="s">
        <v>2220</v>
      </c>
      <c r="E799" s="574" t="s">
        <v>2222</v>
      </c>
      <c r="F799" s="574" t="s">
        <v>2223</v>
      </c>
      <c r="G799" s="574" t="s">
        <v>2224</v>
      </c>
      <c r="H799" s="574" t="s">
        <v>2225</v>
      </c>
      <c r="I799" s="574" t="s">
        <v>2226</v>
      </c>
      <c r="J799" s="574" t="s">
        <v>2227</v>
      </c>
      <c r="K799" s="574" t="s">
        <v>2228</v>
      </c>
      <c r="L799" s="574" t="s">
        <v>2229</v>
      </c>
      <c r="M799" s="574" t="s">
        <v>2230</v>
      </c>
      <c r="N799" s="574" t="s">
        <v>2231</v>
      </c>
      <c r="O799" s="574" t="s">
        <v>2759</v>
      </c>
      <c r="P799" s="574" t="s">
        <v>2932</v>
      </c>
      <c r="Q799" s="574" t="s">
        <v>2234</v>
      </c>
      <c r="R799" s="574" t="s">
        <v>2225</v>
      </c>
      <c r="S799" s="574" t="s">
        <v>2737</v>
      </c>
      <c r="T799" s="574" t="s">
        <v>2738</v>
      </c>
      <c r="U799" s="574" t="s">
        <v>3439</v>
      </c>
      <c r="V799" s="574" t="s">
        <v>2238</v>
      </c>
      <c r="W799" s="574" t="s">
        <v>2239</v>
      </c>
      <c r="X799" s="574" t="s">
        <v>3397</v>
      </c>
      <c r="Y799" s="575" t="s">
        <v>2372</v>
      </c>
      <c r="Z799" s="575" t="s">
        <v>2372</v>
      </c>
      <c r="AA799" s="574" t="s">
        <v>1693</v>
      </c>
      <c r="AB799" s="574" t="s">
        <v>2319</v>
      </c>
      <c r="AC799" s="574" t="s">
        <v>2320</v>
      </c>
      <c r="AD799" s="574" t="s">
        <v>2321</v>
      </c>
      <c r="AE799" s="574" t="s">
        <v>1446</v>
      </c>
      <c r="AF799" s="574" t="s">
        <v>2321</v>
      </c>
      <c r="AG799" s="576">
        <v>-110520</v>
      </c>
      <c r="AH799" s="576">
        <v>0</v>
      </c>
    </row>
    <row r="800" spans="1:34" customFormat="1" x14ac:dyDescent="0.25">
      <c r="A800" s="574" t="s">
        <v>2219</v>
      </c>
      <c r="B800" s="574" t="s">
        <v>2220</v>
      </c>
      <c r="C800" s="574" t="s">
        <v>2221</v>
      </c>
      <c r="D800" s="574" t="s">
        <v>2220</v>
      </c>
      <c r="E800" s="574" t="s">
        <v>2222</v>
      </c>
      <c r="F800" s="574" t="s">
        <v>2223</v>
      </c>
      <c r="G800" s="574" t="s">
        <v>2224</v>
      </c>
      <c r="H800" s="574" t="s">
        <v>2225</v>
      </c>
      <c r="I800" s="574" t="s">
        <v>2226</v>
      </c>
      <c r="J800" s="574" t="s">
        <v>2227</v>
      </c>
      <c r="K800" s="574" t="s">
        <v>2228</v>
      </c>
      <c r="L800" s="574" t="s">
        <v>2229</v>
      </c>
      <c r="M800" s="574" t="s">
        <v>2230</v>
      </c>
      <c r="N800" s="574" t="s">
        <v>2231</v>
      </c>
      <c r="O800" s="574" t="s">
        <v>2759</v>
      </c>
      <c r="P800" s="574" t="s">
        <v>2932</v>
      </c>
      <c r="Q800" s="574" t="s">
        <v>2234</v>
      </c>
      <c r="R800" s="574" t="s">
        <v>2225</v>
      </c>
      <c r="S800" s="574" t="s">
        <v>2737</v>
      </c>
      <c r="T800" s="574" t="s">
        <v>2738</v>
      </c>
      <c r="U800" s="574" t="s">
        <v>3440</v>
      </c>
      <c r="V800" s="574" t="s">
        <v>2238</v>
      </c>
      <c r="W800" s="574" t="s">
        <v>2239</v>
      </c>
      <c r="X800" s="574" t="s">
        <v>3032</v>
      </c>
      <c r="Y800" s="575" t="s">
        <v>2372</v>
      </c>
      <c r="Z800" s="575" t="s">
        <v>2372</v>
      </c>
      <c r="AA800" s="574" t="s">
        <v>1692</v>
      </c>
      <c r="AB800" s="574" t="s">
        <v>2307</v>
      </c>
      <c r="AC800" s="574" t="s">
        <v>2308</v>
      </c>
      <c r="AD800" s="574" t="s">
        <v>2309</v>
      </c>
      <c r="AE800" s="574" t="s">
        <v>1490</v>
      </c>
      <c r="AF800" s="574" t="s">
        <v>176</v>
      </c>
      <c r="AG800" s="576">
        <v>21280</v>
      </c>
      <c r="AH800" s="576">
        <v>0</v>
      </c>
    </row>
    <row r="801" spans="1:34" customFormat="1" x14ac:dyDescent="0.25">
      <c r="A801" s="574" t="s">
        <v>2219</v>
      </c>
      <c r="B801" s="574" t="s">
        <v>2220</v>
      </c>
      <c r="C801" s="574" t="s">
        <v>2221</v>
      </c>
      <c r="D801" s="574" t="s">
        <v>2220</v>
      </c>
      <c r="E801" s="574" t="s">
        <v>2222</v>
      </c>
      <c r="F801" s="574" t="s">
        <v>2223</v>
      </c>
      <c r="G801" s="574" t="s">
        <v>2224</v>
      </c>
      <c r="H801" s="574" t="s">
        <v>2225</v>
      </c>
      <c r="I801" s="574" t="s">
        <v>2226</v>
      </c>
      <c r="J801" s="574" t="s">
        <v>2227</v>
      </c>
      <c r="K801" s="574" t="s">
        <v>2228</v>
      </c>
      <c r="L801" s="574" t="s">
        <v>2229</v>
      </c>
      <c r="M801" s="574" t="s">
        <v>2230</v>
      </c>
      <c r="N801" s="574" t="s">
        <v>2231</v>
      </c>
      <c r="O801" s="574" t="s">
        <v>2759</v>
      </c>
      <c r="P801" s="574" t="s">
        <v>2932</v>
      </c>
      <c r="Q801" s="574" t="s">
        <v>2234</v>
      </c>
      <c r="R801" s="574" t="s">
        <v>2225</v>
      </c>
      <c r="S801" s="574" t="s">
        <v>2737</v>
      </c>
      <c r="T801" s="574" t="s">
        <v>2738</v>
      </c>
      <c r="U801" s="574" t="s">
        <v>3440</v>
      </c>
      <c r="V801" s="574" t="s">
        <v>2238</v>
      </c>
      <c r="W801" s="574" t="s">
        <v>2239</v>
      </c>
      <c r="X801" s="574" t="s">
        <v>3032</v>
      </c>
      <c r="Y801" s="575" t="s">
        <v>2372</v>
      </c>
      <c r="Z801" s="575" t="s">
        <v>2372</v>
      </c>
      <c r="AA801" s="574" t="s">
        <v>1693</v>
      </c>
      <c r="AB801" s="574" t="s">
        <v>2319</v>
      </c>
      <c r="AC801" s="574" t="s">
        <v>2320</v>
      </c>
      <c r="AD801" s="574" t="s">
        <v>2321</v>
      </c>
      <c r="AE801" s="574" t="s">
        <v>1446</v>
      </c>
      <c r="AF801" s="574" t="s">
        <v>2321</v>
      </c>
      <c r="AG801" s="576">
        <v>110520</v>
      </c>
      <c r="AH801" s="576">
        <v>0</v>
      </c>
    </row>
    <row r="802" spans="1:34" customFormat="1" x14ac:dyDescent="0.25">
      <c r="A802" s="574" t="s">
        <v>2219</v>
      </c>
      <c r="B802" s="574" t="s">
        <v>2220</v>
      </c>
      <c r="C802" s="574" t="s">
        <v>2221</v>
      </c>
      <c r="D802" s="574" t="s">
        <v>2220</v>
      </c>
      <c r="E802" s="574" t="s">
        <v>2222</v>
      </c>
      <c r="F802" s="574" t="s">
        <v>2223</v>
      </c>
      <c r="G802" s="574" t="s">
        <v>2224</v>
      </c>
      <c r="H802" s="574" t="s">
        <v>2225</v>
      </c>
      <c r="I802" s="574" t="s">
        <v>2226</v>
      </c>
      <c r="J802" s="574" t="s">
        <v>2227</v>
      </c>
      <c r="K802" s="574" t="s">
        <v>2228</v>
      </c>
      <c r="L802" s="574" t="s">
        <v>2229</v>
      </c>
      <c r="M802" s="574" t="s">
        <v>2230</v>
      </c>
      <c r="N802" s="574" t="s">
        <v>2231</v>
      </c>
      <c r="O802" s="574" t="s">
        <v>2759</v>
      </c>
      <c r="P802" s="574" t="s">
        <v>2932</v>
      </c>
      <c r="Q802" s="574" t="s">
        <v>2234</v>
      </c>
      <c r="R802" s="574" t="s">
        <v>2225</v>
      </c>
      <c r="S802" s="574" t="s">
        <v>2737</v>
      </c>
      <c r="T802" s="574" t="s">
        <v>2738</v>
      </c>
      <c r="U802" s="574" t="s">
        <v>3441</v>
      </c>
      <c r="V802" s="574" t="s">
        <v>2238</v>
      </c>
      <c r="W802" s="574" t="s">
        <v>2239</v>
      </c>
      <c r="X802" s="574" t="s">
        <v>3034</v>
      </c>
      <c r="Y802" s="575" t="s">
        <v>2372</v>
      </c>
      <c r="Z802" s="575" t="s">
        <v>2372</v>
      </c>
      <c r="AA802" s="574" t="s">
        <v>1693</v>
      </c>
      <c r="AB802" s="574" t="s">
        <v>2319</v>
      </c>
      <c r="AC802" s="574" t="s">
        <v>2320</v>
      </c>
      <c r="AD802" s="574" t="s">
        <v>2321</v>
      </c>
      <c r="AE802" s="574" t="s">
        <v>1446</v>
      </c>
      <c r="AF802" s="574" t="s">
        <v>2321</v>
      </c>
      <c r="AG802" s="576">
        <v>250348.79999999999</v>
      </c>
      <c r="AH802" s="576">
        <v>0</v>
      </c>
    </row>
    <row r="803" spans="1:34" customFormat="1" x14ac:dyDescent="0.25">
      <c r="A803" s="574" t="s">
        <v>2219</v>
      </c>
      <c r="B803" s="574" t="s">
        <v>2220</v>
      </c>
      <c r="C803" s="574" t="s">
        <v>2221</v>
      </c>
      <c r="D803" s="574" t="s">
        <v>2220</v>
      </c>
      <c r="E803" s="574" t="s">
        <v>2222</v>
      </c>
      <c r="F803" s="574" t="s">
        <v>2223</v>
      </c>
      <c r="G803" s="574" t="s">
        <v>2224</v>
      </c>
      <c r="H803" s="574" t="s">
        <v>2225</v>
      </c>
      <c r="I803" s="574" t="s">
        <v>2226</v>
      </c>
      <c r="J803" s="574" t="s">
        <v>2227</v>
      </c>
      <c r="K803" s="574" t="s">
        <v>2228</v>
      </c>
      <c r="L803" s="574" t="s">
        <v>2229</v>
      </c>
      <c r="M803" s="574" t="s">
        <v>2230</v>
      </c>
      <c r="N803" s="574" t="s">
        <v>2231</v>
      </c>
      <c r="O803" s="574" t="s">
        <v>2759</v>
      </c>
      <c r="P803" s="574" t="s">
        <v>2932</v>
      </c>
      <c r="Q803" s="574" t="s">
        <v>2234</v>
      </c>
      <c r="R803" s="574" t="s">
        <v>2225</v>
      </c>
      <c r="S803" s="574" t="s">
        <v>2737</v>
      </c>
      <c r="T803" s="574" t="s">
        <v>2738</v>
      </c>
      <c r="U803" s="574" t="s">
        <v>3442</v>
      </c>
      <c r="V803" s="574" t="s">
        <v>2238</v>
      </c>
      <c r="W803" s="574" t="s">
        <v>2239</v>
      </c>
      <c r="X803" s="574" t="s">
        <v>3038</v>
      </c>
      <c r="Y803" s="575" t="s">
        <v>2372</v>
      </c>
      <c r="Z803" s="575" t="s">
        <v>2372</v>
      </c>
      <c r="AA803" s="574" t="s">
        <v>1693</v>
      </c>
      <c r="AB803" s="574" t="s">
        <v>2319</v>
      </c>
      <c r="AC803" s="574" t="s">
        <v>2320</v>
      </c>
      <c r="AD803" s="574" t="s">
        <v>2321</v>
      </c>
      <c r="AE803" s="574" t="s">
        <v>1446</v>
      </c>
      <c r="AF803" s="574" t="s">
        <v>2321</v>
      </c>
      <c r="AG803" s="576">
        <v>253818</v>
      </c>
      <c r="AH803" s="576">
        <v>0</v>
      </c>
    </row>
    <row r="804" spans="1:34" customFormat="1" x14ac:dyDescent="0.25">
      <c r="A804" s="574" t="s">
        <v>2219</v>
      </c>
      <c r="B804" s="574" t="s">
        <v>2220</v>
      </c>
      <c r="C804" s="574" t="s">
        <v>2221</v>
      </c>
      <c r="D804" s="574" t="s">
        <v>2220</v>
      </c>
      <c r="E804" s="574" t="s">
        <v>2222</v>
      </c>
      <c r="F804" s="574" t="s">
        <v>2223</v>
      </c>
      <c r="G804" s="574" t="s">
        <v>2224</v>
      </c>
      <c r="H804" s="574" t="s">
        <v>2225</v>
      </c>
      <c r="I804" s="574" t="s">
        <v>2226</v>
      </c>
      <c r="J804" s="574" t="s">
        <v>2227</v>
      </c>
      <c r="K804" s="574" t="s">
        <v>2228</v>
      </c>
      <c r="L804" s="574" t="s">
        <v>2229</v>
      </c>
      <c r="M804" s="574" t="s">
        <v>2230</v>
      </c>
      <c r="N804" s="574" t="s">
        <v>2231</v>
      </c>
      <c r="O804" s="574" t="s">
        <v>2759</v>
      </c>
      <c r="P804" s="574" t="s">
        <v>2932</v>
      </c>
      <c r="Q804" s="574" t="s">
        <v>2234</v>
      </c>
      <c r="R804" s="574" t="s">
        <v>2225</v>
      </c>
      <c r="S804" s="574" t="s">
        <v>2737</v>
      </c>
      <c r="T804" s="574" t="s">
        <v>2738</v>
      </c>
      <c r="U804" s="574" t="s">
        <v>3443</v>
      </c>
      <c r="V804" s="574" t="s">
        <v>2238</v>
      </c>
      <c r="W804" s="574" t="s">
        <v>2239</v>
      </c>
      <c r="X804" s="574" t="s">
        <v>3040</v>
      </c>
      <c r="Y804" s="575" t="s">
        <v>2372</v>
      </c>
      <c r="Z804" s="575" t="s">
        <v>2372</v>
      </c>
      <c r="AA804" s="574" t="s">
        <v>1693</v>
      </c>
      <c r="AB804" s="574" t="s">
        <v>2319</v>
      </c>
      <c r="AC804" s="574" t="s">
        <v>2320</v>
      </c>
      <c r="AD804" s="574" t="s">
        <v>2321</v>
      </c>
      <c r="AE804" s="574" t="s">
        <v>1446</v>
      </c>
      <c r="AF804" s="574" t="s">
        <v>2321</v>
      </c>
      <c r="AG804" s="576">
        <v>225852</v>
      </c>
      <c r="AH804" s="576">
        <v>0</v>
      </c>
    </row>
    <row r="805" spans="1:34" customFormat="1" x14ac:dyDescent="0.25">
      <c r="A805" s="574" t="s">
        <v>2219</v>
      </c>
      <c r="B805" s="574" t="s">
        <v>2220</v>
      </c>
      <c r="C805" s="574" t="s">
        <v>2221</v>
      </c>
      <c r="D805" s="574" t="s">
        <v>2220</v>
      </c>
      <c r="E805" s="574" t="s">
        <v>2222</v>
      </c>
      <c r="F805" s="574" t="s">
        <v>2223</v>
      </c>
      <c r="G805" s="574" t="s">
        <v>2224</v>
      </c>
      <c r="H805" s="574" t="s">
        <v>2225</v>
      </c>
      <c r="I805" s="574" t="s">
        <v>2226</v>
      </c>
      <c r="J805" s="574" t="s">
        <v>2227</v>
      </c>
      <c r="K805" s="574" t="s">
        <v>2228</v>
      </c>
      <c r="L805" s="574" t="s">
        <v>2229</v>
      </c>
      <c r="M805" s="574" t="s">
        <v>2230</v>
      </c>
      <c r="N805" s="574" t="s">
        <v>2231</v>
      </c>
      <c r="O805" s="574" t="s">
        <v>2759</v>
      </c>
      <c r="P805" s="574" t="s">
        <v>2932</v>
      </c>
      <c r="Q805" s="574" t="s">
        <v>2234</v>
      </c>
      <c r="R805" s="574" t="s">
        <v>2225</v>
      </c>
      <c r="S805" s="574" t="s">
        <v>2737</v>
      </c>
      <c r="T805" s="574" t="s">
        <v>2738</v>
      </c>
      <c r="U805" s="574" t="s">
        <v>3444</v>
      </c>
      <c r="V805" s="574" t="s">
        <v>2238</v>
      </c>
      <c r="W805" s="574" t="s">
        <v>2239</v>
      </c>
      <c r="X805" s="574" t="s">
        <v>3042</v>
      </c>
      <c r="Y805" s="575" t="s">
        <v>2372</v>
      </c>
      <c r="Z805" s="575" t="s">
        <v>2372</v>
      </c>
      <c r="AA805" s="574" t="s">
        <v>1693</v>
      </c>
      <c r="AB805" s="574" t="s">
        <v>2319</v>
      </c>
      <c r="AC805" s="574" t="s">
        <v>2320</v>
      </c>
      <c r="AD805" s="574" t="s">
        <v>2321</v>
      </c>
      <c r="AE805" s="574" t="s">
        <v>1446</v>
      </c>
      <c r="AF805" s="574" t="s">
        <v>2321</v>
      </c>
      <c r="AG805" s="576">
        <v>224200</v>
      </c>
      <c r="AH805" s="576">
        <v>0</v>
      </c>
    </row>
    <row r="806" spans="1:34" customFormat="1" x14ac:dyDescent="0.25">
      <c r="A806" s="574" t="s">
        <v>2219</v>
      </c>
      <c r="B806" s="574" t="s">
        <v>2220</v>
      </c>
      <c r="C806" s="574" t="s">
        <v>2221</v>
      </c>
      <c r="D806" s="574" t="s">
        <v>2220</v>
      </c>
      <c r="E806" s="574" t="s">
        <v>2222</v>
      </c>
      <c r="F806" s="574" t="s">
        <v>2223</v>
      </c>
      <c r="G806" s="574" t="s">
        <v>2224</v>
      </c>
      <c r="H806" s="574" t="s">
        <v>2225</v>
      </c>
      <c r="I806" s="574" t="s">
        <v>2226</v>
      </c>
      <c r="J806" s="574" t="s">
        <v>2227</v>
      </c>
      <c r="K806" s="574" t="s">
        <v>2228</v>
      </c>
      <c r="L806" s="574" t="s">
        <v>2229</v>
      </c>
      <c r="M806" s="574" t="s">
        <v>2230</v>
      </c>
      <c r="N806" s="574" t="s">
        <v>2231</v>
      </c>
      <c r="O806" s="574" t="s">
        <v>2759</v>
      </c>
      <c r="P806" s="574" t="s">
        <v>2932</v>
      </c>
      <c r="Q806" s="574" t="s">
        <v>2234</v>
      </c>
      <c r="R806" s="574" t="s">
        <v>2225</v>
      </c>
      <c r="S806" s="574" t="s">
        <v>2737</v>
      </c>
      <c r="T806" s="574" t="s">
        <v>2738</v>
      </c>
      <c r="U806" s="574" t="s">
        <v>3445</v>
      </c>
      <c r="V806" s="574" t="s">
        <v>2238</v>
      </c>
      <c r="W806" s="574" t="s">
        <v>2239</v>
      </c>
      <c r="X806" s="574" t="s">
        <v>3048</v>
      </c>
      <c r="Y806" s="575" t="s">
        <v>2372</v>
      </c>
      <c r="Z806" s="575" t="s">
        <v>2372</v>
      </c>
      <c r="AA806" s="574" t="s">
        <v>1693</v>
      </c>
      <c r="AB806" s="574" t="s">
        <v>2319</v>
      </c>
      <c r="AC806" s="574" t="s">
        <v>2320</v>
      </c>
      <c r="AD806" s="574" t="s">
        <v>2321</v>
      </c>
      <c r="AE806" s="574" t="s">
        <v>1446</v>
      </c>
      <c r="AF806" s="574" t="s">
        <v>2321</v>
      </c>
      <c r="AG806" s="576">
        <v>211438.5</v>
      </c>
      <c r="AH806" s="576">
        <v>0</v>
      </c>
    </row>
    <row r="807" spans="1:34" customFormat="1" x14ac:dyDescent="0.25">
      <c r="A807" s="574" t="s">
        <v>2219</v>
      </c>
      <c r="B807" s="574" t="s">
        <v>2220</v>
      </c>
      <c r="C807" s="574" t="s">
        <v>2221</v>
      </c>
      <c r="D807" s="574" t="s">
        <v>2220</v>
      </c>
      <c r="E807" s="574" t="s">
        <v>2222</v>
      </c>
      <c r="F807" s="574" t="s">
        <v>2223</v>
      </c>
      <c r="G807" s="574" t="s">
        <v>2224</v>
      </c>
      <c r="H807" s="574" t="s">
        <v>2225</v>
      </c>
      <c r="I807" s="574" t="s">
        <v>2226</v>
      </c>
      <c r="J807" s="574" t="s">
        <v>2227</v>
      </c>
      <c r="K807" s="574" t="s">
        <v>2228</v>
      </c>
      <c r="L807" s="574" t="s">
        <v>2229</v>
      </c>
      <c r="M807" s="574" t="s">
        <v>2230</v>
      </c>
      <c r="N807" s="574" t="s">
        <v>2231</v>
      </c>
      <c r="O807" s="574" t="s">
        <v>2759</v>
      </c>
      <c r="P807" s="574" t="s">
        <v>2932</v>
      </c>
      <c r="Q807" s="574" t="s">
        <v>2234</v>
      </c>
      <c r="R807" s="574" t="s">
        <v>2225</v>
      </c>
      <c r="S807" s="574" t="s">
        <v>2737</v>
      </c>
      <c r="T807" s="574" t="s">
        <v>2738</v>
      </c>
      <c r="U807" s="574" t="s">
        <v>3446</v>
      </c>
      <c r="V807" s="574" t="s">
        <v>2238</v>
      </c>
      <c r="W807" s="574" t="s">
        <v>2239</v>
      </c>
      <c r="X807" s="574" t="s">
        <v>3044</v>
      </c>
      <c r="Y807" s="575" t="s">
        <v>2372</v>
      </c>
      <c r="Z807" s="575" t="s">
        <v>2372</v>
      </c>
      <c r="AA807" s="574" t="s">
        <v>1693</v>
      </c>
      <c r="AB807" s="574" t="s">
        <v>2319</v>
      </c>
      <c r="AC807" s="574" t="s">
        <v>2320</v>
      </c>
      <c r="AD807" s="574" t="s">
        <v>2321</v>
      </c>
      <c r="AE807" s="574" t="s">
        <v>1446</v>
      </c>
      <c r="AF807" s="574" t="s">
        <v>2321</v>
      </c>
      <c r="AG807" s="576">
        <v>177000</v>
      </c>
      <c r="AH807" s="576">
        <v>0</v>
      </c>
    </row>
    <row r="808" spans="1:34" customFormat="1" x14ac:dyDescent="0.25">
      <c r="A808" s="574" t="s">
        <v>2219</v>
      </c>
      <c r="B808" s="574" t="s">
        <v>2220</v>
      </c>
      <c r="C808" s="574" t="s">
        <v>2221</v>
      </c>
      <c r="D808" s="574" t="s">
        <v>2220</v>
      </c>
      <c r="E808" s="574" t="s">
        <v>2222</v>
      </c>
      <c r="F808" s="574" t="s">
        <v>2223</v>
      </c>
      <c r="G808" s="574" t="s">
        <v>2224</v>
      </c>
      <c r="H808" s="574" t="s">
        <v>2225</v>
      </c>
      <c r="I808" s="574" t="s">
        <v>2226</v>
      </c>
      <c r="J808" s="574" t="s">
        <v>2227</v>
      </c>
      <c r="K808" s="574" t="s">
        <v>2228</v>
      </c>
      <c r="L808" s="574" t="s">
        <v>2229</v>
      </c>
      <c r="M808" s="574" t="s">
        <v>2230</v>
      </c>
      <c r="N808" s="574" t="s">
        <v>2231</v>
      </c>
      <c r="O808" s="574" t="s">
        <v>2759</v>
      </c>
      <c r="P808" s="574" t="s">
        <v>2932</v>
      </c>
      <c r="Q808" s="574" t="s">
        <v>2234</v>
      </c>
      <c r="R808" s="574" t="s">
        <v>2225</v>
      </c>
      <c r="S808" s="574" t="s">
        <v>2737</v>
      </c>
      <c r="T808" s="574" t="s">
        <v>2738</v>
      </c>
      <c r="U808" s="574" t="s">
        <v>3447</v>
      </c>
      <c r="V808" s="574" t="s">
        <v>2238</v>
      </c>
      <c r="W808" s="574" t="s">
        <v>2239</v>
      </c>
      <c r="X808" s="574" t="s">
        <v>3046</v>
      </c>
      <c r="Y808" s="575" t="s">
        <v>2372</v>
      </c>
      <c r="Z808" s="575" t="s">
        <v>2372</v>
      </c>
      <c r="AA808" s="574" t="s">
        <v>1693</v>
      </c>
      <c r="AB808" s="574" t="s">
        <v>2319</v>
      </c>
      <c r="AC808" s="574" t="s">
        <v>2320</v>
      </c>
      <c r="AD808" s="574" t="s">
        <v>2321</v>
      </c>
      <c r="AE808" s="574" t="s">
        <v>1446</v>
      </c>
      <c r="AF808" s="574" t="s">
        <v>2321</v>
      </c>
      <c r="AG808" s="576">
        <v>236964</v>
      </c>
      <c r="AH808" s="576">
        <v>0</v>
      </c>
    </row>
    <row r="809" spans="1:34" customFormat="1" x14ac:dyDescent="0.25">
      <c r="A809" s="574" t="s">
        <v>2219</v>
      </c>
      <c r="B809" s="574" t="s">
        <v>2220</v>
      </c>
      <c r="C809" s="574" t="s">
        <v>2221</v>
      </c>
      <c r="D809" s="574" t="s">
        <v>2220</v>
      </c>
      <c r="E809" s="574" t="s">
        <v>2222</v>
      </c>
      <c r="F809" s="574" t="s">
        <v>2223</v>
      </c>
      <c r="G809" s="574" t="s">
        <v>2224</v>
      </c>
      <c r="H809" s="574" t="s">
        <v>2225</v>
      </c>
      <c r="I809" s="574" t="s">
        <v>2226</v>
      </c>
      <c r="J809" s="574" t="s">
        <v>2227</v>
      </c>
      <c r="K809" s="574" t="s">
        <v>2228</v>
      </c>
      <c r="L809" s="574" t="s">
        <v>2229</v>
      </c>
      <c r="M809" s="574" t="s">
        <v>2230</v>
      </c>
      <c r="N809" s="574" t="s">
        <v>2231</v>
      </c>
      <c r="O809" s="574" t="s">
        <v>2759</v>
      </c>
      <c r="P809" s="574" t="s">
        <v>2932</v>
      </c>
      <c r="Q809" s="574" t="s">
        <v>2234</v>
      </c>
      <c r="R809" s="574" t="s">
        <v>2225</v>
      </c>
      <c r="S809" s="574" t="s">
        <v>2737</v>
      </c>
      <c r="T809" s="574" t="s">
        <v>2738</v>
      </c>
      <c r="U809" s="574" t="s">
        <v>3448</v>
      </c>
      <c r="V809" s="574" t="s">
        <v>2238</v>
      </c>
      <c r="W809" s="574" t="s">
        <v>2239</v>
      </c>
      <c r="X809" s="574" t="s">
        <v>3036</v>
      </c>
      <c r="Y809" s="575" t="s">
        <v>2410</v>
      </c>
      <c r="Z809" s="575" t="s">
        <v>2410</v>
      </c>
      <c r="AA809" s="574" t="s">
        <v>1693</v>
      </c>
      <c r="AB809" s="574" t="s">
        <v>2319</v>
      </c>
      <c r="AC809" s="574" t="s">
        <v>2962</v>
      </c>
      <c r="AD809" s="574" t="s">
        <v>126</v>
      </c>
      <c r="AE809" s="574" t="s">
        <v>1522</v>
      </c>
      <c r="AF809" s="574" t="s">
        <v>126</v>
      </c>
      <c r="AG809" s="576">
        <v>26850.9</v>
      </c>
      <c r="AH809" s="576">
        <v>0</v>
      </c>
    </row>
    <row r="810" spans="1:34" customFormat="1" x14ac:dyDescent="0.25">
      <c r="A810" s="574" t="s">
        <v>2219</v>
      </c>
      <c r="B810" s="574" t="s">
        <v>2220</v>
      </c>
      <c r="C810" s="574" t="s">
        <v>2221</v>
      </c>
      <c r="D810" s="574" t="s">
        <v>2220</v>
      </c>
      <c r="E810" s="574" t="s">
        <v>2222</v>
      </c>
      <c r="F810" s="574" t="s">
        <v>2223</v>
      </c>
      <c r="G810" s="574" t="s">
        <v>2224</v>
      </c>
      <c r="H810" s="574" t="s">
        <v>2225</v>
      </c>
      <c r="I810" s="574" t="s">
        <v>2226</v>
      </c>
      <c r="J810" s="574" t="s">
        <v>2227</v>
      </c>
      <c r="K810" s="574" t="s">
        <v>2228</v>
      </c>
      <c r="L810" s="574" t="s">
        <v>2229</v>
      </c>
      <c r="M810" s="574" t="s">
        <v>2230</v>
      </c>
      <c r="N810" s="574" t="s">
        <v>2231</v>
      </c>
      <c r="O810" s="574" t="s">
        <v>2759</v>
      </c>
      <c r="P810" s="574" t="s">
        <v>2932</v>
      </c>
      <c r="Q810" s="574" t="s">
        <v>2234</v>
      </c>
      <c r="R810" s="574" t="s">
        <v>2225</v>
      </c>
      <c r="S810" s="574" t="s">
        <v>2737</v>
      </c>
      <c r="T810" s="574" t="s">
        <v>2738</v>
      </c>
      <c r="U810" s="574" t="s">
        <v>3449</v>
      </c>
      <c r="V810" s="574" t="s">
        <v>2238</v>
      </c>
      <c r="W810" s="574" t="s">
        <v>2239</v>
      </c>
      <c r="X810" s="574" t="s">
        <v>3050</v>
      </c>
      <c r="Y810" s="575" t="s">
        <v>2666</v>
      </c>
      <c r="Z810" s="575" t="s">
        <v>2666</v>
      </c>
      <c r="AA810" s="574" t="s">
        <v>1693</v>
      </c>
      <c r="AB810" s="574" t="s">
        <v>2319</v>
      </c>
      <c r="AC810" s="574" t="s">
        <v>2320</v>
      </c>
      <c r="AD810" s="574" t="s">
        <v>2321</v>
      </c>
      <c r="AE810" s="574" t="s">
        <v>1446</v>
      </c>
      <c r="AF810" s="574" t="s">
        <v>2321</v>
      </c>
      <c r="AG810" s="576">
        <v>221250</v>
      </c>
      <c r="AH810" s="576">
        <v>0</v>
      </c>
    </row>
    <row r="811" spans="1:34" customFormat="1" x14ac:dyDescent="0.25">
      <c r="A811" s="574" t="s">
        <v>2219</v>
      </c>
      <c r="B811" s="574" t="s">
        <v>2220</v>
      </c>
      <c r="C811" s="574" t="s">
        <v>2221</v>
      </c>
      <c r="D811" s="574" t="s">
        <v>2220</v>
      </c>
      <c r="E811" s="574" t="s">
        <v>2222</v>
      </c>
      <c r="F811" s="574" t="s">
        <v>2223</v>
      </c>
      <c r="G811" s="574" t="s">
        <v>2224</v>
      </c>
      <c r="H811" s="574" t="s">
        <v>2225</v>
      </c>
      <c r="I811" s="574" t="s">
        <v>2226</v>
      </c>
      <c r="J811" s="574" t="s">
        <v>2227</v>
      </c>
      <c r="K811" s="574" t="s">
        <v>2228</v>
      </c>
      <c r="L811" s="574" t="s">
        <v>2229</v>
      </c>
      <c r="M811" s="574" t="s">
        <v>2230</v>
      </c>
      <c r="N811" s="574" t="s">
        <v>2231</v>
      </c>
      <c r="O811" s="574" t="s">
        <v>2759</v>
      </c>
      <c r="P811" s="574" t="s">
        <v>2932</v>
      </c>
      <c r="Q811" s="574" t="s">
        <v>2234</v>
      </c>
      <c r="R811" s="574" t="s">
        <v>2225</v>
      </c>
      <c r="S811" s="574" t="s">
        <v>2737</v>
      </c>
      <c r="T811" s="574" t="s">
        <v>2738</v>
      </c>
      <c r="U811" s="574" t="s">
        <v>3450</v>
      </c>
      <c r="V811" s="574" t="s">
        <v>2238</v>
      </c>
      <c r="W811" s="574" t="s">
        <v>2239</v>
      </c>
      <c r="X811" s="574" t="s">
        <v>3052</v>
      </c>
      <c r="Y811" s="575" t="s">
        <v>2666</v>
      </c>
      <c r="Z811" s="575" t="s">
        <v>2666</v>
      </c>
      <c r="AA811" s="574" t="s">
        <v>1693</v>
      </c>
      <c r="AB811" s="574" t="s">
        <v>2319</v>
      </c>
      <c r="AC811" s="574" t="s">
        <v>2320</v>
      </c>
      <c r="AD811" s="574" t="s">
        <v>2321</v>
      </c>
      <c r="AE811" s="574" t="s">
        <v>1446</v>
      </c>
      <c r="AF811" s="574" t="s">
        <v>2321</v>
      </c>
      <c r="AG811" s="576">
        <v>19925.009999999998</v>
      </c>
      <c r="AH811" s="576">
        <v>0</v>
      </c>
    </row>
    <row r="812" spans="1:34" customFormat="1" x14ac:dyDescent="0.25">
      <c r="A812" s="574" t="s">
        <v>2219</v>
      </c>
      <c r="B812" s="574" t="s">
        <v>2220</v>
      </c>
      <c r="C812" s="574" t="s">
        <v>2221</v>
      </c>
      <c r="D812" s="574" t="s">
        <v>2220</v>
      </c>
      <c r="E812" s="574" t="s">
        <v>2222</v>
      </c>
      <c r="F812" s="574" t="s">
        <v>2223</v>
      </c>
      <c r="G812" s="574" t="s">
        <v>2224</v>
      </c>
      <c r="H812" s="574" t="s">
        <v>2225</v>
      </c>
      <c r="I812" s="574" t="s">
        <v>2226</v>
      </c>
      <c r="J812" s="574" t="s">
        <v>2227</v>
      </c>
      <c r="K812" s="574" t="s">
        <v>2228</v>
      </c>
      <c r="L812" s="574" t="s">
        <v>2229</v>
      </c>
      <c r="M812" s="574" t="s">
        <v>2230</v>
      </c>
      <c r="N812" s="574" t="s">
        <v>2231</v>
      </c>
      <c r="O812" s="574" t="s">
        <v>2759</v>
      </c>
      <c r="P812" s="574" t="s">
        <v>2932</v>
      </c>
      <c r="Q812" s="574" t="s">
        <v>2234</v>
      </c>
      <c r="R812" s="574" t="s">
        <v>2225</v>
      </c>
      <c r="S812" s="574" t="s">
        <v>2737</v>
      </c>
      <c r="T812" s="574" t="s">
        <v>2738</v>
      </c>
      <c r="U812" s="574" t="s">
        <v>3451</v>
      </c>
      <c r="V812" s="574" t="s">
        <v>2238</v>
      </c>
      <c r="W812" s="574" t="s">
        <v>2239</v>
      </c>
      <c r="X812" s="574" t="s">
        <v>3054</v>
      </c>
      <c r="Y812" s="575" t="s">
        <v>2666</v>
      </c>
      <c r="Z812" s="575" t="s">
        <v>2666</v>
      </c>
      <c r="AA812" s="574" t="s">
        <v>1693</v>
      </c>
      <c r="AB812" s="574" t="s">
        <v>2319</v>
      </c>
      <c r="AC812" s="574" t="s">
        <v>2320</v>
      </c>
      <c r="AD812" s="574" t="s">
        <v>2321</v>
      </c>
      <c r="AE812" s="574" t="s">
        <v>1446</v>
      </c>
      <c r="AF812" s="574" t="s">
        <v>2321</v>
      </c>
      <c r="AG812" s="576">
        <v>50256</v>
      </c>
      <c r="AH812" s="576">
        <v>0</v>
      </c>
    </row>
    <row r="813" spans="1:34" customFormat="1" x14ac:dyDescent="0.25">
      <c r="A813" s="574" t="s">
        <v>2219</v>
      </c>
      <c r="B813" s="574" t="s">
        <v>2220</v>
      </c>
      <c r="C813" s="574" t="s">
        <v>2221</v>
      </c>
      <c r="D813" s="574" t="s">
        <v>2220</v>
      </c>
      <c r="E813" s="574" t="s">
        <v>2222</v>
      </c>
      <c r="F813" s="574" t="s">
        <v>2223</v>
      </c>
      <c r="G813" s="574" t="s">
        <v>2224</v>
      </c>
      <c r="H813" s="574" t="s">
        <v>2225</v>
      </c>
      <c r="I813" s="574" t="s">
        <v>2226</v>
      </c>
      <c r="J813" s="574" t="s">
        <v>2227</v>
      </c>
      <c r="K813" s="574" t="s">
        <v>2228</v>
      </c>
      <c r="L813" s="574" t="s">
        <v>2229</v>
      </c>
      <c r="M813" s="574" t="s">
        <v>2230</v>
      </c>
      <c r="N813" s="574" t="s">
        <v>2231</v>
      </c>
      <c r="O813" s="574" t="s">
        <v>2759</v>
      </c>
      <c r="P813" s="574" t="s">
        <v>2932</v>
      </c>
      <c r="Q813" s="574" t="s">
        <v>2234</v>
      </c>
      <c r="R813" s="574" t="s">
        <v>2225</v>
      </c>
      <c r="S813" s="574" t="s">
        <v>2737</v>
      </c>
      <c r="T813" s="574" t="s">
        <v>2738</v>
      </c>
      <c r="U813" s="574" t="s">
        <v>3452</v>
      </c>
      <c r="V813" s="574" t="s">
        <v>2238</v>
      </c>
      <c r="W813" s="574" t="s">
        <v>2239</v>
      </c>
      <c r="X813" s="574" t="s">
        <v>3056</v>
      </c>
      <c r="Y813" s="575" t="s">
        <v>2666</v>
      </c>
      <c r="Z813" s="575" t="s">
        <v>2666</v>
      </c>
      <c r="AA813" s="574" t="s">
        <v>1693</v>
      </c>
      <c r="AB813" s="574" t="s">
        <v>2319</v>
      </c>
      <c r="AC813" s="574" t="s">
        <v>2320</v>
      </c>
      <c r="AD813" s="574" t="s">
        <v>2321</v>
      </c>
      <c r="AE813" s="574" t="s">
        <v>1446</v>
      </c>
      <c r="AF813" s="574" t="s">
        <v>2321</v>
      </c>
      <c r="AG813" s="576">
        <v>222500</v>
      </c>
      <c r="AH813" s="576">
        <v>0</v>
      </c>
    </row>
    <row r="814" spans="1:34" customFormat="1" x14ac:dyDescent="0.25">
      <c r="A814" s="574" t="s">
        <v>2219</v>
      </c>
      <c r="B814" s="574" t="s">
        <v>2220</v>
      </c>
      <c r="C814" s="574" t="s">
        <v>2221</v>
      </c>
      <c r="D814" s="574" t="s">
        <v>2220</v>
      </c>
      <c r="E814" s="574" t="s">
        <v>2222</v>
      </c>
      <c r="F814" s="574" t="s">
        <v>2223</v>
      </c>
      <c r="G814" s="574" t="s">
        <v>2224</v>
      </c>
      <c r="H814" s="574" t="s">
        <v>2225</v>
      </c>
      <c r="I814" s="574" t="s">
        <v>2226</v>
      </c>
      <c r="J814" s="574" t="s">
        <v>2227</v>
      </c>
      <c r="K814" s="574" t="s">
        <v>2228</v>
      </c>
      <c r="L814" s="574" t="s">
        <v>2229</v>
      </c>
      <c r="M814" s="574" t="s">
        <v>2230</v>
      </c>
      <c r="N814" s="574" t="s">
        <v>2231</v>
      </c>
      <c r="O814" s="574" t="s">
        <v>2759</v>
      </c>
      <c r="P814" s="574" t="s">
        <v>2932</v>
      </c>
      <c r="Q814" s="574" t="s">
        <v>2234</v>
      </c>
      <c r="R814" s="574" t="s">
        <v>2225</v>
      </c>
      <c r="S814" s="574" t="s">
        <v>2737</v>
      </c>
      <c r="T814" s="574" t="s">
        <v>2738</v>
      </c>
      <c r="U814" s="574" t="s">
        <v>3453</v>
      </c>
      <c r="V814" s="574" t="s">
        <v>2238</v>
      </c>
      <c r="W814" s="574" t="s">
        <v>2239</v>
      </c>
      <c r="X814" s="574" t="s">
        <v>3096</v>
      </c>
      <c r="Y814" s="575" t="s">
        <v>2666</v>
      </c>
      <c r="Z814" s="575" t="s">
        <v>2666</v>
      </c>
      <c r="AA814" s="574" t="s">
        <v>1692</v>
      </c>
      <c r="AB814" s="574" t="s">
        <v>2307</v>
      </c>
      <c r="AC814" s="574" t="s">
        <v>2308</v>
      </c>
      <c r="AD814" s="574" t="s">
        <v>2309</v>
      </c>
      <c r="AE814" s="574" t="s">
        <v>1490</v>
      </c>
      <c r="AF814" s="574" t="s">
        <v>176</v>
      </c>
      <c r="AG814" s="576">
        <v>98000</v>
      </c>
      <c r="AH814" s="576">
        <v>0</v>
      </c>
    </row>
    <row r="815" spans="1:34" customFormat="1" x14ac:dyDescent="0.25">
      <c r="A815" s="574" t="s">
        <v>2219</v>
      </c>
      <c r="B815" s="574" t="s">
        <v>2220</v>
      </c>
      <c r="C815" s="574" t="s">
        <v>2221</v>
      </c>
      <c r="D815" s="574" t="s">
        <v>2220</v>
      </c>
      <c r="E815" s="574" t="s">
        <v>2222</v>
      </c>
      <c r="F815" s="574" t="s">
        <v>2223</v>
      </c>
      <c r="G815" s="574" t="s">
        <v>2224</v>
      </c>
      <c r="H815" s="574" t="s">
        <v>2225</v>
      </c>
      <c r="I815" s="574" t="s">
        <v>2226</v>
      </c>
      <c r="J815" s="574" t="s">
        <v>2227</v>
      </c>
      <c r="K815" s="574" t="s">
        <v>2228</v>
      </c>
      <c r="L815" s="574" t="s">
        <v>2229</v>
      </c>
      <c r="M815" s="574" t="s">
        <v>2230</v>
      </c>
      <c r="N815" s="574" t="s">
        <v>2231</v>
      </c>
      <c r="O815" s="574" t="s">
        <v>2759</v>
      </c>
      <c r="P815" s="574" t="s">
        <v>2932</v>
      </c>
      <c r="Q815" s="574" t="s">
        <v>2234</v>
      </c>
      <c r="R815" s="574" t="s">
        <v>2225</v>
      </c>
      <c r="S815" s="574" t="s">
        <v>2737</v>
      </c>
      <c r="T815" s="574" t="s">
        <v>2738</v>
      </c>
      <c r="U815" s="574" t="s">
        <v>3454</v>
      </c>
      <c r="V815" s="574" t="s">
        <v>2238</v>
      </c>
      <c r="W815" s="574" t="s">
        <v>2239</v>
      </c>
      <c r="X815" s="574" t="s">
        <v>3060</v>
      </c>
      <c r="Y815" s="575" t="s">
        <v>2722</v>
      </c>
      <c r="Z815" s="575" t="s">
        <v>2722</v>
      </c>
      <c r="AA815" s="574" t="s">
        <v>1693</v>
      </c>
      <c r="AB815" s="574" t="s">
        <v>2319</v>
      </c>
      <c r="AC815" s="574" t="s">
        <v>2320</v>
      </c>
      <c r="AD815" s="574" t="s">
        <v>2321</v>
      </c>
      <c r="AE815" s="574" t="s">
        <v>1446</v>
      </c>
      <c r="AF815" s="574" t="s">
        <v>2321</v>
      </c>
      <c r="AG815" s="576">
        <v>106554</v>
      </c>
      <c r="AH815" s="576">
        <v>0</v>
      </c>
    </row>
    <row r="816" spans="1:34" customFormat="1" x14ac:dyDescent="0.25">
      <c r="A816" s="574" t="s">
        <v>2219</v>
      </c>
      <c r="B816" s="574" t="s">
        <v>2220</v>
      </c>
      <c r="C816" s="574" t="s">
        <v>2221</v>
      </c>
      <c r="D816" s="574" t="s">
        <v>2220</v>
      </c>
      <c r="E816" s="574" t="s">
        <v>2222</v>
      </c>
      <c r="F816" s="574" t="s">
        <v>2223</v>
      </c>
      <c r="G816" s="574" t="s">
        <v>2224</v>
      </c>
      <c r="H816" s="574" t="s">
        <v>2225</v>
      </c>
      <c r="I816" s="574" t="s">
        <v>2226</v>
      </c>
      <c r="J816" s="574" t="s">
        <v>2227</v>
      </c>
      <c r="K816" s="574" t="s">
        <v>2228</v>
      </c>
      <c r="L816" s="574" t="s">
        <v>2229</v>
      </c>
      <c r="M816" s="574" t="s">
        <v>2230</v>
      </c>
      <c r="N816" s="574" t="s">
        <v>2231</v>
      </c>
      <c r="O816" s="574" t="s">
        <v>2759</v>
      </c>
      <c r="P816" s="574" t="s">
        <v>2932</v>
      </c>
      <c r="Q816" s="574" t="s">
        <v>2234</v>
      </c>
      <c r="R816" s="574" t="s">
        <v>2225</v>
      </c>
      <c r="S816" s="574" t="s">
        <v>2737</v>
      </c>
      <c r="T816" s="574" t="s">
        <v>2738</v>
      </c>
      <c r="U816" s="574" t="s">
        <v>3455</v>
      </c>
      <c r="V816" s="574" t="s">
        <v>2238</v>
      </c>
      <c r="W816" s="574" t="s">
        <v>2239</v>
      </c>
      <c r="X816" s="574" t="s">
        <v>3058</v>
      </c>
      <c r="Y816" s="575" t="s">
        <v>2722</v>
      </c>
      <c r="Z816" s="575" t="s">
        <v>2722</v>
      </c>
      <c r="AA816" s="574" t="s">
        <v>1693</v>
      </c>
      <c r="AB816" s="574" t="s">
        <v>2319</v>
      </c>
      <c r="AC816" s="574" t="s">
        <v>2320</v>
      </c>
      <c r="AD816" s="574" t="s">
        <v>2321</v>
      </c>
      <c r="AE816" s="574" t="s">
        <v>1446</v>
      </c>
      <c r="AF816" s="574" t="s">
        <v>2321</v>
      </c>
      <c r="AG816" s="576">
        <v>249900</v>
      </c>
      <c r="AH816" s="576">
        <v>0</v>
      </c>
    </row>
    <row r="817" spans="1:34" customFormat="1" x14ac:dyDescent="0.25">
      <c r="A817" s="574" t="s">
        <v>2219</v>
      </c>
      <c r="B817" s="574" t="s">
        <v>2220</v>
      </c>
      <c r="C817" s="574" t="s">
        <v>2221</v>
      </c>
      <c r="D817" s="574" t="s">
        <v>2220</v>
      </c>
      <c r="E817" s="574" t="s">
        <v>2222</v>
      </c>
      <c r="F817" s="574" t="s">
        <v>2223</v>
      </c>
      <c r="G817" s="574" t="s">
        <v>2224</v>
      </c>
      <c r="H817" s="574" t="s">
        <v>2225</v>
      </c>
      <c r="I817" s="574" t="s">
        <v>2226</v>
      </c>
      <c r="J817" s="574" t="s">
        <v>2227</v>
      </c>
      <c r="K817" s="574" t="s">
        <v>2228</v>
      </c>
      <c r="L817" s="574" t="s">
        <v>2229</v>
      </c>
      <c r="M817" s="574" t="s">
        <v>2230</v>
      </c>
      <c r="N817" s="574" t="s">
        <v>2231</v>
      </c>
      <c r="O817" s="574" t="s">
        <v>2759</v>
      </c>
      <c r="P817" s="574" t="s">
        <v>2932</v>
      </c>
      <c r="Q817" s="574" t="s">
        <v>2234</v>
      </c>
      <c r="R817" s="574" t="s">
        <v>2225</v>
      </c>
      <c r="S817" s="574" t="s">
        <v>2737</v>
      </c>
      <c r="T817" s="574" t="s">
        <v>2738</v>
      </c>
      <c r="U817" s="574" t="s">
        <v>3456</v>
      </c>
      <c r="V817" s="574" t="s">
        <v>2238</v>
      </c>
      <c r="W817" s="574" t="s">
        <v>2239</v>
      </c>
      <c r="X817" s="574" t="s">
        <v>3106</v>
      </c>
      <c r="Y817" s="575" t="s">
        <v>2429</v>
      </c>
      <c r="Z817" s="575" t="s">
        <v>2429</v>
      </c>
      <c r="AA817" s="574" t="s">
        <v>1692</v>
      </c>
      <c r="AB817" s="574" t="s">
        <v>2307</v>
      </c>
      <c r="AC817" s="574" t="s">
        <v>2308</v>
      </c>
      <c r="AD817" s="574" t="s">
        <v>2309</v>
      </c>
      <c r="AE817" s="574" t="s">
        <v>1490</v>
      </c>
      <c r="AF817" s="574" t="s">
        <v>176</v>
      </c>
      <c r="AG817" s="576">
        <v>140800</v>
      </c>
      <c r="AH817" s="576">
        <v>0</v>
      </c>
    </row>
    <row r="818" spans="1:34" customFormat="1" x14ac:dyDescent="0.25">
      <c r="A818" s="574" t="s">
        <v>2219</v>
      </c>
      <c r="B818" s="574" t="s">
        <v>2220</v>
      </c>
      <c r="C818" s="574" t="s">
        <v>2221</v>
      </c>
      <c r="D818" s="574" t="s">
        <v>2220</v>
      </c>
      <c r="E818" s="574" t="s">
        <v>2222</v>
      </c>
      <c r="F818" s="574" t="s">
        <v>2223</v>
      </c>
      <c r="G818" s="574" t="s">
        <v>2224</v>
      </c>
      <c r="H818" s="574" t="s">
        <v>2225</v>
      </c>
      <c r="I818" s="574" t="s">
        <v>2226</v>
      </c>
      <c r="J818" s="574" t="s">
        <v>2227</v>
      </c>
      <c r="K818" s="574" t="s">
        <v>2228</v>
      </c>
      <c r="L818" s="574" t="s">
        <v>2229</v>
      </c>
      <c r="M818" s="574" t="s">
        <v>2230</v>
      </c>
      <c r="N818" s="574" t="s">
        <v>2231</v>
      </c>
      <c r="O818" s="574" t="s">
        <v>2759</v>
      </c>
      <c r="P818" s="574" t="s">
        <v>2932</v>
      </c>
      <c r="Q818" s="574" t="s">
        <v>2234</v>
      </c>
      <c r="R818" s="574" t="s">
        <v>2225</v>
      </c>
      <c r="S818" s="574" t="s">
        <v>2737</v>
      </c>
      <c r="T818" s="574" t="s">
        <v>2738</v>
      </c>
      <c r="U818" s="574" t="s">
        <v>3456</v>
      </c>
      <c r="V818" s="574" t="s">
        <v>2238</v>
      </c>
      <c r="W818" s="574" t="s">
        <v>2239</v>
      </c>
      <c r="X818" s="574" t="s">
        <v>3106</v>
      </c>
      <c r="Y818" s="575" t="s">
        <v>2429</v>
      </c>
      <c r="Z818" s="575" t="s">
        <v>2429</v>
      </c>
      <c r="AA818" s="574" t="s">
        <v>1693</v>
      </c>
      <c r="AB818" s="574" t="s">
        <v>2319</v>
      </c>
      <c r="AC818" s="574" t="s">
        <v>2320</v>
      </c>
      <c r="AD818" s="574" t="s">
        <v>2321</v>
      </c>
      <c r="AE818" s="574" t="s">
        <v>1446</v>
      </c>
      <c r="AF818" s="574" t="s">
        <v>2321</v>
      </c>
      <c r="AG818" s="576">
        <v>77760</v>
      </c>
      <c r="AH818" s="576">
        <v>0</v>
      </c>
    </row>
    <row r="819" spans="1:34" customFormat="1" x14ac:dyDescent="0.25">
      <c r="A819" s="574" t="s">
        <v>2219</v>
      </c>
      <c r="B819" s="574" t="s">
        <v>2220</v>
      </c>
      <c r="C819" s="574" t="s">
        <v>2221</v>
      </c>
      <c r="D819" s="574" t="s">
        <v>2220</v>
      </c>
      <c r="E819" s="574" t="s">
        <v>2222</v>
      </c>
      <c r="F819" s="574" t="s">
        <v>2223</v>
      </c>
      <c r="G819" s="574" t="s">
        <v>2224</v>
      </c>
      <c r="H819" s="574" t="s">
        <v>2225</v>
      </c>
      <c r="I819" s="574" t="s">
        <v>2226</v>
      </c>
      <c r="J819" s="574" t="s">
        <v>2227</v>
      </c>
      <c r="K819" s="574" t="s">
        <v>2228</v>
      </c>
      <c r="L819" s="574" t="s">
        <v>2229</v>
      </c>
      <c r="M819" s="574" t="s">
        <v>2230</v>
      </c>
      <c r="N819" s="574" t="s">
        <v>2231</v>
      </c>
      <c r="O819" s="574" t="s">
        <v>2759</v>
      </c>
      <c r="P819" s="574" t="s">
        <v>2932</v>
      </c>
      <c r="Q819" s="574" t="s">
        <v>2234</v>
      </c>
      <c r="R819" s="574" t="s">
        <v>2225</v>
      </c>
      <c r="S819" s="574" t="s">
        <v>2737</v>
      </c>
      <c r="T819" s="574" t="s">
        <v>2738</v>
      </c>
      <c r="U819" s="574" t="s">
        <v>3457</v>
      </c>
      <c r="V819" s="574" t="s">
        <v>2238</v>
      </c>
      <c r="W819" s="574" t="s">
        <v>2239</v>
      </c>
      <c r="X819" s="574" t="s">
        <v>2723</v>
      </c>
      <c r="Y819" s="575" t="s">
        <v>2429</v>
      </c>
      <c r="Z819" s="575" t="s">
        <v>2429</v>
      </c>
      <c r="AA819" s="574" t="s">
        <v>1692</v>
      </c>
      <c r="AB819" s="574" t="s">
        <v>2307</v>
      </c>
      <c r="AC819" s="574" t="s">
        <v>2308</v>
      </c>
      <c r="AD819" s="574" t="s">
        <v>2309</v>
      </c>
      <c r="AE819" s="574" t="s">
        <v>1490</v>
      </c>
      <c r="AF819" s="574" t="s">
        <v>176</v>
      </c>
      <c r="AG819" s="576">
        <v>60232</v>
      </c>
      <c r="AH819" s="576">
        <v>0</v>
      </c>
    </row>
    <row r="820" spans="1:34" customFormat="1" x14ac:dyDescent="0.25">
      <c r="A820" s="574" t="s">
        <v>2219</v>
      </c>
      <c r="B820" s="574" t="s">
        <v>2220</v>
      </c>
      <c r="C820" s="574" t="s">
        <v>2221</v>
      </c>
      <c r="D820" s="574" t="s">
        <v>2220</v>
      </c>
      <c r="E820" s="574" t="s">
        <v>2222</v>
      </c>
      <c r="F820" s="574" t="s">
        <v>2223</v>
      </c>
      <c r="G820" s="574" t="s">
        <v>2224</v>
      </c>
      <c r="H820" s="574" t="s">
        <v>2225</v>
      </c>
      <c r="I820" s="574" t="s">
        <v>2226</v>
      </c>
      <c r="J820" s="574" t="s">
        <v>2227</v>
      </c>
      <c r="K820" s="574" t="s">
        <v>2228</v>
      </c>
      <c r="L820" s="574" t="s">
        <v>2229</v>
      </c>
      <c r="M820" s="574" t="s">
        <v>2230</v>
      </c>
      <c r="N820" s="574" t="s">
        <v>2231</v>
      </c>
      <c r="O820" s="574" t="s">
        <v>2759</v>
      </c>
      <c r="P820" s="574" t="s">
        <v>2932</v>
      </c>
      <c r="Q820" s="574" t="s">
        <v>2234</v>
      </c>
      <c r="R820" s="574" t="s">
        <v>2225</v>
      </c>
      <c r="S820" s="574" t="s">
        <v>2737</v>
      </c>
      <c r="T820" s="574" t="s">
        <v>2738</v>
      </c>
      <c r="U820" s="574" t="s">
        <v>3458</v>
      </c>
      <c r="V820" s="574" t="s">
        <v>2238</v>
      </c>
      <c r="W820" s="574" t="s">
        <v>2239</v>
      </c>
      <c r="X820" s="574" t="s">
        <v>3062</v>
      </c>
      <c r="Y820" s="575" t="s">
        <v>2429</v>
      </c>
      <c r="Z820" s="575" t="s">
        <v>2429</v>
      </c>
      <c r="AA820" s="574" t="s">
        <v>1691</v>
      </c>
      <c r="AB820" s="574" t="s">
        <v>2297</v>
      </c>
      <c r="AC820" s="574" t="s">
        <v>2298</v>
      </c>
      <c r="AD820" s="574" t="s">
        <v>2299</v>
      </c>
      <c r="AE820" s="574" t="s">
        <v>1468</v>
      </c>
      <c r="AF820" s="574" t="s">
        <v>2299</v>
      </c>
      <c r="AG820" s="576">
        <v>37720</v>
      </c>
      <c r="AH820" s="576">
        <v>0</v>
      </c>
    </row>
    <row r="821" spans="1:34" customFormat="1" x14ac:dyDescent="0.25">
      <c r="A821" s="574" t="s">
        <v>2219</v>
      </c>
      <c r="B821" s="574" t="s">
        <v>2220</v>
      </c>
      <c r="C821" s="574" t="s">
        <v>2221</v>
      </c>
      <c r="D821" s="574" t="s">
        <v>2220</v>
      </c>
      <c r="E821" s="574" t="s">
        <v>2222</v>
      </c>
      <c r="F821" s="574" t="s">
        <v>2223</v>
      </c>
      <c r="G821" s="574" t="s">
        <v>2224</v>
      </c>
      <c r="H821" s="574" t="s">
        <v>2225</v>
      </c>
      <c r="I821" s="574" t="s">
        <v>2226</v>
      </c>
      <c r="J821" s="574" t="s">
        <v>2227</v>
      </c>
      <c r="K821" s="574" t="s">
        <v>2228</v>
      </c>
      <c r="L821" s="574" t="s">
        <v>2229</v>
      </c>
      <c r="M821" s="574" t="s">
        <v>2230</v>
      </c>
      <c r="N821" s="574" t="s">
        <v>2231</v>
      </c>
      <c r="O821" s="574" t="s">
        <v>2759</v>
      </c>
      <c r="P821" s="574" t="s">
        <v>2932</v>
      </c>
      <c r="Q821" s="574" t="s">
        <v>2234</v>
      </c>
      <c r="R821" s="574" t="s">
        <v>2225</v>
      </c>
      <c r="S821" s="574" t="s">
        <v>2737</v>
      </c>
      <c r="T821" s="574" t="s">
        <v>2738</v>
      </c>
      <c r="U821" s="574" t="s">
        <v>3458</v>
      </c>
      <c r="V821" s="574" t="s">
        <v>2238</v>
      </c>
      <c r="W821" s="574" t="s">
        <v>2239</v>
      </c>
      <c r="X821" s="574" t="s">
        <v>3062</v>
      </c>
      <c r="Y821" s="575" t="s">
        <v>2429</v>
      </c>
      <c r="Z821" s="575" t="s">
        <v>2429</v>
      </c>
      <c r="AA821" s="574" t="s">
        <v>1693</v>
      </c>
      <c r="AB821" s="574" t="s">
        <v>2319</v>
      </c>
      <c r="AC821" s="574" t="s">
        <v>2320</v>
      </c>
      <c r="AD821" s="574" t="s">
        <v>2321</v>
      </c>
      <c r="AE821" s="574" t="s">
        <v>1446</v>
      </c>
      <c r="AF821" s="574" t="s">
        <v>2321</v>
      </c>
      <c r="AG821" s="576">
        <v>186971</v>
      </c>
      <c r="AH821" s="576">
        <v>0</v>
      </c>
    </row>
    <row r="822" spans="1:34" customFormat="1" x14ac:dyDescent="0.25">
      <c r="A822" s="574" t="s">
        <v>2219</v>
      </c>
      <c r="B822" s="574" t="s">
        <v>2220</v>
      </c>
      <c r="C822" s="574" t="s">
        <v>2221</v>
      </c>
      <c r="D822" s="574" t="s">
        <v>2220</v>
      </c>
      <c r="E822" s="574" t="s">
        <v>2222</v>
      </c>
      <c r="F822" s="574" t="s">
        <v>2223</v>
      </c>
      <c r="G822" s="574" t="s">
        <v>2224</v>
      </c>
      <c r="H822" s="574" t="s">
        <v>2225</v>
      </c>
      <c r="I822" s="574" t="s">
        <v>2226</v>
      </c>
      <c r="J822" s="574" t="s">
        <v>2227</v>
      </c>
      <c r="K822" s="574" t="s">
        <v>2228</v>
      </c>
      <c r="L822" s="574" t="s">
        <v>2229</v>
      </c>
      <c r="M822" s="574" t="s">
        <v>2230</v>
      </c>
      <c r="N822" s="574" t="s">
        <v>2231</v>
      </c>
      <c r="O822" s="574" t="s">
        <v>2759</v>
      </c>
      <c r="P822" s="574" t="s">
        <v>2932</v>
      </c>
      <c r="Q822" s="574" t="s">
        <v>2234</v>
      </c>
      <c r="R822" s="574" t="s">
        <v>2225</v>
      </c>
      <c r="S822" s="574" t="s">
        <v>2737</v>
      </c>
      <c r="T822" s="574" t="s">
        <v>2738</v>
      </c>
      <c r="U822" s="574" t="s">
        <v>3459</v>
      </c>
      <c r="V822" s="574" t="s">
        <v>2238</v>
      </c>
      <c r="W822" s="574" t="s">
        <v>2239</v>
      </c>
      <c r="X822" s="574" t="s">
        <v>3100</v>
      </c>
      <c r="Y822" s="575" t="s">
        <v>2429</v>
      </c>
      <c r="Z822" s="575" t="s">
        <v>2429</v>
      </c>
      <c r="AA822" s="574" t="s">
        <v>1693</v>
      </c>
      <c r="AB822" s="574" t="s">
        <v>2319</v>
      </c>
      <c r="AC822" s="574" t="s">
        <v>2320</v>
      </c>
      <c r="AD822" s="574" t="s">
        <v>2321</v>
      </c>
      <c r="AE822" s="574" t="s">
        <v>1446</v>
      </c>
      <c r="AF822" s="574" t="s">
        <v>2321</v>
      </c>
      <c r="AG822" s="576">
        <v>92699.62</v>
      </c>
      <c r="AH822" s="576">
        <v>0</v>
      </c>
    </row>
    <row r="823" spans="1:34" customFormat="1" x14ac:dyDescent="0.25">
      <c r="A823" s="574" t="s">
        <v>2219</v>
      </c>
      <c r="B823" s="574" t="s">
        <v>2220</v>
      </c>
      <c r="C823" s="574" t="s">
        <v>2221</v>
      </c>
      <c r="D823" s="574" t="s">
        <v>2220</v>
      </c>
      <c r="E823" s="574" t="s">
        <v>2222</v>
      </c>
      <c r="F823" s="574" t="s">
        <v>2223</v>
      </c>
      <c r="G823" s="574" t="s">
        <v>2224</v>
      </c>
      <c r="H823" s="574" t="s">
        <v>2225</v>
      </c>
      <c r="I823" s="574" t="s">
        <v>2226</v>
      </c>
      <c r="J823" s="574" t="s">
        <v>2227</v>
      </c>
      <c r="K823" s="574" t="s">
        <v>2228</v>
      </c>
      <c r="L823" s="574" t="s">
        <v>2229</v>
      </c>
      <c r="M823" s="574" t="s">
        <v>2230</v>
      </c>
      <c r="N823" s="574" t="s">
        <v>2231</v>
      </c>
      <c r="O823" s="574" t="s">
        <v>2759</v>
      </c>
      <c r="P823" s="574" t="s">
        <v>2932</v>
      </c>
      <c r="Q823" s="574" t="s">
        <v>2234</v>
      </c>
      <c r="R823" s="574" t="s">
        <v>2225</v>
      </c>
      <c r="S823" s="574" t="s">
        <v>2737</v>
      </c>
      <c r="T823" s="574" t="s">
        <v>2738</v>
      </c>
      <c r="U823" s="574" t="s">
        <v>3460</v>
      </c>
      <c r="V823" s="574" t="s">
        <v>2238</v>
      </c>
      <c r="W823" s="574" t="s">
        <v>2239</v>
      </c>
      <c r="X823" s="574" t="s">
        <v>3069</v>
      </c>
      <c r="Y823" s="575" t="s">
        <v>2669</v>
      </c>
      <c r="Z823" s="575" t="s">
        <v>2669</v>
      </c>
      <c r="AA823" s="574" t="s">
        <v>1693</v>
      </c>
      <c r="AB823" s="574" t="s">
        <v>2319</v>
      </c>
      <c r="AC823" s="574" t="s">
        <v>2962</v>
      </c>
      <c r="AD823" s="574" t="s">
        <v>126</v>
      </c>
      <c r="AE823" s="574" t="s">
        <v>1522</v>
      </c>
      <c r="AF823" s="574" t="s">
        <v>126</v>
      </c>
      <c r="AG823" s="576">
        <v>29990.880000000001</v>
      </c>
      <c r="AH823" s="576">
        <v>0</v>
      </c>
    </row>
    <row r="824" spans="1:34" customFormat="1" x14ac:dyDescent="0.25">
      <c r="A824" s="574" t="s">
        <v>2219</v>
      </c>
      <c r="B824" s="574" t="s">
        <v>2220</v>
      </c>
      <c r="C824" s="574" t="s">
        <v>2221</v>
      </c>
      <c r="D824" s="574" t="s">
        <v>2220</v>
      </c>
      <c r="E824" s="574" t="s">
        <v>2222</v>
      </c>
      <c r="F824" s="574" t="s">
        <v>2223</v>
      </c>
      <c r="G824" s="574" t="s">
        <v>2224</v>
      </c>
      <c r="H824" s="574" t="s">
        <v>2225</v>
      </c>
      <c r="I824" s="574" t="s">
        <v>2226</v>
      </c>
      <c r="J824" s="574" t="s">
        <v>2227</v>
      </c>
      <c r="K824" s="574" t="s">
        <v>2228</v>
      </c>
      <c r="L824" s="574" t="s">
        <v>2229</v>
      </c>
      <c r="M824" s="574" t="s">
        <v>2230</v>
      </c>
      <c r="N824" s="574" t="s">
        <v>2231</v>
      </c>
      <c r="O824" s="574" t="s">
        <v>2759</v>
      </c>
      <c r="P824" s="574" t="s">
        <v>2932</v>
      </c>
      <c r="Q824" s="574" t="s">
        <v>2234</v>
      </c>
      <c r="R824" s="574" t="s">
        <v>2225</v>
      </c>
      <c r="S824" s="574" t="s">
        <v>2737</v>
      </c>
      <c r="T824" s="574" t="s">
        <v>2738</v>
      </c>
      <c r="U824" s="574" t="s">
        <v>3461</v>
      </c>
      <c r="V824" s="574" t="s">
        <v>2238</v>
      </c>
      <c r="W824" s="574" t="s">
        <v>2239</v>
      </c>
      <c r="X824" s="574" t="s">
        <v>3072</v>
      </c>
      <c r="Y824" s="575" t="s">
        <v>2669</v>
      </c>
      <c r="Z824" s="575" t="s">
        <v>2669</v>
      </c>
      <c r="AA824" s="574" t="s">
        <v>1693</v>
      </c>
      <c r="AB824" s="574" t="s">
        <v>2319</v>
      </c>
      <c r="AC824" s="574" t="s">
        <v>2962</v>
      </c>
      <c r="AD824" s="574" t="s">
        <v>126</v>
      </c>
      <c r="AE824" s="574" t="s">
        <v>1522</v>
      </c>
      <c r="AF824" s="574" t="s">
        <v>126</v>
      </c>
      <c r="AG824" s="576">
        <v>15635</v>
      </c>
      <c r="AH824" s="576">
        <v>0</v>
      </c>
    </row>
    <row r="825" spans="1:34" customFormat="1" x14ac:dyDescent="0.25">
      <c r="A825" s="574" t="s">
        <v>2219</v>
      </c>
      <c r="B825" s="574" t="s">
        <v>2220</v>
      </c>
      <c r="C825" s="574" t="s">
        <v>2221</v>
      </c>
      <c r="D825" s="574" t="s">
        <v>2220</v>
      </c>
      <c r="E825" s="574" t="s">
        <v>2222</v>
      </c>
      <c r="F825" s="574" t="s">
        <v>2223</v>
      </c>
      <c r="G825" s="574" t="s">
        <v>2224</v>
      </c>
      <c r="H825" s="574" t="s">
        <v>2225</v>
      </c>
      <c r="I825" s="574" t="s">
        <v>2226</v>
      </c>
      <c r="J825" s="574" t="s">
        <v>2227</v>
      </c>
      <c r="K825" s="574" t="s">
        <v>2228</v>
      </c>
      <c r="L825" s="574" t="s">
        <v>2229</v>
      </c>
      <c r="M825" s="574" t="s">
        <v>2230</v>
      </c>
      <c r="N825" s="574" t="s">
        <v>2231</v>
      </c>
      <c r="O825" s="574" t="s">
        <v>2759</v>
      </c>
      <c r="P825" s="574" t="s">
        <v>2932</v>
      </c>
      <c r="Q825" s="574" t="s">
        <v>2234</v>
      </c>
      <c r="R825" s="574" t="s">
        <v>2225</v>
      </c>
      <c r="S825" s="574" t="s">
        <v>2737</v>
      </c>
      <c r="T825" s="574" t="s">
        <v>2738</v>
      </c>
      <c r="U825" s="574" t="s">
        <v>3462</v>
      </c>
      <c r="V825" s="574" t="s">
        <v>2238</v>
      </c>
      <c r="W825" s="574" t="s">
        <v>2239</v>
      </c>
      <c r="X825" s="574" t="s">
        <v>3074</v>
      </c>
      <c r="Y825" s="575" t="s">
        <v>2669</v>
      </c>
      <c r="Z825" s="575" t="s">
        <v>2669</v>
      </c>
      <c r="AA825" s="574" t="s">
        <v>1691</v>
      </c>
      <c r="AB825" s="574" t="s">
        <v>2297</v>
      </c>
      <c r="AC825" s="574" t="s">
        <v>2298</v>
      </c>
      <c r="AD825" s="574" t="s">
        <v>2299</v>
      </c>
      <c r="AE825" s="574" t="s">
        <v>1468</v>
      </c>
      <c r="AF825" s="574" t="s">
        <v>2299</v>
      </c>
      <c r="AG825" s="576">
        <v>199000</v>
      </c>
      <c r="AH825" s="576">
        <v>0</v>
      </c>
    </row>
    <row r="826" spans="1:34" customFormat="1" x14ac:dyDescent="0.25">
      <c r="A826" s="574" t="s">
        <v>2219</v>
      </c>
      <c r="B826" s="574" t="s">
        <v>2220</v>
      </c>
      <c r="C826" s="574" t="s">
        <v>2221</v>
      </c>
      <c r="D826" s="574" t="s">
        <v>2220</v>
      </c>
      <c r="E826" s="574" t="s">
        <v>2222</v>
      </c>
      <c r="F826" s="574" t="s">
        <v>2223</v>
      </c>
      <c r="G826" s="574" t="s">
        <v>2224</v>
      </c>
      <c r="H826" s="574" t="s">
        <v>2225</v>
      </c>
      <c r="I826" s="574" t="s">
        <v>2226</v>
      </c>
      <c r="J826" s="574" t="s">
        <v>2227</v>
      </c>
      <c r="K826" s="574" t="s">
        <v>2228</v>
      </c>
      <c r="L826" s="574" t="s">
        <v>2229</v>
      </c>
      <c r="M826" s="574" t="s">
        <v>2230</v>
      </c>
      <c r="N826" s="574" t="s">
        <v>2231</v>
      </c>
      <c r="O826" s="574" t="s">
        <v>2759</v>
      </c>
      <c r="P826" s="574" t="s">
        <v>2932</v>
      </c>
      <c r="Q826" s="574" t="s">
        <v>2234</v>
      </c>
      <c r="R826" s="574" t="s">
        <v>2225</v>
      </c>
      <c r="S826" s="574" t="s">
        <v>2737</v>
      </c>
      <c r="T826" s="574" t="s">
        <v>2738</v>
      </c>
      <c r="U826" s="574" t="s">
        <v>3463</v>
      </c>
      <c r="V826" s="574" t="s">
        <v>2238</v>
      </c>
      <c r="W826" s="574" t="s">
        <v>2239</v>
      </c>
      <c r="X826" s="574" t="s">
        <v>3076</v>
      </c>
      <c r="Y826" s="575" t="s">
        <v>2669</v>
      </c>
      <c r="Z826" s="575" t="s">
        <v>2669</v>
      </c>
      <c r="AA826" s="574" t="s">
        <v>1691</v>
      </c>
      <c r="AB826" s="574" t="s">
        <v>2297</v>
      </c>
      <c r="AC826" s="574" t="s">
        <v>2298</v>
      </c>
      <c r="AD826" s="574" t="s">
        <v>2299</v>
      </c>
      <c r="AE826" s="574" t="s">
        <v>1468</v>
      </c>
      <c r="AF826" s="574" t="s">
        <v>2299</v>
      </c>
      <c r="AG826" s="576">
        <v>138250</v>
      </c>
      <c r="AH826" s="576">
        <v>0</v>
      </c>
    </row>
    <row r="827" spans="1:34" customFormat="1" x14ac:dyDescent="0.25">
      <c r="A827" s="574" t="s">
        <v>2219</v>
      </c>
      <c r="B827" s="574" t="s">
        <v>2220</v>
      </c>
      <c r="C827" s="574" t="s">
        <v>2221</v>
      </c>
      <c r="D827" s="574" t="s">
        <v>2220</v>
      </c>
      <c r="E827" s="574" t="s">
        <v>2222</v>
      </c>
      <c r="F827" s="574" t="s">
        <v>2223</v>
      </c>
      <c r="G827" s="574" t="s">
        <v>2224</v>
      </c>
      <c r="H827" s="574" t="s">
        <v>2225</v>
      </c>
      <c r="I827" s="574" t="s">
        <v>2226</v>
      </c>
      <c r="J827" s="574" t="s">
        <v>2227</v>
      </c>
      <c r="K827" s="574" t="s">
        <v>2228</v>
      </c>
      <c r="L827" s="574" t="s">
        <v>2229</v>
      </c>
      <c r="M827" s="574" t="s">
        <v>2230</v>
      </c>
      <c r="N827" s="574" t="s">
        <v>2231</v>
      </c>
      <c r="O827" s="574" t="s">
        <v>2759</v>
      </c>
      <c r="P827" s="574" t="s">
        <v>2932</v>
      </c>
      <c r="Q827" s="574" t="s">
        <v>2234</v>
      </c>
      <c r="R827" s="574" t="s">
        <v>2225</v>
      </c>
      <c r="S827" s="574" t="s">
        <v>2737</v>
      </c>
      <c r="T827" s="574" t="s">
        <v>2738</v>
      </c>
      <c r="U827" s="574" t="s">
        <v>3464</v>
      </c>
      <c r="V827" s="574" t="s">
        <v>2238</v>
      </c>
      <c r="W827" s="574" t="s">
        <v>2239</v>
      </c>
      <c r="X827" s="574" t="s">
        <v>3078</v>
      </c>
      <c r="Y827" s="575" t="s">
        <v>2669</v>
      </c>
      <c r="Z827" s="575" t="s">
        <v>2669</v>
      </c>
      <c r="AA827" s="574" t="s">
        <v>1691</v>
      </c>
      <c r="AB827" s="574" t="s">
        <v>2297</v>
      </c>
      <c r="AC827" s="574" t="s">
        <v>2298</v>
      </c>
      <c r="AD827" s="574" t="s">
        <v>2299</v>
      </c>
      <c r="AE827" s="574" t="s">
        <v>1468</v>
      </c>
      <c r="AF827" s="574" t="s">
        <v>2299</v>
      </c>
      <c r="AG827" s="576">
        <v>41250</v>
      </c>
      <c r="AH827" s="576">
        <v>0</v>
      </c>
    </row>
    <row r="828" spans="1:34" customFormat="1" x14ac:dyDescent="0.25">
      <c r="A828" s="574" t="s">
        <v>2219</v>
      </c>
      <c r="B828" s="574" t="s">
        <v>2220</v>
      </c>
      <c r="C828" s="574" t="s">
        <v>2221</v>
      </c>
      <c r="D828" s="574" t="s">
        <v>2220</v>
      </c>
      <c r="E828" s="574" t="s">
        <v>2222</v>
      </c>
      <c r="F828" s="574" t="s">
        <v>2223</v>
      </c>
      <c r="G828" s="574" t="s">
        <v>2224</v>
      </c>
      <c r="H828" s="574" t="s">
        <v>2225</v>
      </c>
      <c r="I828" s="574" t="s">
        <v>2226</v>
      </c>
      <c r="J828" s="574" t="s">
        <v>2227</v>
      </c>
      <c r="K828" s="574" t="s">
        <v>2228</v>
      </c>
      <c r="L828" s="574" t="s">
        <v>2229</v>
      </c>
      <c r="M828" s="574" t="s">
        <v>2230</v>
      </c>
      <c r="N828" s="574" t="s">
        <v>2231</v>
      </c>
      <c r="O828" s="574" t="s">
        <v>2759</v>
      </c>
      <c r="P828" s="574" t="s">
        <v>2932</v>
      </c>
      <c r="Q828" s="574" t="s">
        <v>2234</v>
      </c>
      <c r="R828" s="574" t="s">
        <v>2225</v>
      </c>
      <c r="S828" s="574" t="s">
        <v>2737</v>
      </c>
      <c r="T828" s="574" t="s">
        <v>2738</v>
      </c>
      <c r="U828" s="574" t="s">
        <v>3465</v>
      </c>
      <c r="V828" s="574" t="s">
        <v>2238</v>
      </c>
      <c r="W828" s="574" t="s">
        <v>2239</v>
      </c>
      <c r="X828" s="574" t="s">
        <v>3092</v>
      </c>
      <c r="Y828" s="575" t="s">
        <v>2669</v>
      </c>
      <c r="Z828" s="575" t="s">
        <v>2669</v>
      </c>
      <c r="AA828" s="574" t="s">
        <v>1691</v>
      </c>
      <c r="AB828" s="574" t="s">
        <v>2297</v>
      </c>
      <c r="AC828" s="574" t="s">
        <v>2298</v>
      </c>
      <c r="AD828" s="574" t="s">
        <v>2299</v>
      </c>
      <c r="AE828" s="574" t="s">
        <v>1468</v>
      </c>
      <c r="AF828" s="574" t="s">
        <v>2299</v>
      </c>
      <c r="AG828" s="576">
        <v>85000</v>
      </c>
      <c r="AH828" s="576">
        <v>0</v>
      </c>
    </row>
    <row r="829" spans="1:34" customFormat="1" x14ac:dyDescent="0.25">
      <c r="A829" s="574" t="s">
        <v>2219</v>
      </c>
      <c r="B829" s="574" t="s">
        <v>2220</v>
      </c>
      <c r="C829" s="574" t="s">
        <v>2221</v>
      </c>
      <c r="D829" s="574" t="s">
        <v>2220</v>
      </c>
      <c r="E829" s="574" t="s">
        <v>2222</v>
      </c>
      <c r="F829" s="574" t="s">
        <v>2223</v>
      </c>
      <c r="G829" s="574" t="s">
        <v>2224</v>
      </c>
      <c r="H829" s="574" t="s">
        <v>2225</v>
      </c>
      <c r="I829" s="574" t="s">
        <v>2226</v>
      </c>
      <c r="J829" s="574" t="s">
        <v>2227</v>
      </c>
      <c r="K829" s="574" t="s">
        <v>2228</v>
      </c>
      <c r="L829" s="574" t="s">
        <v>2229</v>
      </c>
      <c r="M829" s="574" t="s">
        <v>2230</v>
      </c>
      <c r="N829" s="574" t="s">
        <v>2231</v>
      </c>
      <c r="O829" s="574" t="s">
        <v>2759</v>
      </c>
      <c r="P829" s="574" t="s">
        <v>2932</v>
      </c>
      <c r="Q829" s="574" t="s">
        <v>2234</v>
      </c>
      <c r="R829" s="574" t="s">
        <v>2225</v>
      </c>
      <c r="S829" s="574" t="s">
        <v>2737</v>
      </c>
      <c r="T829" s="574" t="s">
        <v>2738</v>
      </c>
      <c r="U829" s="574" t="s">
        <v>3466</v>
      </c>
      <c r="V829" s="574" t="s">
        <v>2238</v>
      </c>
      <c r="W829" s="574" t="s">
        <v>2239</v>
      </c>
      <c r="X829" s="574" t="s">
        <v>3384</v>
      </c>
      <c r="Y829" s="575" t="s">
        <v>2669</v>
      </c>
      <c r="Z829" s="575" t="s">
        <v>2669</v>
      </c>
      <c r="AA829" s="574" t="s">
        <v>1693</v>
      </c>
      <c r="AB829" s="574" t="s">
        <v>2319</v>
      </c>
      <c r="AC829" s="574" t="s">
        <v>2320</v>
      </c>
      <c r="AD829" s="574" t="s">
        <v>2321</v>
      </c>
      <c r="AE829" s="574" t="s">
        <v>1446</v>
      </c>
      <c r="AF829" s="574" t="s">
        <v>2321</v>
      </c>
      <c r="AG829" s="576">
        <v>212400</v>
      </c>
      <c r="AH829" s="576">
        <v>0</v>
      </c>
    </row>
    <row r="830" spans="1:34" customFormat="1" x14ac:dyDescent="0.25">
      <c r="A830" s="574" t="s">
        <v>2219</v>
      </c>
      <c r="B830" s="574" t="s">
        <v>2220</v>
      </c>
      <c r="C830" s="574" t="s">
        <v>2221</v>
      </c>
      <c r="D830" s="574" t="s">
        <v>2220</v>
      </c>
      <c r="E830" s="574" t="s">
        <v>2222</v>
      </c>
      <c r="F830" s="574" t="s">
        <v>2223</v>
      </c>
      <c r="G830" s="574" t="s">
        <v>2224</v>
      </c>
      <c r="H830" s="574" t="s">
        <v>2225</v>
      </c>
      <c r="I830" s="574" t="s">
        <v>2226</v>
      </c>
      <c r="J830" s="574" t="s">
        <v>2227</v>
      </c>
      <c r="K830" s="574" t="s">
        <v>2228</v>
      </c>
      <c r="L830" s="574" t="s">
        <v>2229</v>
      </c>
      <c r="M830" s="574" t="s">
        <v>2230</v>
      </c>
      <c r="N830" s="574" t="s">
        <v>2231</v>
      </c>
      <c r="O830" s="574" t="s">
        <v>2759</v>
      </c>
      <c r="P830" s="574" t="s">
        <v>2932</v>
      </c>
      <c r="Q830" s="574" t="s">
        <v>2234</v>
      </c>
      <c r="R830" s="574" t="s">
        <v>2225</v>
      </c>
      <c r="S830" s="574" t="s">
        <v>2737</v>
      </c>
      <c r="T830" s="574" t="s">
        <v>2738</v>
      </c>
      <c r="U830" s="574" t="s">
        <v>3466</v>
      </c>
      <c r="V830" s="574" t="s">
        <v>2238</v>
      </c>
      <c r="W830" s="574" t="s">
        <v>2239</v>
      </c>
      <c r="X830" s="574" t="s">
        <v>3384</v>
      </c>
      <c r="Y830" s="575" t="s">
        <v>2669</v>
      </c>
      <c r="Z830" s="575" t="s">
        <v>2517</v>
      </c>
      <c r="AA830" s="574" t="s">
        <v>1693</v>
      </c>
      <c r="AB830" s="574" t="s">
        <v>2319</v>
      </c>
      <c r="AC830" s="574" t="s">
        <v>2320</v>
      </c>
      <c r="AD830" s="574" t="s">
        <v>2321</v>
      </c>
      <c r="AE830" s="574" t="s">
        <v>1446</v>
      </c>
      <c r="AF830" s="574" t="s">
        <v>2321</v>
      </c>
      <c r="AG830" s="576">
        <v>-212400</v>
      </c>
      <c r="AH830" s="576">
        <v>0</v>
      </c>
    </row>
    <row r="831" spans="1:34" customFormat="1" x14ac:dyDescent="0.25">
      <c r="A831" s="574" t="s">
        <v>2219</v>
      </c>
      <c r="B831" s="574" t="s">
        <v>2220</v>
      </c>
      <c r="C831" s="574" t="s">
        <v>2221</v>
      </c>
      <c r="D831" s="574" t="s">
        <v>2220</v>
      </c>
      <c r="E831" s="574" t="s">
        <v>2222</v>
      </c>
      <c r="F831" s="574" t="s">
        <v>2223</v>
      </c>
      <c r="G831" s="574" t="s">
        <v>2224</v>
      </c>
      <c r="H831" s="574" t="s">
        <v>2225</v>
      </c>
      <c r="I831" s="574" t="s">
        <v>2226</v>
      </c>
      <c r="J831" s="574" t="s">
        <v>2227</v>
      </c>
      <c r="K831" s="574" t="s">
        <v>2228</v>
      </c>
      <c r="L831" s="574" t="s">
        <v>2229</v>
      </c>
      <c r="M831" s="574" t="s">
        <v>2230</v>
      </c>
      <c r="N831" s="574" t="s">
        <v>2231</v>
      </c>
      <c r="O831" s="574" t="s">
        <v>2759</v>
      </c>
      <c r="P831" s="574" t="s">
        <v>2932</v>
      </c>
      <c r="Q831" s="574" t="s">
        <v>2234</v>
      </c>
      <c r="R831" s="574" t="s">
        <v>2225</v>
      </c>
      <c r="S831" s="574" t="s">
        <v>2737</v>
      </c>
      <c r="T831" s="574" t="s">
        <v>2738</v>
      </c>
      <c r="U831" s="574" t="s">
        <v>3467</v>
      </c>
      <c r="V831" s="574" t="s">
        <v>2238</v>
      </c>
      <c r="W831" s="574" t="s">
        <v>2239</v>
      </c>
      <c r="X831" s="574" t="s">
        <v>3067</v>
      </c>
      <c r="Y831" s="575" t="s">
        <v>2669</v>
      </c>
      <c r="Z831" s="575" t="s">
        <v>2669</v>
      </c>
      <c r="AA831" s="574" t="s">
        <v>1693</v>
      </c>
      <c r="AB831" s="574" t="s">
        <v>2319</v>
      </c>
      <c r="AC831" s="574" t="s">
        <v>2320</v>
      </c>
      <c r="AD831" s="574" t="s">
        <v>2321</v>
      </c>
      <c r="AE831" s="574" t="s">
        <v>1446</v>
      </c>
      <c r="AF831" s="574" t="s">
        <v>2321</v>
      </c>
      <c r="AG831" s="576">
        <v>843200</v>
      </c>
      <c r="AH831" s="576">
        <v>0</v>
      </c>
    </row>
    <row r="832" spans="1:34" customFormat="1" x14ac:dyDescent="0.25">
      <c r="A832" s="574" t="s">
        <v>2219</v>
      </c>
      <c r="B832" s="574" t="s">
        <v>2220</v>
      </c>
      <c r="C832" s="574" t="s">
        <v>2221</v>
      </c>
      <c r="D832" s="574" t="s">
        <v>2220</v>
      </c>
      <c r="E832" s="574" t="s">
        <v>2222</v>
      </c>
      <c r="F832" s="574" t="s">
        <v>2223</v>
      </c>
      <c r="G832" s="574" t="s">
        <v>2224</v>
      </c>
      <c r="H832" s="574" t="s">
        <v>2225</v>
      </c>
      <c r="I832" s="574" t="s">
        <v>2226</v>
      </c>
      <c r="J832" s="574" t="s">
        <v>2227</v>
      </c>
      <c r="K832" s="574" t="s">
        <v>2228</v>
      </c>
      <c r="L832" s="574" t="s">
        <v>2229</v>
      </c>
      <c r="M832" s="574" t="s">
        <v>2230</v>
      </c>
      <c r="N832" s="574" t="s">
        <v>2231</v>
      </c>
      <c r="O832" s="574" t="s">
        <v>2759</v>
      </c>
      <c r="P832" s="574" t="s">
        <v>2932</v>
      </c>
      <c r="Q832" s="574" t="s">
        <v>2234</v>
      </c>
      <c r="R832" s="574" t="s">
        <v>2225</v>
      </c>
      <c r="S832" s="574" t="s">
        <v>2737</v>
      </c>
      <c r="T832" s="574" t="s">
        <v>2738</v>
      </c>
      <c r="U832" s="574" t="s">
        <v>3468</v>
      </c>
      <c r="V832" s="574" t="s">
        <v>2238</v>
      </c>
      <c r="W832" s="574" t="s">
        <v>2239</v>
      </c>
      <c r="X832" s="574" t="s">
        <v>3082</v>
      </c>
      <c r="Y832" s="575" t="s">
        <v>2669</v>
      </c>
      <c r="Z832" s="575" t="s">
        <v>2669</v>
      </c>
      <c r="AA832" s="574" t="s">
        <v>1691</v>
      </c>
      <c r="AB832" s="574" t="s">
        <v>2297</v>
      </c>
      <c r="AC832" s="574" t="s">
        <v>2298</v>
      </c>
      <c r="AD832" s="574" t="s">
        <v>2299</v>
      </c>
      <c r="AE832" s="574" t="s">
        <v>1468</v>
      </c>
      <c r="AF832" s="574" t="s">
        <v>2299</v>
      </c>
      <c r="AG832" s="576">
        <v>142500</v>
      </c>
      <c r="AH832" s="576">
        <v>0</v>
      </c>
    </row>
    <row r="833" spans="1:34" customFormat="1" x14ac:dyDescent="0.25">
      <c r="A833" s="574" t="s">
        <v>2219</v>
      </c>
      <c r="B833" s="574" t="s">
        <v>2220</v>
      </c>
      <c r="C833" s="574" t="s">
        <v>2221</v>
      </c>
      <c r="D833" s="574" t="s">
        <v>2220</v>
      </c>
      <c r="E833" s="574" t="s">
        <v>2222</v>
      </c>
      <c r="F833" s="574" t="s">
        <v>2223</v>
      </c>
      <c r="G833" s="574" t="s">
        <v>2224</v>
      </c>
      <c r="H833" s="574" t="s">
        <v>2225</v>
      </c>
      <c r="I833" s="574" t="s">
        <v>2226</v>
      </c>
      <c r="J833" s="574" t="s">
        <v>2227</v>
      </c>
      <c r="K833" s="574" t="s">
        <v>2228</v>
      </c>
      <c r="L833" s="574" t="s">
        <v>2229</v>
      </c>
      <c r="M833" s="574" t="s">
        <v>2230</v>
      </c>
      <c r="N833" s="574" t="s">
        <v>2231</v>
      </c>
      <c r="O833" s="574" t="s">
        <v>2759</v>
      </c>
      <c r="P833" s="574" t="s">
        <v>2932</v>
      </c>
      <c r="Q833" s="574" t="s">
        <v>2234</v>
      </c>
      <c r="R833" s="574" t="s">
        <v>2225</v>
      </c>
      <c r="S833" s="574" t="s">
        <v>2737</v>
      </c>
      <c r="T833" s="574" t="s">
        <v>2738</v>
      </c>
      <c r="U833" s="574" t="s">
        <v>3468</v>
      </c>
      <c r="V833" s="574" t="s">
        <v>2238</v>
      </c>
      <c r="W833" s="574" t="s">
        <v>2239</v>
      </c>
      <c r="X833" s="574" t="s">
        <v>3082</v>
      </c>
      <c r="Y833" s="575" t="s">
        <v>2669</v>
      </c>
      <c r="Z833" s="575" t="s">
        <v>2669</v>
      </c>
      <c r="AA833" s="574" t="s">
        <v>1693</v>
      </c>
      <c r="AB833" s="574" t="s">
        <v>2319</v>
      </c>
      <c r="AC833" s="574" t="s">
        <v>2320</v>
      </c>
      <c r="AD833" s="574" t="s">
        <v>2321</v>
      </c>
      <c r="AE833" s="574" t="s">
        <v>1446</v>
      </c>
      <c r="AF833" s="574" t="s">
        <v>2321</v>
      </c>
      <c r="AG833" s="576">
        <v>78750</v>
      </c>
      <c r="AH833" s="576">
        <v>0</v>
      </c>
    </row>
    <row r="834" spans="1:34" customFormat="1" x14ac:dyDescent="0.25">
      <c r="A834" s="574" t="s">
        <v>2219</v>
      </c>
      <c r="B834" s="574" t="s">
        <v>2220</v>
      </c>
      <c r="C834" s="574" t="s">
        <v>2221</v>
      </c>
      <c r="D834" s="574" t="s">
        <v>2220</v>
      </c>
      <c r="E834" s="574" t="s">
        <v>2222</v>
      </c>
      <c r="F834" s="574" t="s">
        <v>2223</v>
      </c>
      <c r="G834" s="574" t="s">
        <v>2224</v>
      </c>
      <c r="H834" s="574" t="s">
        <v>2225</v>
      </c>
      <c r="I834" s="574" t="s">
        <v>2226</v>
      </c>
      <c r="J834" s="574" t="s">
        <v>2227</v>
      </c>
      <c r="K834" s="574" t="s">
        <v>2228</v>
      </c>
      <c r="L834" s="574" t="s">
        <v>2229</v>
      </c>
      <c r="M834" s="574" t="s">
        <v>2230</v>
      </c>
      <c r="N834" s="574" t="s">
        <v>2231</v>
      </c>
      <c r="O834" s="574" t="s">
        <v>2759</v>
      </c>
      <c r="P834" s="574" t="s">
        <v>2932</v>
      </c>
      <c r="Q834" s="574" t="s">
        <v>2234</v>
      </c>
      <c r="R834" s="574" t="s">
        <v>2225</v>
      </c>
      <c r="S834" s="574" t="s">
        <v>2737</v>
      </c>
      <c r="T834" s="574" t="s">
        <v>2738</v>
      </c>
      <c r="U834" s="574" t="s">
        <v>3469</v>
      </c>
      <c r="V834" s="574" t="s">
        <v>2238</v>
      </c>
      <c r="W834" s="574" t="s">
        <v>2239</v>
      </c>
      <c r="X834" s="574" t="s">
        <v>3065</v>
      </c>
      <c r="Y834" s="575" t="s">
        <v>2669</v>
      </c>
      <c r="Z834" s="575" t="s">
        <v>2669</v>
      </c>
      <c r="AA834" s="574" t="s">
        <v>1693</v>
      </c>
      <c r="AB834" s="574" t="s">
        <v>2319</v>
      </c>
      <c r="AC834" s="574" t="s">
        <v>2320</v>
      </c>
      <c r="AD834" s="574" t="s">
        <v>2321</v>
      </c>
      <c r="AE834" s="574" t="s">
        <v>1446</v>
      </c>
      <c r="AF834" s="574" t="s">
        <v>2321</v>
      </c>
      <c r="AG834" s="576">
        <v>44250</v>
      </c>
      <c r="AH834" s="576">
        <v>0</v>
      </c>
    </row>
    <row r="835" spans="1:34" customFormat="1" x14ac:dyDescent="0.25">
      <c r="A835" s="574" t="s">
        <v>2219</v>
      </c>
      <c r="B835" s="574" t="s">
        <v>2220</v>
      </c>
      <c r="C835" s="574" t="s">
        <v>2221</v>
      </c>
      <c r="D835" s="574" t="s">
        <v>2220</v>
      </c>
      <c r="E835" s="574" t="s">
        <v>2222</v>
      </c>
      <c r="F835" s="574" t="s">
        <v>2223</v>
      </c>
      <c r="G835" s="574" t="s">
        <v>2224</v>
      </c>
      <c r="H835" s="574" t="s">
        <v>2225</v>
      </c>
      <c r="I835" s="574" t="s">
        <v>2226</v>
      </c>
      <c r="J835" s="574" t="s">
        <v>2227</v>
      </c>
      <c r="K835" s="574" t="s">
        <v>2228</v>
      </c>
      <c r="L835" s="574" t="s">
        <v>2229</v>
      </c>
      <c r="M835" s="574" t="s">
        <v>2230</v>
      </c>
      <c r="N835" s="574" t="s">
        <v>2231</v>
      </c>
      <c r="O835" s="574" t="s">
        <v>2759</v>
      </c>
      <c r="P835" s="574" t="s">
        <v>2932</v>
      </c>
      <c r="Q835" s="574" t="s">
        <v>2234</v>
      </c>
      <c r="R835" s="574" t="s">
        <v>2225</v>
      </c>
      <c r="S835" s="574" t="s">
        <v>2737</v>
      </c>
      <c r="T835" s="574" t="s">
        <v>2738</v>
      </c>
      <c r="U835" s="574" t="s">
        <v>3470</v>
      </c>
      <c r="V835" s="574" t="s">
        <v>2238</v>
      </c>
      <c r="W835" s="574" t="s">
        <v>2239</v>
      </c>
      <c r="X835" s="574" t="s">
        <v>3084</v>
      </c>
      <c r="Y835" s="575" t="s">
        <v>2669</v>
      </c>
      <c r="Z835" s="575" t="s">
        <v>2669</v>
      </c>
      <c r="AA835" s="574" t="s">
        <v>1693</v>
      </c>
      <c r="AB835" s="574" t="s">
        <v>2319</v>
      </c>
      <c r="AC835" s="574" t="s">
        <v>2320</v>
      </c>
      <c r="AD835" s="574" t="s">
        <v>2321</v>
      </c>
      <c r="AE835" s="574" t="s">
        <v>1446</v>
      </c>
      <c r="AF835" s="574" t="s">
        <v>2321</v>
      </c>
      <c r="AG835" s="576">
        <v>177000</v>
      </c>
      <c r="AH835" s="576">
        <v>0</v>
      </c>
    </row>
    <row r="836" spans="1:34" customFormat="1" x14ac:dyDescent="0.25">
      <c r="A836" s="574" t="s">
        <v>2219</v>
      </c>
      <c r="B836" s="574" t="s">
        <v>2220</v>
      </c>
      <c r="C836" s="574" t="s">
        <v>2221</v>
      </c>
      <c r="D836" s="574" t="s">
        <v>2220</v>
      </c>
      <c r="E836" s="574" t="s">
        <v>2222</v>
      </c>
      <c r="F836" s="574" t="s">
        <v>2223</v>
      </c>
      <c r="G836" s="574" t="s">
        <v>2224</v>
      </c>
      <c r="H836" s="574" t="s">
        <v>2225</v>
      </c>
      <c r="I836" s="574" t="s">
        <v>2226</v>
      </c>
      <c r="J836" s="574" t="s">
        <v>2227</v>
      </c>
      <c r="K836" s="574" t="s">
        <v>2228</v>
      </c>
      <c r="L836" s="574" t="s">
        <v>2229</v>
      </c>
      <c r="M836" s="574" t="s">
        <v>2230</v>
      </c>
      <c r="N836" s="574" t="s">
        <v>2231</v>
      </c>
      <c r="O836" s="574" t="s">
        <v>2759</v>
      </c>
      <c r="P836" s="574" t="s">
        <v>2932</v>
      </c>
      <c r="Q836" s="574" t="s">
        <v>2234</v>
      </c>
      <c r="R836" s="574" t="s">
        <v>2225</v>
      </c>
      <c r="S836" s="574" t="s">
        <v>2737</v>
      </c>
      <c r="T836" s="574" t="s">
        <v>2738</v>
      </c>
      <c r="U836" s="574" t="s">
        <v>3471</v>
      </c>
      <c r="V836" s="574" t="s">
        <v>2238</v>
      </c>
      <c r="W836" s="574" t="s">
        <v>2239</v>
      </c>
      <c r="X836" s="574" t="s">
        <v>3385</v>
      </c>
      <c r="Y836" s="575" t="s">
        <v>2669</v>
      </c>
      <c r="Z836" s="575" t="s">
        <v>2669</v>
      </c>
      <c r="AA836" s="574" t="s">
        <v>1691</v>
      </c>
      <c r="AB836" s="574" t="s">
        <v>2297</v>
      </c>
      <c r="AC836" s="574" t="s">
        <v>2298</v>
      </c>
      <c r="AD836" s="574" t="s">
        <v>2299</v>
      </c>
      <c r="AE836" s="574" t="s">
        <v>1468</v>
      </c>
      <c r="AF836" s="574" t="s">
        <v>2299</v>
      </c>
      <c r="AG836" s="576">
        <v>213260</v>
      </c>
      <c r="AH836" s="576">
        <v>0</v>
      </c>
    </row>
    <row r="837" spans="1:34" customFormat="1" x14ac:dyDescent="0.25">
      <c r="A837" s="574" t="s">
        <v>2219</v>
      </c>
      <c r="B837" s="574" t="s">
        <v>2220</v>
      </c>
      <c r="C837" s="574" t="s">
        <v>2221</v>
      </c>
      <c r="D837" s="574" t="s">
        <v>2220</v>
      </c>
      <c r="E837" s="574" t="s">
        <v>2222</v>
      </c>
      <c r="F837" s="574" t="s">
        <v>2223</v>
      </c>
      <c r="G837" s="574" t="s">
        <v>2224</v>
      </c>
      <c r="H837" s="574" t="s">
        <v>2225</v>
      </c>
      <c r="I837" s="574" t="s">
        <v>2226</v>
      </c>
      <c r="J837" s="574" t="s">
        <v>2227</v>
      </c>
      <c r="K837" s="574" t="s">
        <v>2228</v>
      </c>
      <c r="L837" s="574" t="s">
        <v>2229</v>
      </c>
      <c r="M837" s="574" t="s">
        <v>2230</v>
      </c>
      <c r="N837" s="574" t="s">
        <v>2231</v>
      </c>
      <c r="O837" s="574" t="s">
        <v>2759</v>
      </c>
      <c r="P837" s="574" t="s">
        <v>2932</v>
      </c>
      <c r="Q837" s="574" t="s">
        <v>2234</v>
      </c>
      <c r="R837" s="574" t="s">
        <v>2225</v>
      </c>
      <c r="S837" s="574" t="s">
        <v>2737</v>
      </c>
      <c r="T837" s="574" t="s">
        <v>2738</v>
      </c>
      <c r="U837" s="574" t="s">
        <v>3472</v>
      </c>
      <c r="V837" s="574" t="s">
        <v>2238</v>
      </c>
      <c r="W837" s="574" t="s">
        <v>2239</v>
      </c>
      <c r="X837" s="574" t="s">
        <v>3324</v>
      </c>
      <c r="Y837" s="575" t="s">
        <v>2665</v>
      </c>
      <c r="Z837" s="575" t="s">
        <v>2665</v>
      </c>
      <c r="AA837" s="574" t="s">
        <v>1686</v>
      </c>
      <c r="AB837" s="574" t="s">
        <v>2965</v>
      </c>
      <c r="AC837" s="574" t="s">
        <v>3300</v>
      </c>
      <c r="AD837" s="574" t="s">
        <v>3301</v>
      </c>
      <c r="AE837" s="574" t="s">
        <v>3318</v>
      </c>
      <c r="AF837" s="574" t="s">
        <v>3319</v>
      </c>
      <c r="AG837" s="576">
        <v>834043</v>
      </c>
      <c r="AH837" s="576">
        <v>0</v>
      </c>
    </row>
    <row r="838" spans="1:34" customFormat="1" x14ac:dyDescent="0.25">
      <c r="A838" s="574" t="s">
        <v>2219</v>
      </c>
      <c r="B838" s="574" t="s">
        <v>2220</v>
      </c>
      <c r="C838" s="574" t="s">
        <v>2221</v>
      </c>
      <c r="D838" s="574" t="s">
        <v>2220</v>
      </c>
      <c r="E838" s="574" t="s">
        <v>2222</v>
      </c>
      <c r="F838" s="574" t="s">
        <v>2223</v>
      </c>
      <c r="G838" s="574" t="s">
        <v>2224</v>
      </c>
      <c r="H838" s="574" t="s">
        <v>2225</v>
      </c>
      <c r="I838" s="574" t="s">
        <v>2226</v>
      </c>
      <c r="J838" s="574" t="s">
        <v>2227</v>
      </c>
      <c r="K838" s="574" t="s">
        <v>2228</v>
      </c>
      <c r="L838" s="574" t="s">
        <v>2229</v>
      </c>
      <c r="M838" s="574" t="s">
        <v>2230</v>
      </c>
      <c r="N838" s="574" t="s">
        <v>2231</v>
      </c>
      <c r="O838" s="574" t="s">
        <v>2759</v>
      </c>
      <c r="P838" s="574" t="s">
        <v>2932</v>
      </c>
      <c r="Q838" s="574" t="s">
        <v>2234</v>
      </c>
      <c r="R838" s="574" t="s">
        <v>2225</v>
      </c>
      <c r="S838" s="574" t="s">
        <v>2737</v>
      </c>
      <c r="T838" s="574" t="s">
        <v>2738</v>
      </c>
      <c r="U838" s="574" t="s">
        <v>3473</v>
      </c>
      <c r="V838" s="574" t="s">
        <v>2238</v>
      </c>
      <c r="W838" s="574" t="s">
        <v>2239</v>
      </c>
      <c r="X838" s="574" t="s">
        <v>3086</v>
      </c>
      <c r="Y838" s="575" t="s">
        <v>2665</v>
      </c>
      <c r="Z838" s="575" t="s">
        <v>2665</v>
      </c>
      <c r="AA838" s="574" t="s">
        <v>1693</v>
      </c>
      <c r="AB838" s="574" t="s">
        <v>2319</v>
      </c>
      <c r="AC838" s="574" t="s">
        <v>2320</v>
      </c>
      <c r="AD838" s="574" t="s">
        <v>2321</v>
      </c>
      <c r="AE838" s="574" t="s">
        <v>1446</v>
      </c>
      <c r="AF838" s="574" t="s">
        <v>2321</v>
      </c>
      <c r="AG838" s="576">
        <v>15557.41</v>
      </c>
      <c r="AH838" s="576">
        <v>0</v>
      </c>
    </row>
    <row r="839" spans="1:34" customFormat="1" x14ac:dyDescent="0.25">
      <c r="A839" s="574" t="s">
        <v>2219</v>
      </c>
      <c r="B839" s="574" t="s">
        <v>2220</v>
      </c>
      <c r="C839" s="574" t="s">
        <v>2221</v>
      </c>
      <c r="D839" s="574" t="s">
        <v>2220</v>
      </c>
      <c r="E839" s="574" t="s">
        <v>2222</v>
      </c>
      <c r="F839" s="574" t="s">
        <v>2223</v>
      </c>
      <c r="G839" s="574" t="s">
        <v>2224</v>
      </c>
      <c r="H839" s="574" t="s">
        <v>2225</v>
      </c>
      <c r="I839" s="574" t="s">
        <v>2226</v>
      </c>
      <c r="J839" s="574" t="s">
        <v>2227</v>
      </c>
      <c r="K839" s="574" t="s">
        <v>2228</v>
      </c>
      <c r="L839" s="574" t="s">
        <v>2229</v>
      </c>
      <c r="M839" s="574" t="s">
        <v>2230</v>
      </c>
      <c r="N839" s="574" t="s">
        <v>2231</v>
      </c>
      <c r="O839" s="574" t="s">
        <v>2759</v>
      </c>
      <c r="P839" s="574" t="s">
        <v>2932</v>
      </c>
      <c r="Q839" s="574" t="s">
        <v>2234</v>
      </c>
      <c r="R839" s="574" t="s">
        <v>2225</v>
      </c>
      <c r="S839" s="574" t="s">
        <v>2737</v>
      </c>
      <c r="T839" s="574" t="s">
        <v>2738</v>
      </c>
      <c r="U839" s="574" t="s">
        <v>3474</v>
      </c>
      <c r="V839" s="574" t="s">
        <v>2238</v>
      </c>
      <c r="W839" s="574" t="s">
        <v>2239</v>
      </c>
      <c r="X839" s="574" t="s">
        <v>3088</v>
      </c>
      <c r="Y839" s="575" t="s">
        <v>2665</v>
      </c>
      <c r="Z839" s="575" t="s">
        <v>2665</v>
      </c>
      <c r="AA839" s="574" t="s">
        <v>1693</v>
      </c>
      <c r="AB839" s="574" t="s">
        <v>2319</v>
      </c>
      <c r="AC839" s="574" t="s">
        <v>2320</v>
      </c>
      <c r="AD839" s="574" t="s">
        <v>2321</v>
      </c>
      <c r="AE839" s="574" t="s">
        <v>1446</v>
      </c>
      <c r="AF839" s="574" t="s">
        <v>2321</v>
      </c>
      <c r="AG839" s="576">
        <v>10553.92</v>
      </c>
      <c r="AH839" s="576">
        <v>0</v>
      </c>
    </row>
    <row r="840" spans="1:34" customFormat="1" x14ac:dyDescent="0.25">
      <c r="A840" s="574" t="s">
        <v>2219</v>
      </c>
      <c r="B840" s="574" t="s">
        <v>2220</v>
      </c>
      <c r="C840" s="574" t="s">
        <v>2221</v>
      </c>
      <c r="D840" s="574" t="s">
        <v>2220</v>
      </c>
      <c r="E840" s="574" t="s">
        <v>2222</v>
      </c>
      <c r="F840" s="574" t="s">
        <v>2223</v>
      </c>
      <c r="G840" s="574" t="s">
        <v>2224</v>
      </c>
      <c r="H840" s="574" t="s">
        <v>2225</v>
      </c>
      <c r="I840" s="574" t="s">
        <v>2226</v>
      </c>
      <c r="J840" s="574" t="s">
        <v>2227</v>
      </c>
      <c r="K840" s="574" t="s">
        <v>2228</v>
      </c>
      <c r="L840" s="574" t="s">
        <v>2229</v>
      </c>
      <c r="M840" s="574" t="s">
        <v>2230</v>
      </c>
      <c r="N840" s="574" t="s">
        <v>2231</v>
      </c>
      <c r="O840" s="574" t="s">
        <v>2759</v>
      </c>
      <c r="P840" s="574" t="s">
        <v>2932</v>
      </c>
      <c r="Q840" s="574" t="s">
        <v>2234</v>
      </c>
      <c r="R840" s="574" t="s">
        <v>2225</v>
      </c>
      <c r="S840" s="574" t="s">
        <v>2737</v>
      </c>
      <c r="T840" s="574" t="s">
        <v>2738</v>
      </c>
      <c r="U840" s="574" t="s">
        <v>3475</v>
      </c>
      <c r="V840" s="574" t="s">
        <v>2238</v>
      </c>
      <c r="W840" s="574" t="s">
        <v>2239</v>
      </c>
      <c r="X840" s="574" t="s">
        <v>3133</v>
      </c>
      <c r="Y840" s="575" t="s">
        <v>2665</v>
      </c>
      <c r="Z840" s="575" t="s">
        <v>2665</v>
      </c>
      <c r="AA840" s="574" t="s">
        <v>1691</v>
      </c>
      <c r="AB840" s="574" t="s">
        <v>2297</v>
      </c>
      <c r="AC840" s="574" t="s">
        <v>2298</v>
      </c>
      <c r="AD840" s="574" t="s">
        <v>2299</v>
      </c>
      <c r="AE840" s="574" t="s">
        <v>1468</v>
      </c>
      <c r="AF840" s="574" t="s">
        <v>2299</v>
      </c>
      <c r="AG840" s="576">
        <v>17184</v>
      </c>
      <c r="AH840" s="576">
        <v>0</v>
      </c>
    </row>
    <row r="841" spans="1:34" customFormat="1" x14ac:dyDescent="0.25">
      <c r="A841" s="574" t="s">
        <v>2219</v>
      </c>
      <c r="B841" s="574" t="s">
        <v>2220</v>
      </c>
      <c r="C841" s="574" t="s">
        <v>2221</v>
      </c>
      <c r="D841" s="574" t="s">
        <v>2220</v>
      </c>
      <c r="E841" s="574" t="s">
        <v>2222</v>
      </c>
      <c r="F841" s="574" t="s">
        <v>2223</v>
      </c>
      <c r="G841" s="574" t="s">
        <v>2224</v>
      </c>
      <c r="H841" s="574" t="s">
        <v>2225</v>
      </c>
      <c r="I841" s="574" t="s">
        <v>2226</v>
      </c>
      <c r="J841" s="574" t="s">
        <v>2227</v>
      </c>
      <c r="K841" s="574" t="s">
        <v>2228</v>
      </c>
      <c r="L841" s="574" t="s">
        <v>2229</v>
      </c>
      <c r="M841" s="574" t="s">
        <v>2230</v>
      </c>
      <c r="N841" s="574" t="s">
        <v>2231</v>
      </c>
      <c r="O841" s="574" t="s">
        <v>2759</v>
      </c>
      <c r="P841" s="574" t="s">
        <v>2932</v>
      </c>
      <c r="Q841" s="574" t="s">
        <v>2234</v>
      </c>
      <c r="R841" s="574" t="s">
        <v>2225</v>
      </c>
      <c r="S841" s="574" t="s">
        <v>2737</v>
      </c>
      <c r="T841" s="574" t="s">
        <v>2738</v>
      </c>
      <c r="U841" s="574" t="s">
        <v>3476</v>
      </c>
      <c r="V841" s="574" t="s">
        <v>2238</v>
      </c>
      <c r="W841" s="574" t="s">
        <v>2239</v>
      </c>
      <c r="X841" s="574" t="s">
        <v>3090</v>
      </c>
      <c r="Y841" s="575" t="s">
        <v>2665</v>
      </c>
      <c r="Z841" s="575" t="s">
        <v>2665</v>
      </c>
      <c r="AA841" s="574" t="s">
        <v>1693</v>
      </c>
      <c r="AB841" s="574" t="s">
        <v>2319</v>
      </c>
      <c r="AC841" s="574" t="s">
        <v>2320</v>
      </c>
      <c r="AD841" s="574" t="s">
        <v>2321</v>
      </c>
      <c r="AE841" s="574" t="s">
        <v>1446</v>
      </c>
      <c r="AF841" s="574" t="s">
        <v>2321</v>
      </c>
      <c r="AG841" s="576">
        <v>70800</v>
      </c>
      <c r="AH841" s="576">
        <v>0</v>
      </c>
    </row>
    <row r="842" spans="1:34" customFormat="1" x14ac:dyDescent="0.25">
      <c r="A842" s="574" t="s">
        <v>2219</v>
      </c>
      <c r="B842" s="574" t="s">
        <v>2220</v>
      </c>
      <c r="C842" s="574" t="s">
        <v>2221</v>
      </c>
      <c r="D842" s="574" t="s">
        <v>2220</v>
      </c>
      <c r="E842" s="574" t="s">
        <v>2222</v>
      </c>
      <c r="F842" s="574" t="s">
        <v>2223</v>
      </c>
      <c r="G842" s="574" t="s">
        <v>2224</v>
      </c>
      <c r="H842" s="574" t="s">
        <v>2225</v>
      </c>
      <c r="I842" s="574" t="s">
        <v>2226</v>
      </c>
      <c r="J842" s="574" t="s">
        <v>2227</v>
      </c>
      <c r="K842" s="574" t="s">
        <v>2228</v>
      </c>
      <c r="L842" s="574" t="s">
        <v>2229</v>
      </c>
      <c r="M842" s="574" t="s">
        <v>2230</v>
      </c>
      <c r="N842" s="574" t="s">
        <v>2231</v>
      </c>
      <c r="O842" s="574" t="s">
        <v>2759</v>
      </c>
      <c r="P842" s="574" t="s">
        <v>2932</v>
      </c>
      <c r="Q842" s="574" t="s">
        <v>2234</v>
      </c>
      <c r="R842" s="574" t="s">
        <v>2225</v>
      </c>
      <c r="S842" s="574" t="s">
        <v>2737</v>
      </c>
      <c r="T842" s="574" t="s">
        <v>2738</v>
      </c>
      <c r="U842" s="574" t="s">
        <v>3477</v>
      </c>
      <c r="V842" s="574" t="s">
        <v>2238</v>
      </c>
      <c r="W842" s="574" t="s">
        <v>2239</v>
      </c>
      <c r="X842" s="574" t="s">
        <v>3135</v>
      </c>
      <c r="Y842" s="575" t="s">
        <v>2665</v>
      </c>
      <c r="Z842" s="575" t="s">
        <v>2665</v>
      </c>
      <c r="AA842" s="574" t="s">
        <v>1693</v>
      </c>
      <c r="AB842" s="574" t="s">
        <v>2319</v>
      </c>
      <c r="AC842" s="574" t="s">
        <v>2320</v>
      </c>
      <c r="AD842" s="574" t="s">
        <v>2321</v>
      </c>
      <c r="AE842" s="574" t="s">
        <v>1446</v>
      </c>
      <c r="AF842" s="574" t="s">
        <v>2321</v>
      </c>
      <c r="AG842" s="576">
        <v>89970</v>
      </c>
      <c r="AH842" s="576">
        <v>0</v>
      </c>
    </row>
    <row r="843" spans="1:34" customFormat="1" x14ac:dyDescent="0.25">
      <c r="A843" s="574" t="s">
        <v>2219</v>
      </c>
      <c r="B843" s="574" t="s">
        <v>2220</v>
      </c>
      <c r="C843" s="574" t="s">
        <v>2221</v>
      </c>
      <c r="D843" s="574" t="s">
        <v>2220</v>
      </c>
      <c r="E843" s="574" t="s">
        <v>2222</v>
      </c>
      <c r="F843" s="574" t="s">
        <v>2223</v>
      </c>
      <c r="G843" s="574" t="s">
        <v>2224</v>
      </c>
      <c r="H843" s="574" t="s">
        <v>2225</v>
      </c>
      <c r="I843" s="574" t="s">
        <v>2226</v>
      </c>
      <c r="J843" s="574" t="s">
        <v>2227</v>
      </c>
      <c r="K843" s="574" t="s">
        <v>2228</v>
      </c>
      <c r="L843" s="574" t="s">
        <v>2229</v>
      </c>
      <c r="M843" s="574" t="s">
        <v>2230</v>
      </c>
      <c r="N843" s="574" t="s">
        <v>2231</v>
      </c>
      <c r="O843" s="574" t="s">
        <v>2759</v>
      </c>
      <c r="P843" s="574" t="s">
        <v>2932</v>
      </c>
      <c r="Q843" s="574" t="s">
        <v>2234</v>
      </c>
      <c r="R843" s="574" t="s">
        <v>2225</v>
      </c>
      <c r="S843" s="574" t="s">
        <v>2737</v>
      </c>
      <c r="T843" s="574" t="s">
        <v>2738</v>
      </c>
      <c r="U843" s="574" t="s">
        <v>3478</v>
      </c>
      <c r="V843" s="574" t="s">
        <v>2238</v>
      </c>
      <c r="W843" s="574" t="s">
        <v>2239</v>
      </c>
      <c r="X843" s="574" t="s">
        <v>3145</v>
      </c>
      <c r="Y843" s="575" t="s">
        <v>2665</v>
      </c>
      <c r="Z843" s="575" t="s">
        <v>2665</v>
      </c>
      <c r="AA843" s="574" t="s">
        <v>1691</v>
      </c>
      <c r="AB843" s="574" t="s">
        <v>2297</v>
      </c>
      <c r="AC843" s="574" t="s">
        <v>2298</v>
      </c>
      <c r="AD843" s="574" t="s">
        <v>2299</v>
      </c>
      <c r="AE843" s="574" t="s">
        <v>1468</v>
      </c>
      <c r="AF843" s="574" t="s">
        <v>2299</v>
      </c>
      <c r="AG843" s="576">
        <v>85629.6</v>
      </c>
      <c r="AH843" s="576">
        <v>0</v>
      </c>
    </row>
    <row r="844" spans="1:34" customFormat="1" x14ac:dyDescent="0.25">
      <c r="A844" s="574" t="s">
        <v>2219</v>
      </c>
      <c r="B844" s="574" t="s">
        <v>2220</v>
      </c>
      <c r="C844" s="574" t="s">
        <v>2221</v>
      </c>
      <c r="D844" s="574" t="s">
        <v>2220</v>
      </c>
      <c r="E844" s="574" t="s">
        <v>2222</v>
      </c>
      <c r="F844" s="574" t="s">
        <v>2223</v>
      </c>
      <c r="G844" s="574" t="s">
        <v>2224</v>
      </c>
      <c r="H844" s="574" t="s">
        <v>2225</v>
      </c>
      <c r="I844" s="574" t="s">
        <v>2226</v>
      </c>
      <c r="J844" s="574" t="s">
        <v>2227</v>
      </c>
      <c r="K844" s="574" t="s">
        <v>2228</v>
      </c>
      <c r="L844" s="574" t="s">
        <v>2229</v>
      </c>
      <c r="M844" s="574" t="s">
        <v>2230</v>
      </c>
      <c r="N844" s="574" t="s">
        <v>2231</v>
      </c>
      <c r="O844" s="574" t="s">
        <v>2759</v>
      </c>
      <c r="P844" s="574" t="s">
        <v>2932</v>
      </c>
      <c r="Q844" s="574" t="s">
        <v>2234</v>
      </c>
      <c r="R844" s="574" t="s">
        <v>2225</v>
      </c>
      <c r="S844" s="574" t="s">
        <v>2737</v>
      </c>
      <c r="T844" s="574" t="s">
        <v>2738</v>
      </c>
      <c r="U844" s="574" t="s">
        <v>3479</v>
      </c>
      <c r="V844" s="574" t="s">
        <v>2238</v>
      </c>
      <c r="W844" s="574" t="s">
        <v>2239</v>
      </c>
      <c r="X844" s="574" t="s">
        <v>3080</v>
      </c>
      <c r="Y844" s="575" t="s">
        <v>2665</v>
      </c>
      <c r="Z844" s="575" t="s">
        <v>2665</v>
      </c>
      <c r="AA844" s="574" t="s">
        <v>1691</v>
      </c>
      <c r="AB844" s="574" t="s">
        <v>2297</v>
      </c>
      <c r="AC844" s="574" t="s">
        <v>2298</v>
      </c>
      <c r="AD844" s="574" t="s">
        <v>2299</v>
      </c>
      <c r="AE844" s="574" t="s">
        <v>1468</v>
      </c>
      <c r="AF844" s="574" t="s">
        <v>2299</v>
      </c>
      <c r="AG844" s="576">
        <v>141250</v>
      </c>
      <c r="AH844" s="576">
        <v>0</v>
      </c>
    </row>
    <row r="845" spans="1:34" customFormat="1" x14ac:dyDescent="0.25">
      <c r="A845" s="574" t="s">
        <v>2219</v>
      </c>
      <c r="B845" s="574" t="s">
        <v>2220</v>
      </c>
      <c r="C845" s="574" t="s">
        <v>2221</v>
      </c>
      <c r="D845" s="574" t="s">
        <v>2220</v>
      </c>
      <c r="E845" s="574" t="s">
        <v>2222</v>
      </c>
      <c r="F845" s="574" t="s">
        <v>2223</v>
      </c>
      <c r="G845" s="574" t="s">
        <v>2224</v>
      </c>
      <c r="H845" s="574" t="s">
        <v>2225</v>
      </c>
      <c r="I845" s="574" t="s">
        <v>2226</v>
      </c>
      <c r="J845" s="574" t="s">
        <v>2227</v>
      </c>
      <c r="K845" s="574" t="s">
        <v>2228</v>
      </c>
      <c r="L845" s="574" t="s">
        <v>2229</v>
      </c>
      <c r="M845" s="574" t="s">
        <v>2230</v>
      </c>
      <c r="N845" s="574" t="s">
        <v>2231</v>
      </c>
      <c r="O845" s="574" t="s">
        <v>2759</v>
      </c>
      <c r="P845" s="574" t="s">
        <v>2932</v>
      </c>
      <c r="Q845" s="574" t="s">
        <v>2234</v>
      </c>
      <c r="R845" s="574" t="s">
        <v>2225</v>
      </c>
      <c r="S845" s="574" t="s">
        <v>2737</v>
      </c>
      <c r="T845" s="574" t="s">
        <v>2738</v>
      </c>
      <c r="U845" s="574" t="s">
        <v>3480</v>
      </c>
      <c r="V845" s="574" t="s">
        <v>2238</v>
      </c>
      <c r="W845" s="574" t="s">
        <v>2239</v>
      </c>
      <c r="X845" s="574" t="s">
        <v>3131</v>
      </c>
      <c r="Y845" s="575" t="s">
        <v>2665</v>
      </c>
      <c r="Z845" s="575" t="s">
        <v>2665</v>
      </c>
      <c r="AA845" s="574" t="s">
        <v>2949</v>
      </c>
      <c r="AB845" s="574" t="s">
        <v>2950</v>
      </c>
      <c r="AC845" s="574" t="s">
        <v>2951</v>
      </c>
      <c r="AD845" s="574" t="s">
        <v>2952</v>
      </c>
      <c r="AE845" s="574" t="s">
        <v>2953</v>
      </c>
      <c r="AF845" s="574" t="s">
        <v>2952</v>
      </c>
      <c r="AG845" s="576">
        <v>307620.09999999998</v>
      </c>
      <c r="AH845" s="576">
        <v>0</v>
      </c>
    </row>
    <row r="846" spans="1:34" customFormat="1" x14ac:dyDescent="0.25">
      <c r="A846" s="574" t="s">
        <v>2219</v>
      </c>
      <c r="B846" s="574" t="s">
        <v>2220</v>
      </c>
      <c r="C846" s="574" t="s">
        <v>2221</v>
      </c>
      <c r="D846" s="574" t="s">
        <v>2220</v>
      </c>
      <c r="E846" s="574" t="s">
        <v>2222</v>
      </c>
      <c r="F846" s="574" t="s">
        <v>2223</v>
      </c>
      <c r="G846" s="574" t="s">
        <v>2224</v>
      </c>
      <c r="H846" s="574" t="s">
        <v>2225</v>
      </c>
      <c r="I846" s="574" t="s">
        <v>2226</v>
      </c>
      <c r="J846" s="574" t="s">
        <v>2227</v>
      </c>
      <c r="K846" s="574" t="s">
        <v>2228</v>
      </c>
      <c r="L846" s="574" t="s">
        <v>2229</v>
      </c>
      <c r="M846" s="574" t="s">
        <v>2230</v>
      </c>
      <c r="N846" s="574" t="s">
        <v>2231</v>
      </c>
      <c r="O846" s="574" t="s">
        <v>2759</v>
      </c>
      <c r="P846" s="574" t="s">
        <v>2932</v>
      </c>
      <c r="Q846" s="574" t="s">
        <v>2234</v>
      </c>
      <c r="R846" s="574" t="s">
        <v>2225</v>
      </c>
      <c r="S846" s="574" t="s">
        <v>2737</v>
      </c>
      <c r="T846" s="574" t="s">
        <v>2738</v>
      </c>
      <c r="U846" s="574" t="s">
        <v>3481</v>
      </c>
      <c r="V846" s="574" t="s">
        <v>2238</v>
      </c>
      <c r="W846" s="574" t="s">
        <v>2239</v>
      </c>
      <c r="X846" s="574" t="s">
        <v>3151</v>
      </c>
      <c r="Y846" s="575" t="s">
        <v>2665</v>
      </c>
      <c r="Z846" s="575" t="s">
        <v>2665</v>
      </c>
      <c r="AA846" s="574" t="s">
        <v>1693</v>
      </c>
      <c r="AB846" s="574" t="s">
        <v>2319</v>
      </c>
      <c r="AC846" s="574" t="s">
        <v>2320</v>
      </c>
      <c r="AD846" s="574" t="s">
        <v>2321</v>
      </c>
      <c r="AE846" s="574" t="s">
        <v>1446</v>
      </c>
      <c r="AF846" s="574" t="s">
        <v>2321</v>
      </c>
      <c r="AG846" s="576">
        <v>202134</v>
      </c>
      <c r="AH846" s="576">
        <v>0</v>
      </c>
    </row>
    <row r="847" spans="1:34" customFormat="1" x14ac:dyDescent="0.25">
      <c r="A847" s="574" t="s">
        <v>2219</v>
      </c>
      <c r="B847" s="574" t="s">
        <v>2220</v>
      </c>
      <c r="C847" s="574" t="s">
        <v>2221</v>
      </c>
      <c r="D847" s="574" t="s">
        <v>2220</v>
      </c>
      <c r="E847" s="574" t="s">
        <v>2222</v>
      </c>
      <c r="F847" s="574" t="s">
        <v>2223</v>
      </c>
      <c r="G847" s="574" t="s">
        <v>2224</v>
      </c>
      <c r="H847" s="574" t="s">
        <v>2225</v>
      </c>
      <c r="I847" s="574" t="s">
        <v>2226</v>
      </c>
      <c r="J847" s="574" t="s">
        <v>2227</v>
      </c>
      <c r="K847" s="574" t="s">
        <v>2228</v>
      </c>
      <c r="L847" s="574" t="s">
        <v>2229</v>
      </c>
      <c r="M847" s="574" t="s">
        <v>2230</v>
      </c>
      <c r="N847" s="574" t="s">
        <v>2231</v>
      </c>
      <c r="O847" s="574" t="s">
        <v>2759</v>
      </c>
      <c r="P847" s="574" t="s">
        <v>2932</v>
      </c>
      <c r="Q847" s="574" t="s">
        <v>2234</v>
      </c>
      <c r="R847" s="574" t="s">
        <v>2225</v>
      </c>
      <c r="S847" s="574" t="s">
        <v>2737</v>
      </c>
      <c r="T847" s="574" t="s">
        <v>2738</v>
      </c>
      <c r="U847" s="574" t="s">
        <v>3482</v>
      </c>
      <c r="V847" s="574" t="s">
        <v>2238</v>
      </c>
      <c r="W847" s="574" t="s">
        <v>2239</v>
      </c>
      <c r="X847" s="574" t="s">
        <v>3266</v>
      </c>
      <c r="Y847" s="575" t="s">
        <v>2454</v>
      </c>
      <c r="Z847" s="575" t="s">
        <v>2454</v>
      </c>
      <c r="AA847" s="574" t="s">
        <v>1693</v>
      </c>
      <c r="AB847" s="574" t="s">
        <v>2319</v>
      </c>
      <c r="AC847" s="574" t="s">
        <v>2320</v>
      </c>
      <c r="AD847" s="574" t="s">
        <v>2321</v>
      </c>
      <c r="AE847" s="574" t="s">
        <v>1446</v>
      </c>
      <c r="AF847" s="574" t="s">
        <v>2321</v>
      </c>
      <c r="AG847" s="576">
        <v>441947.76</v>
      </c>
      <c r="AH847" s="576">
        <v>0</v>
      </c>
    </row>
    <row r="848" spans="1:34" customFormat="1" x14ac:dyDescent="0.25">
      <c r="A848" s="574" t="s">
        <v>2219</v>
      </c>
      <c r="B848" s="574" t="s">
        <v>2220</v>
      </c>
      <c r="C848" s="574" t="s">
        <v>2221</v>
      </c>
      <c r="D848" s="574" t="s">
        <v>2220</v>
      </c>
      <c r="E848" s="574" t="s">
        <v>2222</v>
      </c>
      <c r="F848" s="574" t="s">
        <v>2223</v>
      </c>
      <c r="G848" s="574" t="s">
        <v>2224</v>
      </c>
      <c r="H848" s="574" t="s">
        <v>2225</v>
      </c>
      <c r="I848" s="574" t="s">
        <v>2226</v>
      </c>
      <c r="J848" s="574" t="s">
        <v>2227</v>
      </c>
      <c r="K848" s="574" t="s">
        <v>2228</v>
      </c>
      <c r="L848" s="574" t="s">
        <v>2229</v>
      </c>
      <c r="M848" s="574" t="s">
        <v>2230</v>
      </c>
      <c r="N848" s="574" t="s">
        <v>2231</v>
      </c>
      <c r="O848" s="574" t="s">
        <v>2759</v>
      </c>
      <c r="P848" s="574" t="s">
        <v>2932</v>
      </c>
      <c r="Q848" s="574" t="s">
        <v>2234</v>
      </c>
      <c r="R848" s="574" t="s">
        <v>2225</v>
      </c>
      <c r="S848" s="574" t="s">
        <v>2737</v>
      </c>
      <c r="T848" s="574" t="s">
        <v>2738</v>
      </c>
      <c r="U848" s="574" t="s">
        <v>3483</v>
      </c>
      <c r="V848" s="574" t="s">
        <v>2238</v>
      </c>
      <c r="W848" s="574" t="s">
        <v>2239</v>
      </c>
      <c r="X848" s="574" t="s">
        <v>3278</v>
      </c>
      <c r="Y848" s="575" t="s">
        <v>2454</v>
      </c>
      <c r="Z848" s="575" t="s">
        <v>2454</v>
      </c>
      <c r="AA848" s="574" t="s">
        <v>1693</v>
      </c>
      <c r="AB848" s="574" t="s">
        <v>2319</v>
      </c>
      <c r="AC848" s="574" t="s">
        <v>2320</v>
      </c>
      <c r="AD848" s="574" t="s">
        <v>2321</v>
      </c>
      <c r="AE848" s="574" t="s">
        <v>1446</v>
      </c>
      <c r="AF848" s="574" t="s">
        <v>2321</v>
      </c>
      <c r="AG848" s="576">
        <v>257250</v>
      </c>
      <c r="AH848" s="576">
        <v>0</v>
      </c>
    </row>
    <row r="849" spans="1:34" customFormat="1" x14ac:dyDescent="0.25">
      <c r="A849" s="574" t="s">
        <v>2219</v>
      </c>
      <c r="B849" s="574" t="s">
        <v>2220</v>
      </c>
      <c r="C849" s="574" t="s">
        <v>2221</v>
      </c>
      <c r="D849" s="574" t="s">
        <v>2220</v>
      </c>
      <c r="E849" s="574" t="s">
        <v>2222</v>
      </c>
      <c r="F849" s="574" t="s">
        <v>2223</v>
      </c>
      <c r="G849" s="574" t="s">
        <v>2224</v>
      </c>
      <c r="H849" s="574" t="s">
        <v>2225</v>
      </c>
      <c r="I849" s="574" t="s">
        <v>2226</v>
      </c>
      <c r="J849" s="574" t="s">
        <v>2227</v>
      </c>
      <c r="K849" s="574" t="s">
        <v>2228</v>
      </c>
      <c r="L849" s="574" t="s">
        <v>2229</v>
      </c>
      <c r="M849" s="574" t="s">
        <v>2230</v>
      </c>
      <c r="N849" s="574" t="s">
        <v>2231</v>
      </c>
      <c r="O849" s="574" t="s">
        <v>2759</v>
      </c>
      <c r="P849" s="574" t="s">
        <v>2932</v>
      </c>
      <c r="Q849" s="574" t="s">
        <v>2234</v>
      </c>
      <c r="R849" s="574" t="s">
        <v>2225</v>
      </c>
      <c r="S849" s="574" t="s">
        <v>2737</v>
      </c>
      <c r="T849" s="574" t="s">
        <v>2738</v>
      </c>
      <c r="U849" s="574" t="s">
        <v>3484</v>
      </c>
      <c r="V849" s="574" t="s">
        <v>2238</v>
      </c>
      <c r="W849" s="574" t="s">
        <v>2239</v>
      </c>
      <c r="X849" s="574" t="s">
        <v>3104</v>
      </c>
      <c r="Y849" s="575" t="s">
        <v>2454</v>
      </c>
      <c r="Z849" s="575" t="s">
        <v>2454</v>
      </c>
      <c r="AA849" s="574" t="s">
        <v>1693</v>
      </c>
      <c r="AB849" s="574" t="s">
        <v>2319</v>
      </c>
      <c r="AC849" s="574" t="s">
        <v>2320</v>
      </c>
      <c r="AD849" s="574" t="s">
        <v>2321</v>
      </c>
      <c r="AE849" s="574" t="s">
        <v>1446</v>
      </c>
      <c r="AF849" s="574" t="s">
        <v>2321</v>
      </c>
      <c r="AG849" s="576">
        <v>212400</v>
      </c>
      <c r="AH849" s="576">
        <v>0</v>
      </c>
    </row>
    <row r="850" spans="1:34" customFormat="1" x14ac:dyDescent="0.25">
      <c r="A850" s="574" t="s">
        <v>2219</v>
      </c>
      <c r="B850" s="574" t="s">
        <v>2220</v>
      </c>
      <c r="C850" s="574" t="s">
        <v>2221</v>
      </c>
      <c r="D850" s="574" t="s">
        <v>2220</v>
      </c>
      <c r="E850" s="574" t="s">
        <v>2222</v>
      </c>
      <c r="F850" s="574" t="s">
        <v>2223</v>
      </c>
      <c r="G850" s="574" t="s">
        <v>2224</v>
      </c>
      <c r="H850" s="574" t="s">
        <v>2225</v>
      </c>
      <c r="I850" s="574" t="s">
        <v>2226</v>
      </c>
      <c r="J850" s="574" t="s">
        <v>2227</v>
      </c>
      <c r="K850" s="574" t="s">
        <v>2228</v>
      </c>
      <c r="L850" s="574" t="s">
        <v>2229</v>
      </c>
      <c r="M850" s="574" t="s">
        <v>2230</v>
      </c>
      <c r="N850" s="574" t="s">
        <v>2231</v>
      </c>
      <c r="O850" s="574" t="s">
        <v>2759</v>
      </c>
      <c r="P850" s="574" t="s">
        <v>2932</v>
      </c>
      <c r="Q850" s="574" t="s">
        <v>2234</v>
      </c>
      <c r="R850" s="574" t="s">
        <v>2225</v>
      </c>
      <c r="S850" s="574" t="s">
        <v>2737</v>
      </c>
      <c r="T850" s="574" t="s">
        <v>2738</v>
      </c>
      <c r="U850" s="574" t="s">
        <v>3485</v>
      </c>
      <c r="V850" s="574" t="s">
        <v>2238</v>
      </c>
      <c r="W850" s="574" t="s">
        <v>2239</v>
      </c>
      <c r="X850" s="574" t="s">
        <v>3143</v>
      </c>
      <c r="Y850" s="575" t="s">
        <v>2454</v>
      </c>
      <c r="Z850" s="575" t="s">
        <v>2454</v>
      </c>
      <c r="AA850" s="574" t="s">
        <v>1693</v>
      </c>
      <c r="AB850" s="574" t="s">
        <v>2319</v>
      </c>
      <c r="AC850" s="574" t="s">
        <v>2320</v>
      </c>
      <c r="AD850" s="574" t="s">
        <v>2321</v>
      </c>
      <c r="AE850" s="574" t="s">
        <v>1446</v>
      </c>
      <c r="AF850" s="574" t="s">
        <v>2321</v>
      </c>
      <c r="AG850" s="576">
        <v>241900</v>
      </c>
      <c r="AH850" s="576">
        <v>0</v>
      </c>
    </row>
    <row r="851" spans="1:34" customFormat="1" x14ac:dyDescent="0.25">
      <c r="A851" s="574" t="s">
        <v>2219</v>
      </c>
      <c r="B851" s="574" t="s">
        <v>2220</v>
      </c>
      <c r="C851" s="574" t="s">
        <v>2221</v>
      </c>
      <c r="D851" s="574" t="s">
        <v>2220</v>
      </c>
      <c r="E851" s="574" t="s">
        <v>2222</v>
      </c>
      <c r="F851" s="574" t="s">
        <v>2223</v>
      </c>
      <c r="G851" s="574" t="s">
        <v>2224</v>
      </c>
      <c r="H851" s="574" t="s">
        <v>2225</v>
      </c>
      <c r="I851" s="574" t="s">
        <v>2226</v>
      </c>
      <c r="J851" s="574" t="s">
        <v>2227</v>
      </c>
      <c r="K851" s="574" t="s">
        <v>2228</v>
      </c>
      <c r="L851" s="574" t="s">
        <v>2229</v>
      </c>
      <c r="M851" s="574" t="s">
        <v>2230</v>
      </c>
      <c r="N851" s="574" t="s">
        <v>2231</v>
      </c>
      <c r="O851" s="574" t="s">
        <v>2759</v>
      </c>
      <c r="P851" s="574" t="s">
        <v>2932</v>
      </c>
      <c r="Q851" s="574" t="s">
        <v>2234</v>
      </c>
      <c r="R851" s="574" t="s">
        <v>2225</v>
      </c>
      <c r="S851" s="574" t="s">
        <v>2737</v>
      </c>
      <c r="T851" s="574" t="s">
        <v>2738</v>
      </c>
      <c r="U851" s="574" t="s">
        <v>3486</v>
      </c>
      <c r="V851" s="574" t="s">
        <v>2238</v>
      </c>
      <c r="W851" s="574" t="s">
        <v>2239</v>
      </c>
      <c r="X851" s="574" t="s">
        <v>3094</v>
      </c>
      <c r="Y851" s="575" t="s">
        <v>2454</v>
      </c>
      <c r="Z851" s="575" t="s">
        <v>2454</v>
      </c>
      <c r="AA851" s="574" t="s">
        <v>1693</v>
      </c>
      <c r="AB851" s="574" t="s">
        <v>2319</v>
      </c>
      <c r="AC851" s="574" t="s">
        <v>2320</v>
      </c>
      <c r="AD851" s="574" t="s">
        <v>2321</v>
      </c>
      <c r="AE851" s="574" t="s">
        <v>1446</v>
      </c>
      <c r="AF851" s="574" t="s">
        <v>2321</v>
      </c>
      <c r="AG851" s="576">
        <v>182168.4</v>
      </c>
      <c r="AH851" s="576">
        <v>0</v>
      </c>
    </row>
    <row r="852" spans="1:34" customFormat="1" x14ac:dyDescent="0.25">
      <c r="A852" s="574" t="s">
        <v>2219</v>
      </c>
      <c r="B852" s="574" t="s">
        <v>2220</v>
      </c>
      <c r="C852" s="574" t="s">
        <v>2221</v>
      </c>
      <c r="D852" s="574" t="s">
        <v>2220</v>
      </c>
      <c r="E852" s="574" t="s">
        <v>2222</v>
      </c>
      <c r="F852" s="574" t="s">
        <v>2223</v>
      </c>
      <c r="G852" s="574" t="s">
        <v>2224</v>
      </c>
      <c r="H852" s="574" t="s">
        <v>2225</v>
      </c>
      <c r="I852" s="574" t="s">
        <v>2226</v>
      </c>
      <c r="J852" s="574" t="s">
        <v>2227</v>
      </c>
      <c r="K852" s="574" t="s">
        <v>2228</v>
      </c>
      <c r="L852" s="574" t="s">
        <v>2229</v>
      </c>
      <c r="M852" s="574" t="s">
        <v>2230</v>
      </c>
      <c r="N852" s="574" t="s">
        <v>2231</v>
      </c>
      <c r="O852" s="574" t="s">
        <v>2759</v>
      </c>
      <c r="P852" s="574" t="s">
        <v>2932</v>
      </c>
      <c r="Q852" s="574" t="s">
        <v>2234</v>
      </c>
      <c r="R852" s="574" t="s">
        <v>2225</v>
      </c>
      <c r="S852" s="574" t="s">
        <v>2737</v>
      </c>
      <c r="T852" s="574" t="s">
        <v>2738</v>
      </c>
      <c r="U852" s="574" t="s">
        <v>3487</v>
      </c>
      <c r="V852" s="574" t="s">
        <v>2238</v>
      </c>
      <c r="W852" s="574" t="s">
        <v>2239</v>
      </c>
      <c r="X852" s="574" t="s">
        <v>3325</v>
      </c>
      <c r="Y852" s="575" t="s">
        <v>2454</v>
      </c>
      <c r="Z852" s="575" t="s">
        <v>2454</v>
      </c>
      <c r="AA852" s="574" t="s">
        <v>1688</v>
      </c>
      <c r="AB852" s="574" t="s">
        <v>2430</v>
      </c>
      <c r="AC852" s="574" t="s">
        <v>2431</v>
      </c>
      <c r="AD852" s="574" t="s">
        <v>99</v>
      </c>
      <c r="AE852" s="574" t="s">
        <v>1531</v>
      </c>
      <c r="AF852" s="574" t="s">
        <v>99</v>
      </c>
      <c r="AG852" s="576">
        <v>699175</v>
      </c>
      <c r="AH852" s="576">
        <v>0</v>
      </c>
    </row>
    <row r="853" spans="1:34" customFormat="1" x14ac:dyDescent="0.25">
      <c r="A853" s="574" t="s">
        <v>2219</v>
      </c>
      <c r="B853" s="574" t="s">
        <v>2220</v>
      </c>
      <c r="C853" s="574" t="s">
        <v>2221</v>
      </c>
      <c r="D853" s="574" t="s">
        <v>2220</v>
      </c>
      <c r="E853" s="574" t="s">
        <v>2222</v>
      </c>
      <c r="F853" s="574" t="s">
        <v>2223</v>
      </c>
      <c r="G853" s="574" t="s">
        <v>2224</v>
      </c>
      <c r="H853" s="574" t="s">
        <v>2225</v>
      </c>
      <c r="I853" s="574" t="s">
        <v>2226</v>
      </c>
      <c r="J853" s="574" t="s">
        <v>2227</v>
      </c>
      <c r="K853" s="574" t="s">
        <v>2228</v>
      </c>
      <c r="L853" s="574" t="s">
        <v>2229</v>
      </c>
      <c r="M853" s="574" t="s">
        <v>2230</v>
      </c>
      <c r="N853" s="574" t="s">
        <v>2231</v>
      </c>
      <c r="O853" s="574" t="s">
        <v>2759</v>
      </c>
      <c r="P853" s="574" t="s">
        <v>2932</v>
      </c>
      <c r="Q853" s="574" t="s">
        <v>2234</v>
      </c>
      <c r="R853" s="574" t="s">
        <v>2225</v>
      </c>
      <c r="S853" s="574" t="s">
        <v>2737</v>
      </c>
      <c r="T853" s="574" t="s">
        <v>2738</v>
      </c>
      <c r="U853" s="574" t="s">
        <v>3488</v>
      </c>
      <c r="V853" s="574" t="s">
        <v>2238</v>
      </c>
      <c r="W853" s="574" t="s">
        <v>2239</v>
      </c>
      <c r="X853" s="574" t="s">
        <v>3326</v>
      </c>
      <c r="Y853" s="575" t="s">
        <v>2454</v>
      </c>
      <c r="Z853" s="575" t="s">
        <v>2454</v>
      </c>
      <c r="AA853" s="574" t="s">
        <v>1688</v>
      </c>
      <c r="AB853" s="574" t="s">
        <v>2430</v>
      </c>
      <c r="AC853" s="574" t="s">
        <v>2431</v>
      </c>
      <c r="AD853" s="574" t="s">
        <v>99</v>
      </c>
      <c r="AE853" s="574" t="s">
        <v>1531</v>
      </c>
      <c r="AF853" s="574" t="s">
        <v>99</v>
      </c>
      <c r="AG853" s="576">
        <v>649250</v>
      </c>
      <c r="AH853" s="576">
        <v>0</v>
      </c>
    </row>
    <row r="854" spans="1:34" customFormat="1" x14ac:dyDescent="0.25">
      <c r="A854" s="574" t="s">
        <v>2219</v>
      </c>
      <c r="B854" s="574" t="s">
        <v>2220</v>
      </c>
      <c r="C854" s="574" t="s">
        <v>2221</v>
      </c>
      <c r="D854" s="574" t="s">
        <v>2220</v>
      </c>
      <c r="E854" s="574" t="s">
        <v>2222</v>
      </c>
      <c r="F854" s="574" t="s">
        <v>2223</v>
      </c>
      <c r="G854" s="574" t="s">
        <v>2224</v>
      </c>
      <c r="H854" s="574" t="s">
        <v>2225</v>
      </c>
      <c r="I854" s="574" t="s">
        <v>2226</v>
      </c>
      <c r="J854" s="574" t="s">
        <v>2227</v>
      </c>
      <c r="K854" s="574" t="s">
        <v>2228</v>
      </c>
      <c r="L854" s="574" t="s">
        <v>2229</v>
      </c>
      <c r="M854" s="574" t="s">
        <v>2230</v>
      </c>
      <c r="N854" s="574" t="s">
        <v>2231</v>
      </c>
      <c r="O854" s="574" t="s">
        <v>2759</v>
      </c>
      <c r="P854" s="574" t="s">
        <v>2932</v>
      </c>
      <c r="Q854" s="574" t="s">
        <v>2234</v>
      </c>
      <c r="R854" s="574" t="s">
        <v>2225</v>
      </c>
      <c r="S854" s="574" t="s">
        <v>2737</v>
      </c>
      <c r="T854" s="574" t="s">
        <v>2738</v>
      </c>
      <c r="U854" s="574" t="s">
        <v>3489</v>
      </c>
      <c r="V854" s="574" t="s">
        <v>2238</v>
      </c>
      <c r="W854" s="574" t="s">
        <v>2239</v>
      </c>
      <c r="X854" s="574" t="s">
        <v>3327</v>
      </c>
      <c r="Y854" s="575" t="s">
        <v>2454</v>
      </c>
      <c r="Z854" s="575" t="s">
        <v>2454</v>
      </c>
      <c r="AA854" s="574" t="s">
        <v>1688</v>
      </c>
      <c r="AB854" s="574" t="s">
        <v>2430</v>
      </c>
      <c r="AC854" s="574" t="s">
        <v>2431</v>
      </c>
      <c r="AD854" s="574" t="s">
        <v>99</v>
      </c>
      <c r="AE854" s="574" t="s">
        <v>1531</v>
      </c>
      <c r="AF854" s="574" t="s">
        <v>99</v>
      </c>
      <c r="AG854" s="576">
        <v>378769</v>
      </c>
      <c r="AH854" s="576">
        <v>0</v>
      </c>
    </row>
    <row r="855" spans="1:34" customFormat="1" x14ac:dyDescent="0.25">
      <c r="A855" s="574" t="s">
        <v>2219</v>
      </c>
      <c r="B855" s="574" t="s">
        <v>2220</v>
      </c>
      <c r="C855" s="574" t="s">
        <v>2221</v>
      </c>
      <c r="D855" s="574" t="s">
        <v>2220</v>
      </c>
      <c r="E855" s="574" t="s">
        <v>2222</v>
      </c>
      <c r="F855" s="574" t="s">
        <v>2223</v>
      </c>
      <c r="G855" s="574" t="s">
        <v>2224</v>
      </c>
      <c r="H855" s="574" t="s">
        <v>2225</v>
      </c>
      <c r="I855" s="574" t="s">
        <v>2226</v>
      </c>
      <c r="J855" s="574" t="s">
        <v>2227</v>
      </c>
      <c r="K855" s="574" t="s">
        <v>2228</v>
      </c>
      <c r="L855" s="574" t="s">
        <v>2229</v>
      </c>
      <c r="M855" s="574" t="s">
        <v>2230</v>
      </c>
      <c r="N855" s="574" t="s">
        <v>2231</v>
      </c>
      <c r="O855" s="574" t="s">
        <v>2759</v>
      </c>
      <c r="P855" s="574" t="s">
        <v>2932</v>
      </c>
      <c r="Q855" s="574" t="s">
        <v>2234</v>
      </c>
      <c r="R855" s="574" t="s">
        <v>2225</v>
      </c>
      <c r="S855" s="574" t="s">
        <v>2737</v>
      </c>
      <c r="T855" s="574" t="s">
        <v>2738</v>
      </c>
      <c r="U855" s="574" t="s">
        <v>3489</v>
      </c>
      <c r="V855" s="574" t="s">
        <v>2238</v>
      </c>
      <c r="W855" s="574" t="s">
        <v>2239</v>
      </c>
      <c r="X855" s="574" t="s">
        <v>3327</v>
      </c>
      <c r="Y855" s="575" t="s">
        <v>2454</v>
      </c>
      <c r="Z855" s="575" t="s">
        <v>2531</v>
      </c>
      <c r="AA855" s="574" t="s">
        <v>1688</v>
      </c>
      <c r="AB855" s="574" t="s">
        <v>2430</v>
      </c>
      <c r="AC855" s="574" t="s">
        <v>2431</v>
      </c>
      <c r="AD855" s="574" t="s">
        <v>99</v>
      </c>
      <c r="AE855" s="574" t="s">
        <v>1531</v>
      </c>
      <c r="AF855" s="574" t="s">
        <v>99</v>
      </c>
      <c r="AG855" s="576">
        <v>-378769</v>
      </c>
      <c r="AH855" s="576">
        <v>0</v>
      </c>
    </row>
    <row r="856" spans="1:34" customFormat="1" x14ac:dyDescent="0.25">
      <c r="A856" s="574" t="s">
        <v>2219</v>
      </c>
      <c r="B856" s="574" t="s">
        <v>2220</v>
      </c>
      <c r="C856" s="574" t="s">
        <v>2221</v>
      </c>
      <c r="D856" s="574" t="s">
        <v>2220</v>
      </c>
      <c r="E856" s="574" t="s">
        <v>2222</v>
      </c>
      <c r="F856" s="574" t="s">
        <v>2223</v>
      </c>
      <c r="G856" s="574" t="s">
        <v>2224</v>
      </c>
      <c r="H856" s="574" t="s">
        <v>2225</v>
      </c>
      <c r="I856" s="574" t="s">
        <v>2226</v>
      </c>
      <c r="J856" s="574" t="s">
        <v>2227</v>
      </c>
      <c r="K856" s="574" t="s">
        <v>2228</v>
      </c>
      <c r="L856" s="574" t="s">
        <v>2229</v>
      </c>
      <c r="M856" s="574" t="s">
        <v>2230</v>
      </c>
      <c r="N856" s="574" t="s">
        <v>2231</v>
      </c>
      <c r="O856" s="574" t="s">
        <v>2759</v>
      </c>
      <c r="P856" s="574" t="s">
        <v>2932</v>
      </c>
      <c r="Q856" s="574" t="s">
        <v>2234</v>
      </c>
      <c r="R856" s="574" t="s">
        <v>2225</v>
      </c>
      <c r="S856" s="574" t="s">
        <v>2737</v>
      </c>
      <c r="T856" s="574" t="s">
        <v>2738</v>
      </c>
      <c r="U856" s="574" t="s">
        <v>3490</v>
      </c>
      <c r="V856" s="574" t="s">
        <v>2238</v>
      </c>
      <c r="W856" s="574" t="s">
        <v>2239</v>
      </c>
      <c r="X856" s="574" t="s">
        <v>3102</v>
      </c>
      <c r="Y856" s="575" t="s">
        <v>2667</v>
      </c>
      <c r="Z856" s="575" t="s">
        <v>2667</v>
      </c>
      <c r="AA856" s="574" t="s">
        <v>1688</v>
      </c>
      <c r="AB856" s="574" t="s">
        <v>2430</v>
      </c>
      <c r="AC856" s="574" t="s">
        <v>2431</v>
      </c>
      <c r="AD856" s="574" t="s">
        <v>99</v>
      </c>
      <c r="AE856" s="574" t="s">
        <v>1531</v>
      </c>
      <c r="AF856" s="574" t="s">
        <v>99</v>
      </c>
      <c r="AG856" s="576">
        <v>115000</v>
      </c>
      <c r="AH856" s="576">
        <v>0</v>
      </c>
    </row>
    <row r="857" spans="1:34" customFormat="1" x14ac:dyDescent="0.25">
      <c r="A857" s="574" t="s">
        <v>2219</v>
      </c>
      <c r="B857" s="574" t="s">
        <v>2220</v>
      </c>
      <c r="C857" s="574" t="s">
        <v>2221</v>
      </c>
      <c r="D857" s="574" t="s">
        <v>2220</v>
      </c>
      <c r="E857" s="574" t="s">
        <v>2222</v>
      </c>
      <c r="F857" s="574" t="s">
        <v>2223</v>
      </c>
      <c r="G857" s="574" t="s">
        <v>2224</v>
      </c>
      <c r="H857" s="574" t="s">
        <v>2225</v>
      </c>
      <c r="I857" s="574" t="s">
        <v>2226</v>
      </c>
      <c r="J857" s="574" t="s">
        <v>2227</v>
      </c>
      <c r="K857" s="574" t="s">
        <v>2228</v>
      </c>
      <c r="L857" s="574" t="s">
        <v>2229</v>
      </c>
      <c r="M857" s="574" t="s">
        <v>2230</v>
      </c>
      <c r="N857" s="574" t="s">
        <v>2231</v>
      </c>
      <c r="O857" s="574" t="s">
        <v>2759</v>
      </c>
      <c r="P857" s="574" t="s">
        <v>2932</v>
      </c>
      <c r="Q857" s="574" t="s">
        <v>2234</v>
      </c>
      <c r="R857" s="574" t="s">
        <v>2225</v>
      </c>
      <c r="S857" s="574" t="s">
        <v>2737</v>
      </c>
      <c r="T857" s="574" t="s">
        <v>2738</v>
      </c>
      <c r="U857" s="574" t="s">
        <v>3491</v>
      </c>
      <c r="V857" s="574" t="s">
        <v>2238</v>
      </c>
      <c r="W857" s="574" t="s">
        <v>2239</v>
      </c>
      <c r="X857" s="574" t="s">
        <v>3328</v>
      </c>
      <c r="Y857" s="575" t="s">
        <v>2667</v>
      </c>
      <c r="Z857" s="575" t="s">
        <v>2667</v>
      </c>
      <c r="AA857" s="574" t="s">
        <v>1688</v>
      </c>
      <c r="AB857" s="574" t="s">
        <v>2430</v>
      </c>
      <c r="AC857" s="574" t="s">
        <v>2431</v>
      </c>
      <c r="AD857" s="574" t="s">
        <v>99</v>
      </c>
      <c r="AE857" s="574" t="s">
        <v>1531</v>
      </c>
      <c r="AF857" s="574" t="s">
        <v>99</v>
      </c>
      <c r="AG857" s="576">
        <v>598925</v>
      </c>
      <c r="AH857" s="576">
        <v>0</v>
      </c>
    </row>
    <row r="858" spans="1:34" customFormat="1" x14ac:dyDescent="0.25">
      <c r="A858" s="574" t="s">
        <v>2219</v>
      </c>
      <c r="B858" s="574" t="s">
        <v>2220</v>
      </c>
      <c r="C858" s="574" t="s">
        <v>2221</v>
      </c>
      <c r="D858" s="574" t="s">
        <v>2220</v>
      </c>
      <c r="E858" s="574" t="s">
        <v>2222</v>
      </c>
      <c r="F858" s="574" t="s">
        <v>2223</v>
      </c>
      <c r="G858" s="574" t="s">
        <v>2224</v>
      </c>
      <c r="H858" s="574" t="s">
        <v>2225</v>
      </c>
      <c r="I858" s="574" t="s">
        <v>2226</v>
      </c>
      <c r="J858" s="574" t="s">
        <v>2227</v>
      </c>
      <c r="K858" s="574" t="s">
        <v>2228</v>
      </c>
      <c r="L858" s="574" t="s">
        <v>2229</v>
      </c>
      <c r="M858" s="574" t="s">
        <v>2230</v>
      </c>
      <c r="N858" s="574" t="s">
        <v>2231</v>
      </c>
      <c r="O858" s="574" t="s">
        <v>2759</v>
      </c>
      <c r="P858" s="574" t="s">
        <v>2932</v>
      </c>
      <c r="Q858" s="574" t="s">
        <v>2234</v>
      </c>
      <c r="R858" s="574" t="s">
        <v>2225</v>
      </c>
      <c r="S858" s="574" t="s">
        <v>2737</v>
      </c>
      <c r="T858" s="574" t="s">
        <v>2738</v>
      </c>
      <c r="U858" s="574" t="s">
        <v>3492</v>
      </c>
      <c r="V858" s="574" t="s">
        <v>2238</v>
      </c>
      <c r="W858" s="574" t="s">
        <v>2239</v>
      </c>
      <c r="X858" s="574" t="s">
        <v>3098</v>
      </c>
      <c r="Y858" s="575" t="s">
        <v>2667</v>
      </c>
      <c r="Z858" s="575" t="s">
        <v>2667</v>
      </c>
      <c r="AA858" s="574" t="s">
        <v>1688</v>
      </c>
      <c r="AB858" s="574" t="s">
        <v>2430</v>
      </c>
      <c r="AC858" s="574" t="s">
        <v>2431</v>
      </c>
      <c r="AD858" s="574" t="s">
        <v>99</v>
      </c>
      <c r="AE858" s="574" t="s">
        <v>1531</v>
      </c>
      <c r="AF858" s="574" t="s">
        <v>99</v>
      </c>
      <c r="AG858" s="576">
        <v>183950</v>
      </c>
      <c r="AH858" s="576">
        <v>0</v>
      </c>
    </row>
    <row r="859" spans="1:34" customFormat="1" x14ac:dyDescent="0.25">
      <c r="A859" s="574" t="s">
        <v>2219</v>
      </c>
      <c r="B859" s="574" t="s">
        <v>2220</v>
      </c>
      <c r="C859" s="574" t="s">
        <v>2221</v>
      </c>
      <c r="D859" s="574" t="s">
        <v>2220</v>
      </c>
      <c r="E859" s="574" t="s">
        <v>2222</v>
      </c>
      <c r="F859" s="574" t="s">
        <v>2223</v>
      </c>
      <c r="G859" s="574" t="s">
        <v>2224</v>
      </c>
      <c r="H859" s="574" t="s">
        <v>2225</v>
      </c>
      <c r="I859" s="574" t="s">
        <v>2226</v>
      </c>
      <c r="J859" s="574" t="s">
        <v>2227</v>
      </c>
      <c r="K859" s="574" t="s">
        <v>2228</v>
      </c>
      <c r="L859" s="574" t="s">
        <v>2229</v>
      </c>
      <c r="M859" s="574" t="s">
        <v>2230</v>
      </c>
      <c r="N859" s="574" t="s">
        <v>2231</v>
      </c>
      <c r="O859" s="574" t="s">
        <v>2759</v>
      </c>
      <c r="P859" s="574" t="s">
        <v>2932</v>
      </c>
      <c r="Q859" s="574" t="s">
        <v>2234</v>
      </c>
      <c r="R859" s="574" t="s">
        <v>2225</v>
      </c>
      <c r="S859" s="574" t="s">
        <v>2737</v>
      </c>
      <c r="T859" s="574" t="s">
        <v>2738</v>
      </c>
      <c r="U859" s="574" t="s">
        <v>3493</v>
      </c>
      <c r="V859" s="574" t="s">
        <v>2238</v>
      </c>
      <c r="W859" s="574" t="s">
        <v>2239</v>
      </c>
      <c r="X859" s="574" t="s">
        <v>3165</v>
      </c>
      <c r="Y859" s="575" t="s">
        <v>2667</v>
      </c>
      <c r="Z859" s="575" t="s">
        <v>2667</v>
      </c>
      <c r="AA859" s="574" t="s">
        <v>1688</v>
      </c>
      <c r="AB859" s="574" t="s">
        <v>2430</v>
      </c>
      <c r="AC859" s="574" t="s">
        <v>2431</v>
      </c>
      <c r="AD859" s="574" t="s">
        <v>99</v>
      </c>
      <c r="AE859" s="574" t="s">
        <v>1531</v>
      </c>
      <c r="AF859" s="574" t="s">
        <v>99</v>
      </c>
      <c r="AG859" s="576">
        <v>572725</v>
      </c>
      <c r="AH859" s="576">
        <v>0</v>
      </c>
    </row>
    <row r="860" spans="1:34" customFormat="1" x14ac:dyDescent="0.25">
      <c r="A860" s="574" t="s">
        <v>2219</v>
      </c>
      <c r="B860" s="574" t="s">
        <v>2220</v>
      </c>
      <c r="C860" s="574" t="s">
        <v>2221</v>
      </c>
      <c r="D860" s="574" t="s">
        <v>2220</v>
      </c>
      <c r="E860" s="574" t="s">
        <v>2222</v>
      </c>
      <c r="F860" s="574" t="s">
        <v>2223</v>
      </c>
      <c r="G860" s="574" t="s">
        <v>2224</v>
      </c>
      <c r="H860" s="574" t="s">
        <v>2225</v>
      </c>
      <c r="I860" s="574" t="s">
        <v>2226</v>
      </c>
      <c r="J860" s="574" t="s">
        <v>2227</v>
      </c>
      <c r="K860" s="574" t="s">
        <v>2228</v>
      </c>
      <c r="L860" s="574" t="s">
        <v>2229</v>
      </c>
      <c r="M860" s="574" t="s">
        <v>2230</v>
      </c>
      <c r="N860" s="574" t="s">
        <v>2231</v>
      </c>
      <c r="O860" s="574" t="s">
        <v>2759</v>
      </c>
      <c r="P860" s="574" t="s">
        <v>2932</v>
      </c>
      <c r="Q860" s="574" t="s">
        <v>2234</v>
      </c>
      <c r="R860" s="574" t="s">
        <v>2225</v>
      </c>
      <c r="S860" s="574" t="s">
        <v>2737</v>
      </c>
      <c r="T860" s="574" t="s">
        <v>2738</v>
      </c>
      <c r="U860" s="574" t="s">
        <v>3494</v>
      </c>
      <c r="V860" s="574" t="s">
        <v>2238</v>
      </c>
      <c r="W860" s="574" t="s">
        <v>2239</v>
      </c>
      <c r="X860" s="574" t="s">
        <v>3329</v>
      </c>
      <c r="Y860" s="575" t="s">
        <v>2668</v>
      </c>
      <c r="Z860" s="575" t="s">
        <v>2668</v>
      </c>
      <c r="AA860" s="574" t="s">
        <v>1686</v>
      </c>
      <c r="AB860" s="574" t="s">
        <v>2965</v>
      </c>
      <c r="AC860" s="574" t="s">
        <v>3300</v>
      </c>
      <c r="AD860" s="574" t="s">
        <v>3301</v>
      </c>
      <c r="AE860" s="574" t="s">
        <v>3318</v>
      </c>
      <c r="AF860" s="574" t="s">
        <v>3319</v>
      </c>
      <c r="AG860" s="576">
        <v>970224</v>
      </c>
      <c r="AH860" s="576">
        <v>0</v>
      </c>
    </row>
    <row r="861" spans="1:34" customFormat="1" x14ac:dyDescent="0.25">
      <c r="A861" s="574" t="s">
        <v>2219</v>
      </c>
      <c r="B861" s="574" t="s">
        <v>2220</v>
      </c>
      <c r="C861" s="574" t="s">
        <v>2221</v>
      </c>
      <c r="D861" s="574" t="s">
        <v>2220</v>
      </c>
      <c r="E861" s="574" t="s">
        <v>2222</v>
      </c>
      <c r="F861" s="574" t="s">
        <v>2223</v>
      </c>
      <c r="G861" s="574" t="s">
        <v>2224</v>
      </c>
      <c r="H861" s="574" t="s">
        <v>2225</v>
      </c>
      <c r="I861" s="574" t="s">
        <v>2226</v>
      </c>
      <c r="J861" s="574" t="s">
        <v>2227</v>
      </c>
      <c r="K861" s="574" t="s">
        <v>2228</v>
      </c>
      <c r="L861" s="574" t="s">
        <v>2229</v>
      </c>
      <c r="M861" s="574" t="s">
        <v>2230</v>
      </c>
      <c r="N861" s="574" t="s">
        <v>2231</v>
      </c>
      <c r="O861" s="574" t="s">
        <v>2759</v>
      </c>
      <c r="P861" s="574" t="s">
        <v>2932</v>
      </c>
      <c r="Q861" s="574" t="s">
        <v>2234</v>
      </c>
      <c r="R861" s="574" t="s">
        <v>2225</v>
      </c>
      <c r="S861" s="574" t="s">
        <v>2737</v>
      </c>
      <c r="T861" s="574" t="s">
        <v>2738</v>
      </c>
      <c r="U861" s="574" t="s">
        <v>3495</v>
      </c>
      <c r="V861" s="574" t="s">
        <v>2238</v>
      </c>
      <c r="W861" s="574" t="s">
        <v>2239</v>
      </c>
      <c r="X861" s="574" t="s">
        <v>3116</v>
      </c>
      <c r="Y861" s="575" t="s">
        <v>2668</v>
      </c>
      <c r="Z861" s="575" t="s">
        <v>2668</v>
      </c>
      <c r="AA861" s="574" t="s">
        <v>1691</v>
      </c>
      <c r="AB861" s="574" t="s">
        <v>2297</v>
      </c>
      <c r="AC861" s="574" t="s">
        <v>2298</v>
      </c>
      <c r="AD861" s="574" t="s">
        <v>2299</v>
      </c>
      <c r="AE861" s="574" t="s">
        <v>1468</v>
      </c>
      <c r="AF861" s="574" t="s">
        <v>2299</v>
      </c>
      <c r="AG861" s="576">
        <v>138000</v>
      </c>
      <c r="AH861" s="576">
        <v>0</v>
      </c>
    </row>
    <row r="862" spans="1:34" customFormat="1" x14ac:dyDescent="0.25">
      <c r="A862" s="574" t="s">
        <v>2219</v>
      </c>
      <c r="B862" s="574" t="s">
        <v>2220</v>
      </c>
      <c r="C862" s="574" t="s">
        <v>2221</v>
      </c>
      <c r="D862" s="574" t="s">
        <v>2220</v>
      </c>
      <c r="E862" s="574" t="s">
        <v>2222</v>
      </c>
      <c r="F862" s="574" t="s">
        <v>2223</v>
      </c>
      <c r="G862" s="574" t="s">
        <v>2224</v>
      </c>
      <c r="H862" s="574" t="s">
        <v>2225</v>
      </c>
      <c r="I862" s="574" t="s">
        <v>2226</v>
      </c>
      <c r="J862" s="574" t="s">
        <v>2227</v>
      </c>
      <c r="K862" s="574" t="s">
        <v>2228</v>
      </c>
      <c r="L862" s="574" t="s">
        <v>2229</v>
      </c>
      <c r="M862" s="574" t="s">
        <v>2230</v>
      </c>
      <c r="N862" s="574" t="s">
        <v>2231</v>
      </c>
      <c r="O862" s="574" t="s">
        <v>2759</v>
      </c>
      <c r="P862" s="574" t="s">
        <v>2932</v>
      </c>
      <c r="Q862" s="574" t="s">
        <v>2234</v>
      </c>
      <c r="R862" s="574" t="s">
        <v>2225</v>
      </c>
      <c r="S862" s="574" t="s">
        <v>2737</v>
      </c>
      <c r="T862" s="574" t="s">
        <v>2738</v>
      </c>
      <c r="U862" s="574" t="s">
        <v>3496</v>
      </c>
      <c r="V862" s="574" t="s">
        <v>2238</v>
      </c>
      <c r="W862" s="574" t="s">
        <v>2239</v>
      </c>
      <c r="X862" s="574" t="s">
        <v>3157</v>
      </c>
      <c r="Y862" s="575" t="s">
        <v>2668</v>
      </c>
      <c r="Z862" s="575" t="s">
        <v>2668</v>
      </c>
      <c r="AA862" s="574" t="s">
        <v>1693</v>
      </c>
      <c r="AB862" s="574" t="s">
        <v>2319</v>
      </c>
      <c r="AC862" s="574" t="s">
        <v>2402</v>
      </c>
      <c r="AD862" s="574" t="s">
        <v>2403</v>
      </c>
      <c r="AE862" s="574" t="s">
        <v>1486</v>
      </c>
      <c r="AF862" s="574" t="s">
        <v>2403</v>
      </c>
      <c r="AG862" s="576">
        <v>240012</v>
      </c>
      <c r="AH862" s="576">
        <v>0</v>
      </c>
    </row>
    <row r="863" spans="1:34" customFormat="1" x14ac:dyDescent="0.25">
      <c r="A863" s="574" t="s">
        <v>2219</v>
      </c>
      <c r="B863" s="574" t="s">
        <v>2220</v>
      </c>
      <c r="C863" s="574" t="s">
        <v>2221</v>
      </c>
      <c r="D863" s="574" t="s">
        <v>2220</v>
      </c>
      <c r="E863" s="574" t="s">
        <v>2222</v>
      </c>
      <c r="F863" s="574" t="s">
        <v>2223</v>
      </c>
      <c r="G863" s="574" t="s">
        <v>2224</v>
      </c>
      <c r="H863" s="574" t="s">
        <v>2225</v>
      </c>
      <c r="I863" s="574" t="s">
        <v>2226</v>
      </c>
      <c r="J863" s="574" t="s">
        <v>2227</v>
      </c>
      <c r="K863" s="574" t="s">
        <v>2228</v>
      </c>
      <c r="L863" s="574" t="s">
        <v>2229</v>
      </c>
      <c r="M863" s="574" t="s">
        <v>2230</v>
      </c>
      <c r="N863" s="574" t="s">
        <v>2231</v>
      </c>
      <c r="O863" s="574" t="s">
        <v>2759</v>
      </c>
      <c r="P863" s="574" t="s">
        <v>2932</v>
      </c>
      <c r="Q863" s="574" t="s">
        <v>2234</v>
      </c>
      <c r="R863" s="574" t="s">
        <v>2225</v>
      </c>
      <c r="S863" s="574" t="s">
        <v>2737</v>
      </c>
      <c r="T863" s="574" t="s">
        <v>2738</v>
      </c>
      <c r="U863" s="574" t="s">
        <v>3497</v>
      </c>
      <c r="V863" s="574" t="s">
        <v>2238</v>
      </c>
      <c r="W863" s="574" t="s">
        <v>2239</v>
      </c>
      <c r="X863" s="574" t="s">
        <v>3120</v>
      </c>
      <c r="Y863" s="575" t="s">
        <v>2668</v>
      </c>
      <c r="Z863" s="575" t="s">
        <v>2668</v>
      </c>
      <c r="AA863" s="574" t="s">
        <v>1691</v>
      </c>
      <c r="AB863" s="574" t="s">
        <v>2297</v>
      </c>
      <c r="AC863" s="574" t="s">
        <v>2298</v>
      </c>
      <c r="AD863" s="574" t="s">
        <v>2299</v>
      </c>
      <c r="AE863" s="574" t="s">
        <v>1468</v>
      </c>
      <c r="AF863" s="574" t="s">
        <v>2299</v>
      </c>
      <c r="AG863" s="576">
        <v>255000</v>
      </c>
      <c r="AH863" s="576">
        <v>0</v>
      </c>
    </row>
    <row r="864" spans="1:34" customFormat="1" x14ac:dyDescent="0.25">
      <c r="A864" s="574" t="s">
        <v>2219</v>
      </c>
      <c r="B864" s="574" t="s">
        <v>2220</v>
      </c>
      <c r="C864" s="574" t="s">
        <v>2221</v>
      </c>
      <c r="D864" s="574" t="s">
        <v>2220</v>
      </c>
      <c r="E864" s="574" t="s">
        <v>2222</v>
      </c>
      <c r="F864" s="574" t="s">
        <v>2223</v>
      </c>
      <c r="G864" s="574" t="s">
        <v>2224</v>
      </c>
      <c r="H864" s="574" t="s">
        <v>2225</v>
      </c>
      <c r="I864" s="574" t="s">
        <v>2226</v>
      </c>
      <c r="J864" s="574" t="s">
        <v>2227</v>
      </c>
      <c r="K864" s="574" t="s">
        <v>2228</v>
      </c>
      <c r="L864" s="574" t="s">
        <v>2229</v>
      </c>
      <c r="M864" s="574" t="s">
        <v>2230</v>
      </c>
      <c r="N864" s="574" t="s">
        <v>2231</v>
      </c>
      <c r="O864" s="574" t="s">
        <v>2759</v>
      </c>
      <c r="P864" s="574" t="s">
        <v>2932</v>
      </c>
      <c r="Q864" s="574" t="s">
        <v>2234</v>
      </c>
      <c r="R864" s="574" t="s">
        <v>2225</v>
      </c>
      <c r="S864" s="574" t="s">
        <v>2737</v>
      </c>
      <c r="T864" s="574" t="s">
        <v>2738</v>
      </c>
      <c r="U864" s="574" t="s">
        <v>3498</v>
      </c>
      <c r="V864" s="574" t="s">
        <v>2238</v>
      </c>
      <c r="W864" s="574" t="s">
        <v>2239</v>
      </c>
      <c r="X864" s="574" t="s">
        <v>3118</v>
      </c>
      <c r="Y864" s="575" t="s">
        <v>2668</v>
      </c>
      <c r="Z864" s="575" t="s">
        <v>2668</v>
      </c>
      <c r="AA864" s="574" t="s">
        <v>1691</v>
      </c>
      <c r="AB864" s="574" t="s">
        <v>2297</v>
      </c>
      <c r="AC864" s="574" t="s">
        <v>2298</v>
      </c>
      <c r="AD864" s="574" t="s">
        <v>2299</v>
      </c>
      <c r="AE864" s="574" t="s">
        <v>1468</v>
      </c>
      <c r="AF864" s="574" t="s">
        <v>2299</v>
      </c>
      <c r="AG864" s="576">
        <v>95000</v>
      </c>
      <c r="AH864" s="576">
        <v>0</v>
      </c>
    </row>
    <row r="865" spans="1:34" customFormat="1" x14ac:dyDescent="0.25">
      <c r="A865" s="574" t="s">
        <v>2219</v>
      </c>
      <c r="B865" s="574" t="s">
        <v>2220</v>
      </c>
      <c r="C865" s="574" t="s">
        <v>2221</v>
      </c>
      <c r="D865" s="574" t="s">
        <v>2220</v>
      </c>
      <c r="E865" s="574" t="s">
        <v>2222</v>
      </c>
      <c r="F865" s="574" t="s">
        <v>2223</v>
      </c>
      <c r="G865" s="574" t="s">
        <v>2224</v>
      </c>
      <c r="H865" s="574" t="s">
        <v>2225</v>
      </c>
      <c r="I865" s="574" t="s">
        <v>2226</v>
      </c>
      <c r="J865" s="574" t="s">
        <v>2227</v>
      </c>
      <c r="K865" s="574" t="s">
        <v>2228</v>
      </c>
      <c r="L865" s="574" t="s">
        <v>2229</v>
      </c>
      <c r="M865" s="574" t="s">
        <v>2230</v>
      </c>
      <c r="N865" s="574" t="s">
        <v>2231</v>
      </c>
      <c r="O865" s="574" t="s">
        <v>2759</v>
      </c>
      <c r="P865" s="574" t="s">
        <v>2932</v>
      </c>
      <c r="Q865" s="574" t="s">
        <v>2234</v>
      </c>
      <c r="R865" s="574" t="s">
        <v>2225</v>
      </c>
      <c r="S865" s="574" t="s">
        <v>2737</v>
      </c>
      <c r="T865" s="574" t="s">
        <v>2738</v>
      </c>
      <c r="U865" s="574" t="s">
        <v>3499</v>
      </c>
      <c r="V865" s="574" t="s">
        <v>2238</v>
      </c>
      <c r="W865" s="574" t="s">
        <v>2239</v>
      </c>
      <c r="X865" s="574" t="s">
        <v>3127</v>
      </c>
      <c r="Y865" s="575" t="s">
        <v>2668</v>
      </c>
      <c r="Z865" s="575" t="s">
        <v>2668</v>
      </c>
      <c r="AA865" s="574" t="s">
        <v>1691</v>
      </c>
      <c r="AB865" s="574" t="s">
        <v>2297</v>
      </c>
      <c r="AC865" s="574" t="s">
        <v>2298</v>
      </c>
      <c r="AD865" s="574" t="s">
        <v>2299</v>
      </c>
      <c r="AE865" s="574" t="s">
        <v>1468</v>
      </c>
      <c r="AF865" s="574" t="s">
        <v>2299</v>
      </c>
      <c r="AG865" s="576">
        <v>246500</v>
      </c>
      <c r="AH865" s="576">
        <v>0</v>
      </c>
    </row>
    <row r="866" spans="1:34" customFormat="1" x14ac:dyDescent="0.25">
      <c r="A866" s="574" t="s">
        <v>2219</v>
      </c>
      <c r="B866" s="574" t="s">
        <v>2220</v>
      </c>
      <c r="C866" s="574" t="s">
        <v>2221</v>
      </c>
      <c r="D866" s="574" t="s">
        <v>2220</v>
      </c>
      <c r="E866" s="574" t="s">
        <v>2222</v>
      </c>
      <c r="F866" s="574" t="s">
        <v>2223</v>
      </c>
      <c r="G866" s="574" t="s">
        <v>2224</v>
      </c>
      <c r="H866" s="574" t="s">
        <v>2225</v>
      </c>
      <c r="I866" s="574" t="s">
        <v>2226</v>
      </c>
      <c r="J866" s="574" t="s">
        <v>2227</v>
      </c>
      <c r="K866" s="574" t="s">
        <v>2228</v>
      </c>
      <c r="L866" s="574" t="s">
        <v>2229</v>
      </c>
      <c r="M866" s="574" t="s">
        <v>2230</v>
      </c>
      <c r="N866" s="574" t="s">
        <v>2231</v>
      </c>
      <c r="O866" s="574" t="s">
        <v>2759</v>
      </c>
      <c r="P866" s="574" t="s">
        <v>2932</v>
      </c>
      <c r="Q866" s="574" t="s">
        <v>2234</v>
      </c>
      <c r="R866" s="574" t="s">
        <v>2225</v>
      </c>
      <c r="S866" s="574" t="s">
        <v>2737</v>
      </c>
      <c r="T866" s="574" t="s">
        <v>2738</v>
      </c>
      <c r="U866" s="574" t="s">
        <v>3500</v>
      </c>
      <c r="V866" s="574" t="s">
        <v>2238</v>
      </c>
      <c r="W866" s="574" t="s">
        <v>2239</v>
      </c>
      <c r="X866" s="574" t="s">
        <v>3114</v>
      </c>
      <c r="Y866" s="575" t="s">
        <v>2464</v>
      </c>
      <c r="Z866" s="575" t="s">
        <v>2464</v>
      </c>
      <c r="AA866" s="574" t="s">
        <v>1691</v>
      </c>
      <c r="AB866" s="574" t="s">
        <v>2297</v>
      </c>
      <c r="AC866" s="574" t="s">
        <v>2298</v>
      </c>
      <c r="AD866" s="574" t="s">
        <v>2299</v>
      </c>
      <c r="AE866" s="574" t="s">
        <v>1468</v>
      </c>
      <c r="AF866" s="574" t="s">
        <v>2299</v>
      </c>
      <c r="AG866" s="576">
        <v>136500</v>
      </c>
      <c r="AH866" s="576">
        <v>0</v>
      </c>
    </row>
    <row r="867" spans="1:34" customFormat="1" x14ac:dyDescent="0.25">
      <c r="A867" s="574" t="s">
        <v>2219</v>
      </c>
      <c r="B867" s="574" t="s">
        <v>2220</v>
      </c>
      <c r="C867" s="574" t="s">
        <v>2221</v>
      </c>
      <c r="D867" s="574" t="s">
        <v>2220</v>
      </c>
      <c r="E867" s="574" t="s">
        <v>2222</v>
      </c>
      <c r="F867" s="574" t="s">
        <v>2223</v>
      </c>
      <c r="G867" s="574" t="s">
        <v>2224</v>
      </c>
      <c r="H867" s="574" t="s">
        <v>2225</v>
      </c>
      <c r="I867" s="574" t="s">
        <v>2226</v>
      </c>
      <c r="J867" s="574" t="s">
        <v>2227</v>
      </c>
      <c r="K867" s="574" t="s">
        <v>2228</v>
      </c>
      <c r="L867" s="574" t="s">
        <v>2229</v>
      </c>
      <c r="M867" s="574" t="s">
        <v>2230</v>
      </c>
      <c r="N867" s="574" t="s">
        <v>2231</v>
      </c>
      <c r="O867" s="574" t="s">
        <v>2759</v>
      </c>
      <c r="P867" s="574" t="s">
        <v>2932</v>
      </c>
      <c r="Q867" s="574" t="s">
        <v>2234</v>
      </c>
      <c r="R867" s="574" t="s">
        <v>2225</v>
      </c>
      <c r="S867" s="574" t="s">
        <v>2737</v>
      </c>
      <c r="T867" s="574" t="s">
        <v>2738</v>
      </c>
      <c r="U867" s="574" t="s">
        <v>3501</v>
      </c>
      <c r="V867" s="574" t="s">
        <v>2238</v>
      </c>
      <c r="W867" s="574" t="s">
        <v>2239</v>
      </c>
      <c r="X867" s="574" t="s">
        <v>3125</v>
      </c>
      <c r="Y867" s="575" t="s">
        <v>2464</v>
      </c>
      <c r="Z867" s="575" t="s">
        <v>2464</v>
      </c>
      <c r="AA867" s="574" t="s">
        <v>1691</v>
      </c>
      <c r="AB867" s="574" t="s">
        <v>2297</v>
      </c>
      <c r="AC867" s="574" t="s">
        <v>2298</v>
      </c>
      <c r="AD867" s="574" t="s">
        <v>2299</v>
      </c>
      <c r="AE867" s="574" t="s">
        <v>1468</v>
      </c>
      <c r="AF867" s="574" t="s">
        <v>2299</v>
      </c>
      <c r="AG867" s="576">
        <v>7500</v>
      </c>
      <c r="AH867" s="576">
        <v>0</v>
      </c>
    </row>
    <row r="868" spans="1:34" customFormat="1" x14ac:dyDescent="0.25">
      <c r="A868" s="574" t="s">
        <v>2219</v>
      </c>
      <c r="B868" s="574" t="s">
        <v>2220</v>
      </c>
      <c r="C868" s="574" t="s">
        <v>2221</v>
      </c>
      <c r="D868" s="574" t="s">
        <v>2220</v>
      </c>
      <c r="E868" s="574" t="s">
        <v>2222</v>
      </c>
      <c r="F868" s="574" t="s">
        <v>2223</v>
      </c>
      <c r="G868" s="574" t="s">
        <v>2224</v>
      </c>
      <c r="H868" s="574" t="s">
        <v>2225</v>
      </c>
      <c r="I868" s="574" t="s">
        <v>2226</v>
      </c>
      <c r="J868" s="574" t="s">
        <v>2227</v>
      </c>
      <c r="K868" s="574" t="s">
        <v>2228</v>
      </c>
      <c r="L868" s="574" t="s">
        <v>2229</v>
      </c>
      <c r="M868" s="574" t="s">
        <v>2230</v>
      </c>
      <c r="N868" s="574" t="s">
        <v>2231</v>
      </c>
      <c r="O868" s="574" t="s">
        <v>2759</v>
      </c>
      <c r="P868" s="574" t="s">
        <v>2932</v>
      </c>
      <c r="Q868" s="574" t="s">
        <v>2234</v>
      </c>
      <c r="R868" s="574" t="s">
        <v>2225</v>
      </c>
      <c r="S868" s="574" t="s">
        <v>2737</v>
      </c>
      <c r="T868" s="574" t="s">
        <v>2738</v>
      </c>
      <c r="U868" s="574" t="s">
        <v>3502</v>
      </c>
      <c r="V868" s="574" t="s">
        <v>2238</v>
      </c>
      <c r="W868" s="574" t="s">
        <v>2239</v>
      </c>
      <c r="X868" s="574" t="s">
        <v>3129</v>
      </c>
      <c r="Y868" s="575" t="s">
        <v>2464</v>
      </c>
      <c r="Z868" s="575" t="s">
        <v>2464</v>
      </c>
      <c r="AA868" s="574" t="s">
        <v>1693</v>
      </c>
      <c r="AB868" s="574" t="s">
        <v>2319</v>
      </c>
      <c r="AC868" s="574" t="s">
        <v>2320</v>
      </c>
      <c r="AD868" s="574" t="s">
        <v>2321</v>
      </c>
      <c r="AE868" s="574" t="s">
        <v>1446</v>
      </c>
      <c r="AF868" s="574" t="s">
        <v>2321</v>
      </c>
      <c r="AG868" s="576">
        <v>109740</v>
      </c>
      <c r="AH868" s="576">
        <v>0</v>
      </c>
    </row>
    <row r="869" spans="1:34" customFormat="1" x14ac:dyDescent="0.25">
      <c r="A869" s="574" t="s">
        <v>2219</v>
      </c>
      <c r="B869" s="574" t="s">
        <v>2220</v>
      </c>
      <c r="C869" s="574" t="s">
        <v>2221</v>
      </c>
      <c r="D869" s="574" t="s">
        <v>2220</v>
      </c>
      <c r="E869" s="574" t="s">
        <v>2222</v>
      </c>
      <c r="F869" s="574" t="s">
        <v>2223</v>
      </c>
      <c r="G869" s="574" t="s">
        <v>2224</v>
      </c>
      <c r="H869" s="574" t="s">
        <v>2225</v>
      </c>
      <c r="I869" s="574" t="s">
        <v>2226</v>
      </c>
      <c r="J869" s="574" t="s">
        <v>2227</v>
      </c>
      <c r="K869" s="574" t="s">
        <v>2228</v>
      </c>
      <c r="L869" s="574" t="s">
        <v>2229</v>
      </c>
      <c r="M869" s="574" t="s">
        <v>2230</v>
      </c>
      <c r="N869" s="574" t="s">
        <v>2231</v>
      </c>
      <c r="O869" s="574" t="s">
        <v>2759</v>
      </c>
      <c r="P869" s="574" t="s">
        <v>2932</v>
      </c>
      <c r="Q869" s="574" t="s">
        <v>2234</v>
      </c>
      <c r="R869" s="574" t="s">
        <v>2225</v>
      </c>
      <c r="S869" s="574" t="s">
        <v>2737</v>
      </c>
      <c r="T869" s="574" t="s">
        <v>2738</v>
      </c>
      <c r="U869" s="574" t="s">
        <v>3503</v>
      </c>
      <c r="V869" s="574" t="s">
        <v>2238</v>
      </c>
      <c r="W869" s="574" t="s">
        <v>2239</v>
      </c>
      <c r="X869" s="574" t="s">
        <v>3149</v>
      </c>
      <c r="Y869" s="575" t="s">
        <v>2464</v>
      </c>
      <c r="Z869" s="575" t="s">
        <v>2464</v>
      </c>
      <c r="AA869" s="574" t="s">
        <v>1693</v>
      </c>
      <c r="AB869" s="574" t="s">
        <v>2319</v>
      </c>
      <c r="AC869" s="574" t="s">
        <v>2320</v>
      </c>
      <c r="AD869" s="574" t="s">
        <v>2321</v>
      </c>
      <c r="AE869" s="574" t="s">
        <v>1446</v>
      </c>
      <c r="AF869" s="574" t="s">
        <v>2321</v>
      </c>
      <c r="AG869" s="576">
        <v>64900</v>
      </c>
      <c r="AH869" s="576">
        <v>0</v>
      </c>
    </row>
    <row r="870" spans="1:34" customFormat="1" x14ac:dyDescent="0.25">
      <c r="A870" s="574" t="s">
        <v>2219</v>
      </c>
      <c r="B870" s="574" t="s">
        <v>2220</v>
      </c>
      <c r="C870" s="574" t="s">
        <v>2221</v>
      </c>
      <c r="D870" s="574" t="s">
        <v>2220</v>
      </c>
      <c r="E870" s="574" t="s">
        <v>2222</v>
      </c>
      <c r="F870" s="574" t="s">
        <v>2223</v>
      </c>
      <c r="G870" s="574" t="s">
        <v>2224</v>
      </c>
      <c r="H870" s="574" t="s">
        <v>2225</v>
      </c>
      <c r="I870" s="574" t="s">
        <v>2226</v>
      </c>
      <c r="J870" s="574" t="s">
        <v>2227</v>
      </c>
      <c r="K870" s="574" t="s">
        <v>2228</v>
      </c>
      <c r="L870" s="574" t="s">
        <v>2229</v>
      </c>
      <c r="M870" s="574" t="s">
        <v>2230</v>
      </c>
      <c r="N870" s="574" t="s">
        <v>2231</v>
      </c>
      <c r="O870" s="574" t="s">
        <v>2759</v>
      </c>
      <c r="P870" s="574" t="s">
        <v>2932</v>
      </c>
      <c r="Q870" s="574" t="s">
        <v>2234</v>
      </c>
      <c r="R870" s="574" t="s">
        <v>2225</v>
      </c>
      <c r="S870" s="574" t="s">
        <v>2737</v>
      </c>
      <c r="T870" s="574" t="s">
        <v>2738</v>
      </c>
      <c r="U870" s="574" t="s">
        <v>3504</v>
      </c>
      <c r="V870" s="574" t="s">
        <v>2238</v>
      </c>
      <c r="W870" s="574" t="s">
        <v>2239</v>
      </c>
      <c r="X870" s="574" t="s">
        <v>3110</v>
      </c>
      <c r="Y870" s="575" t="s">
        <v>2464</v>
      </c>
      <c r="Z870" s="575" t="s">
        <v>2464</v>
      </c>
      <c r="AA870" s="574" t="s">
        <v>1693</v>
      </c>
      <c r="AB870" s="574" t="s">
        <v>2319</v>
      </c>
      <c r="AC870" s="574" t="s">
        <v>2402</v>
      </c>
      <c r="AD870" s="574" t="s">
        <v>2403</v>
      </c>
      <c r="AE870" s="574" t="s">
        <v>1486</v>
      </c>
      <c r="AF870" s="574" t="s">
        <v>2403</v>
      </c>
      <c r="AG870" s="576">
        <v>188800</v>
      </c>
      <c r="AH870" s="576">
        <v>0</v>
      </c>
    </row>
    <row r="871" spans="1:34" customFormat="1" x14ac:dyDescent="0.25">
      <c r="A871" s="574" t="s">
        <v>2219</v>
      </c>
      <c r="B871" s="574" t="s">
        <v>2220</v>
      </c>
      <c r="C871" s="574" t="s">
        <v>2221</v>
      </c>
      <c r="D871" s="574" t="s">
        <v>2220</v>
      </c>
      <c r="E871" s="574" t="s">
        <v>2222</v>
      </c>
      <c r="F871" s="574" t="s">
        <v>2223</v>
      </c>
      <c r="G871" s="574" t="s">
        <v>2224</v>
      </c>
      <c r="H871" s="574" t="s">
        <v>2225</v>
      </c>
      <c r="I871" s="574" t="s">
        <v>2226</v>
      </c>
      <c r="J871" s="574" t="s">
        <v>2227</v>
      </c>
      <c r="K871" s="574" t="s">
        <v>2228</v>
      </c>
      <c r="L871" s="574" t="s">
        <v>2229</v>
      </c>
      <c r="M871" s="574" t="s">
        <v>2230</v>
      </c>
      <c r="N871" s="574" t="s">
        <v>2231</v>
      </c>
      <c r="O871" s="574" t="s">
        <v>2759</v>
      </c>
      <c r="P871" s="574" t="s">
        <v>2932</v>
      </c>
      <c r="Q871" s="574" t="s">
        <v>2234</v>
      </c>
      <c r="R871" s="574" t="s">
        <v>2225</v>
      </c>
      <c r="S871" s="574" t="s">
        <v>2737</v>
      </c>
      <c r="T871" s="574" t="s">
        <v>2738</v>
      </c>
      <c r="U871" s="574" t="s">
        <v>3505</v>
      </c>
      <c r="V871" s="574" t="s">
        <v>2238</v>
      </c>
      <c r="W871" s="574" t="s">
        <v>2239</v>
      </c>
      <c r="X871" s="574" t="s">
        <v>3108</v>
      </c>
      <c r="Y871" s="575" t="s">
        <v>2464</v>
      </c>
      <c r="Z871" s="575" t="s">
        <v>2464</v>
      </c>
      <c r="AA871" s="574" t="s">
        <v>1693</v>
      </c>
      <c r="AB871" s="574" t="s">
        <v>2319</v>
      </c>
      <c r="AC871" s="574" t="s">
        <v>2402</v>
      </c>
      <c r="AD871" s="574" t="s">
        <v>2403</v>
      </c>
      <c r="AE871" s="574" t="s">
        <v>1486</v>
      </c>
      <c r="AF871" s="574" t="s">
        <v>2403</v>
      </c>
      <c r="AG871" s="576">
        <v>141600</v>
      </c>
      <c r="AH871" s="576">
        <v>0</v>
      </c>
    </row>
    <row r="872" spans="1:34" customFormat="1" x14ac:dyDescent="0.25">
      <c r="A872" s="574" t="s">
        <v>2219</v>
      </c>
      <c r="B872" s="574" t="s">
        <v>2220</v>
      </c>
      <c r="C872" s="574" t="s">
        <v>2221</v>
      </c>
      <c r="D872" s="574" t="s">
        <v>2220</v>
      </c>
      <c r="E872" s="574" t="s">
        <v>2222</v>
      </c>
      <c r="F872" s="574" t="s">
        <v>2223</v>
      </c>
      <c r="G872" s="574" t="s">
        <v>2224</v>
      </c>
      <c r="H872" s="574" t="s">
        <v>2225</v>
      </c>
      <c r="I872" s="574" t="s">
        <v>2226</v>
      </c>
      <c r="J872" s="574" t="s">
        <v>2227</v>
      </c>
      <c r="K872" s="574" t="s">
        <v>2228</v>
      </c>
      <c r="L872" s="574" t="s">
        <v>2229</v>
      </c>
      <c r="M872" s="574" t="s">
        <v>2230</v>
      </c>
      <c r="N872" s="574" t="s">
        <v>2231</v>
      </c>
      <c r="O872" s="574" t="s">
        <v>2759</v>
      </c>
      <c r="P872" s="574" t="s">
        <v>2932</v>
      </c>
      <c r="Q872" s="574" t="s">
        <v>2234</v>
      </c>
      <c r="R872" s="574" t="s">
        <v>2225</v>
      </c>
      <c r="S872" s="574" t="s">
        <v>2737</v>
      </c>
      <c r="T872" s="574" t="s">
        <v>2738</v>
      </c>
      <c r="U872" s="574" t="s">
        <v>3506</v>
      </c>
      <c r="V872" s="574" t="s">
        <v>2238</v>
      </c>
      <c r="W872" s="574" t="s">
        <v>2239</v>
      </c>
      <c r="X872" s="574" t="s">
        <v>3212</v>
      </c>
      <c r="Y872" s="575" t="s">
        <v>2464</v>
      </c>
      <c r="Z872" s="575" t="s">
        <v>2464</v>
      </c>
      <c r="AA872" s="574" t="s">
        <v>1693</v>
      </c>
      <c r="AB872" s="574" t="s">
        <v>2319</v>
      </c>
      <c r="AC872" s="574" t="s">
        <v>2402</v>
      </c>
      <c r="AD872" s="574" t="s">
        <v>2403</v>
      </c>
      <c r="AE872" s="574" t="s">
        <v>1486</v>
      </c>
      <c r="AF872" s="574" t="s">
        <v>2403</v>
      </c>
      <c r="AG872" s="576">
        <v>82600</v>
      </c>
      <c r="AH872" s="576">
        <v>0</v>
      </c>
    </row>
    <row r="873" spans="1:34" customFormat="1" x14ac:dyDescent="0.25">
      <c r="A873" s="574" t="s">
        <v>2219</v>
      </c>
      <c r="B873" s="574" t="s">
        <v>2220</v>
      </c>
      <c r="C873" s="574" t="s">
        <v>2221</v>
      </c>
      <c r="D873" s="574" t="s">
        <v>2220</v>
      </c>
      <c r="E873" s="574" t="s">
        <v>2222</v>
      </c>
      <c r="F873" s="574" t="s">
        <v>2223</v>
      </c>
      <c r="G873" s="574" t="s">
        <v>2224</v>
      </c>
      <c r="H873" s="574" t="s">
        <v>2225</v>
      </c>
      <c r="I873" s="574" t="s">
        <v>2226</v>
      </c>
      <c r="J873" s="574" t="s">
        <v>2227</v>
      </c>
      <c r="K873" s="574" t="s">
        <v>2228</v>
      </c>
      <c r="L873" s="574" t="s">
        <v>2229</v>
      </c>
      <c r="M873" s="574" t="s">
        <v>2230</v>
      </c>
      <c r="N873" s="574" t="s">
        <v>2231</v>
      </c>
      <c r="O873" s="574" t="s">
        <v>2759</v>
      </c>
      <c r="P873" s="574" t="s">
        <v>2932</v>
      </c>
      <c r="Q873" s="574" t="s">
        <v>2234</v>
      </c>
      <c r="R873" s="574" t="s">
        <v>2225</v>
      </c>
      <c r="S873" s="574" t="s">
        <v>2737</v>
      </c>
      <c r="T873" s="574" t="s">
        <v>2738</v>
      </c>
      <c r="U873" s="574" t="s">
        <v>3507</v>
      </c>
      <c r="V873" s="574" t="s">
        <v>2238</v>
      </c>
      <c r="W873" s="574" t="s">
        <v>2239</v>
      </c>
      <c r="X873" s="574" t="s">
        <v>3141</v>
      </c>
      <c r="Y873" s="575" t="s">
        <v>2464</v>
      </c>
      <c r="Z873" s="575" t="s">
        <v>2464</v>
      </c>
      <c r="AA873" s="574" t="s">
        <v>1693</v>
      </c>
      <c r="AB873" s="574" t="s">
        <v>2319</v>
      </c>
      <c r="AC873" s="574" t="s">
        <v>2320</v>
      </c>
      <c r="AD873" s="574" t="s">
        <v>2321</v>
      </c>
      <c r="AE873" s="574" t="s">
        <v>1446</v>
      </c>
      <c r="AF873" s="574" t="s">
        <v>2321</v>
      </c>
      <c r="AG873" s="576">
        <v>137175</v>
      </c>
      <c r="AH873" s="576">
        <v>0</v>
      </c>
    </row>
    <row r="874" spans="1:34" customFormat="1" x14ac:dyDescent="0.25">
      <c r="A874" s="574" t="s">
        <v>2219</v>
      </c>
      <c r="B874" s="574" t="s">
        <v>2220</v>
      </c>
      <c r="C874" s="574" t="s">
        <v>2221</v>
      </c>
      <c r="D874" s="574" t="s">
        <v>2220</v>
      </c>
      <c r="E874" s="574" t="s">
        <v>2222</v>
      </c>
      <c r="F874" s="574" t="s">
        <v>2223</v>
      </c>
      <c r="G874" s="574" t="s">
        <v>2224</v>
      </c>
      <c r="H874" s="574" t="s">
        <v>2225</v>
      </c>
      <c r="I874" s="574" t="s">
        <v>2226</v>
      </c>
      <c r="J874" s="574" t="s">
        <v>2227</v>
      </c>
      <c r="K874" s="574" t="s">
        <v>2228</v>
      </c>
      <c r="L874" s="574" t="s">
        <v>2229</v>
      </c>
      <c r="M874" s="574" t="s">
        <v>2230</v>
      </c>
      <c r="N874" s="574" t="s">
        <v>2231</v>
      </c>
      <c r="O874" s="574" t="s">
        <v>2759</v>
      </c>
      <c r="P874" s="574" t="s">
        <v>2932</v>
      </c>
      <c r="Q874" s="574" t="s">
        <v>2234</v>
      </c>
      <c r="R874" s="574" t="s">
        <v>2225</v>
      </c>
      <c r="S874" s="574" t="s">
        <v>2737</v>
      </c>
      <c r="T874" s="574" t="s">
        <v>2738</v>
      </c>
      <c r="U874" s="574" t="s">
        <v>3508</v>
      </c>
      <c r="V874" s="574" t="s">
        <v>2238</v>
      </c>
      <c r="W874" s="574" t="s">
        <v>2239</v>
      </c>
      <c r="X874" s="574" t="s">
        <v>3137</v>
      </c>
      <c r="Y874" s="575" t="s">
        <v>2464</v>
      </c>
      <c r="Z874" s="575" t="s">
        <v>2464</v>
      </c>
      <c r="AA874" s="574" t="s">
        <v>1693</v>
      </c>
      <c r="AB874" s="574" t="s">
        <v>2319</v>
      </c>
      <c r="AC874" s="574" t="s">
        <v>2320</v>
      </c>
      <c r="AD874" s="574" t="s">
        <v>2321</v>
      </c>
      <c r="AE874" s="574" t="s">
        <v>1446</v>
      </c>
      <c r="AF874" s="574" t="s">
        <v>2321</v>
      </c>
      <c r="AG874" s="576">
        <v>212400</v>
      </c>
      <c r="AH874" s="576">
        <v>0</v>
      </c>
    </row>
    <row r="875" spans="1:34" customFormat="1" x14ac:dyDescent="0.25">
      <c r="A875" s="574" t="s">
        <v>2219</v>
      </c>
      <c r="B875" s="574" t="s">
        <v>2220</v>
      </c>
      <c r="C875" s="574" t="s">
        <v>2221</v>
      </c>
      <c r="D875" s="574" t="s">
        <v>2220</v>
      </c>
      <c r="E875" s="574" t="s">
        <v>2222</v>
      </c>
      <c r="F875" s="574" t="s">
        <v>2223</v>
      </c>
      <c r="G875" s="574" t="s">
        <v>2224</v>
      </c>
      <c r="H875" s="574" t="s">
        <v>2225</v>
      </c>
      <c r="I875" s="574" t="s">
        <v>2226</v>
      </c>
      <c r="J875" s="574" t="s">
        <v>2227</v>
      </c>
      <c r="K875" s="574" t="s">
        <v>2228</v>
      </c>
      <c r="L875" s="574" t="s">
        <v>2229</v>
      </c>
      <c r="M875" s="574" t="s">
        <v>2230</v>
      </c>
      <c r="N875" s="574" t="s">
        <v>2231</v>
      </c>
      <c r="O875" s="574" t="s">
        <v>2759</v>
      </c>
      <c r="P875" s="574" t="s">
        <v>2932</v>
      </c>
      <c r="Q875" s="574" t="s">
        <v>2234</v>
      </c>
      <c r="R875" s="574" t="s">
        <v>2225</v>
      </c>
      <c r="S875" s="574" t="s">
        <v>2737</v>
      </c>
      <c r="T875" s="574" t="s">
        <v>2738</v>
      </c>
      <c r="U875" s="574" t="s">
        <v>3509</v>
      </c>
      <c r="V875" s="574" t="s">
        <v>2238</v>
      </c>
      <c r="W875" s="574" t="s">
        <v>2239</v>
      </c>
      <c r="X875" s="574" t="s">
        <v>3112</v>
      </c>
      <c r="Y875" s="575" t="s">
        <v>2464</v>
      </c>
      <c r="Z875" s="575" t="s">
        <v>2464</v>
      </c>
      <c r="AA875" s="574" t="s">
        <v>1693</v>
      </c>
      <c r="AB875" s="574" t="s">
        <v>2319</v>
      </c>
      <c r="AC875" s="574" t="s">
        <v>2320</v>
      </c>
      <c r="AD875" s="574" t="s">
        <v>2321</v>
      </c>
      <c r="AE875" s="574" t="s">
        <v>1446</v>
      </c>
      <c r="AF875" s="574" t="s">
        <v>2321</v>
      </c>
      <c r="AG875" s="576">
        <v>60531.05</v>
      </c>
      <c r="AH875" s="576">
        <v>0</v>
      </c>
    </row>
    <row r="876" spans="1:34" customFormat="1" x14ac:dyDescent="0.25">
      <c r="A876" s="574" t="s">
        <v>2219</v>
      </c>
      <c r="B876" s="574" t="s">
        <v>2220</v>
      </c>
      <c r="C876" s="574" t="s">
        <v>2221</v>
      </c>
      <c r="D876" s="574" t="s">
        <v>2220</v>
      </c>
      <c r="E876" s="574" t="s">
        <v>2222</v>
      </c>
      <c r="F876" s="574" t="s">
        <v>2223</v>
      </c>
      <c r="G876" s="574" t="s">
        <v>2224</v>
      </c>
      <c r="H876" s="574" t="s">
        <v>2225</v>
      </c>
      <c r="I876" s="574" t="s">
        <v>2226</v>
      </c>
      <c r="J876" s="574" t="s">
        <v>2227</v>
      </c>
      <c r="K876" s="574" t="s">
        <v>2228</v>
      </c>
      <c r="L876" s="574" t="s">
        <v>2229</v>
      </c>
      <c r="M876" s="574" t="s">
        <v>2230</v>
      </c>
      <c r="N876" s="574" t="s">
        <v>2231</v>
      </c>
      <c r="O876" s="574" t="s">
        <v>2759</v>
      </c>
      <c r="P876" s="574" t="s">
        <v>2932</v>
      </c>
      <c r="Q876" s="574" t="s">
        <v>2234</v>
      </c>
      <c r="R876" s="574" t="s">
        <v>2225</v>
      </c>
      <c r="S876" s="574" t="s">
        <v>2737</v>
      </c>
      <c r="T876" s="574" t="s">
        <v>2738</v>
      </c>
      <c r="U876" s="574" t="s">
        <v>3510</v>
      </c>
      <c r="V876" s="574" t="s">
        <v>2238</v>
      </c>
      <c r="W876" s="574" t="s">
        <v>2239</v>
      </c>
      <c r="X876" s="574" t="s">
        <v>3139</v>
      </c>
      <c r="Y876" s="575" t="s">
        <v>2464</v>
      </c>
      <c r="Z876" s="575" t="s">
        <v>2464</v>
      </c>
      <c r="AA876" s="574" t="s">
        <v>1691</v>
      </c>
      <c r="AB876" s="574" t="s">
        <v>2297</v>
      </c>
      <c r="AC876" s="574" t="s">
        <v>2298</v>
      </c>
      <c r="AD876" s="574" t="s">
        <v>2299</v>
      </c>
      <c r="AE876" s="574" t="s">
        <v>1468</v>
      </c>
      <c r="AF876" s="574" t="s">
        <v>2299</v>
      </c>
      <c r="AG876" s="576">
        <v>200000</v>
      </c>
      <c r="AH876" s="576">
        <v>0</v>
      </c>
    </row>
    <row r="877" spans="1:34" customFormat="1" x14ac:dyDescent="0.25">
      <c r="A877" s="574" t="s">
        <v>2219</v>
      </c>
      <c r="B877" s="574" t="s">
        <v>2220</v>
      </c>
      <c r="C877" s="574" t="s">
        <v>2221</v>
      </c>
      <c r="D877" s="574" t="s">
        <v>2220</v>
      </c>
      <c r="E877" s="574" t="s">
        <v>2222</v>
      </c>
      <c r="F877" s="574" t="s">
        <v>2223</v>
      </c>
      <c r="G877" s="574" t="s">
        <v>2224</v>
      </c>
      <c r="H877" s="574" t="s">
        <v>2225</v>
      </c>
      <c r="I877" s="574" t="s">
        <v>2226</v>
      </c>
      <c r="J877" s="574" t="s">
        <v>2227</v>
      </c>
      <c r="K877" s="574" t="s">
        <v>2228</v>
      </c>
      <c r="L877" s="574" t="s">
        <v>2229</v>
      </c>
      <c r="M877" s="574" t="s">
        <v>2230</v>
      </c>
      <c r="N877" s="574" t="s">
        <v>2231</v>
      </c>
      <c r="O877" s="574" t="s">
        <v>2759</v>
      </c>
      <c r="P877" s="574" t="s">
        <v>2932</v>
      </c>
      <c r="Q877" s="574" t="s">
        <v>2234</v>
      </c>
      <c r="R877" s="574" t="s">
        <v>2225</v>
      </c>
      <c r="S877" s="574" t="s">
        <v>2737</v>
      </c>
      <c r="T877" s="574" t="s">
        <v>2738</v>
      </c>
      <c r="U877" s="574" t="s">
        <v>3511</v>
      </c>
      <c r="V877" s="574" t="s">
        <v>2238</v>
      </c>
      <c r="W877" s="574" t="s">
        <v>2239</v>
      </c>
      <c r="X877" s="574" t="s">
        <v>3147</v>
      </c>
      <c r="Y877" s="575" t="s">
        <v>2464</v>
      </c>
      <c r="Z877" s="575" t="s">
        <v>2464</v>
      </c>
      <c r="AA877" s="574" t="s">
        <v>1691</v>
      </c>
      <c r="AB877" s="574" t="s">
        <v>2297</v>
      </c>
      <c r="AC877" s="574" t="s">
        <v>2298</v>
      </c>
      <c r="AD877" s="574" t="s">
        <v>2299</v>
      </c>
      <c r="AE877" s="574" t="s">
        <v>1468</v>
      </c>
      <c r="AF877" s="574" t="s">
        <v>2299</v>
      </c>
      <c r="AG877" s="576">
        <v>210000</v>
      </c>
      <c r="AH877" s="576">
        <v>0</v>
      </c>
    </row>
    <row r="878" spans="1:34" customFormat="1" x14ac:dyDescent="0.25">
      <c r="A878" s="574" t="s">
        <v>2219</v>
      </c>
      <c r="B878" s="574" t="s">
        <v>2220</v>
      </c>
      <c r="C878" s="574" t="s">
        <v>2221</v>
      </c>
      <c r="D878" s="574" t="s">
        <v>2220</v>
      </c>
      <c r="E878" s="574" t="s">
        <v>2222</v>
      </c>
      <c r="F878" s="574" t="s">
        <v>2223</v>
      </c>
      <c r="G878" s="574" t="s">
        <v>2224</v>
      </c>
      <c r="H878" s="574" t="s">
        <v>2225</v>
      </c>
      <c r="I878" s="574" t="s">
        <v>2226</v>
      </c>
      <c r="J878" s="574" t="s">
        <v>2227</v>
      </c>
      <c r="K878" s="574" t="s">
        <v>2228</v>
      </c>
      <c r="L878" s="574" t="s">
        <v>2229</v>
      </c>
      <c r="M878" s="574" t="s">
        <v>2230</v>
      </c>
      <c r="N878" s="574" t="s">
        <v>2231</v>
      </c>
      <c r="O878" s="574" t="s">
        <v>2759</v>
      </c>
      <c r="P878" s="574" t="s">
        <v>2932</v>
      </c>
      <c r="Q878" s="574" t="s">
        <v>2234</v>
      </c>
      <c r="R878" s="574" t="s">
        <v>2225</v>
      </c>
      <c r="S878" s="574" t="s">
        <v>2737</v>
      </c>
      <c r="T878" s="574" t="s">
        <v>2738</v>
      </c>
      <c r="U878" s="574" t="s">
        <v>3512</v>
      </c>
      <c r="V878" s="574" t="s">
        <v>2238</v>
      </c>
      <c r="W878" s="574" t="s">
        <v>2239</v>
      </c>
      <c r="X878" s="574" t="s">
        <v>3238</v>
      </c>
      <c r="Y878" s="575" t="s">
        <v>2464</v>
      </c>
      <c r="Z878" s="575" t="s">
        <v>2464</v>
      </c>
      <c r="AA878" s="574" t="s">
        <v>1693</v>
      </c>
      <c r="AB878" s="574" t="s">
        <v>2319</v>
      </c>
      <c r="AC878" s="574" t="s">
        <v>2402</v>
      </c>
      <c r="AD878" s="574" t="s">
        <v>2403</v>
      </c>
      <c r="AE878" s="574" t="s">
        <v>1486</v>
      </c>
      <c r="AF878" s="574" t="s">
        <v>2403</v>
      </c>
      <c r="AG878" s="576">
        <v>204140</v>
      </c>
      <c r="AH878" s="576">
        <v>0</v>
      </c>
    </row>
    <row r="879" spans="1:34" customFormat="1" x14ac:dyDescent="0.25">
      <c r="A879" s="574" t="s">
        <v>2219</v>
      </c>
      <c r="B879" s="574" t="s">
        <v>2220</v>
      </c>
      <c r="C879" s="574" t="s">
        <v>2221</v>
      </c>
      <c r="D879" s="574" t="s">
        <v>2220</v>
      </c>
      <c r="E879" s="574" t="s">
        <v>2222</v>
      </c>
      <c r="F879" s="574" t="s">
        <v>2223</v>
      </c>
      <c r="G879" s="574" t="s">
        <v>2224</v>
      </c>
      <c r="H879" s="574" t="s">
        <v>2225</v>
      </c>
      <c r="I879" s="574" t="s">
        <v>2226</v>
      </c>
      <c r="J879" s="574" t="s">
        <v>2227</v>
      </c>
      <c r="K879" s="574" t="s">
        <v>2228</v>
      </c>
      <c r="L879" s="574" t="s">
        <v>2229</v>
      </c>
      <c r="M879" s="574" t="s">
        <v>2230</v>
      </c>
      <c r="N879" s="574" t="s">
        <v>2231</v>
      </c>
      <c r="O879" s="574" t="s">
        <v>2759</v>
      </c>
      <c r="P879" s="574" t="s">
        <v>2932</v>
      </c>
      <c r="Q879" s="574" t="s">
        <v>2234</v>
      </c>
      <c r="R879" s="574" t="s">
        <v>2225</v>
      </c>
      <c r="S879" s="574" t="s">
        <v>2737</v>
      </c>
      <c r="T879" s="574" t="s">
        <v>2738</v>
      </c>
      <c r="U879" s="574" t="s">
        <v>3513</v>
      </c>
      <c r="V879" s="574" t="s">
        <v>2238</v>
      </c>
      <c r="W879" s="574" t="s">
        <v>2239</v>
      </c>
      <c r="X879" s="574" t="s">
        <v>3155</v>
      </c>
      <c r="Y879" s="575" t="s">
        <v>2464</v>
      </c>
      <c r="Z879" s="575" t="s">
        <v>2471</v>
      </c>
      <c r="AA879" s="574" t="s">
        <v>1693</v>
      </c>
      <c r="AB879" s="574" t="s">
        <v>2319</v>
      </c>
      <c r="AC879" s="574" t="s">
        <v>2320</v>
      </c>
      <c r="AD879" s="574" t="s">
        <v>2321</v>
      </c>
      <c r="AE879" s="574" t="s">
        <v>1446</v>
      </c>
      <c r="AF879" s="574" t="s">
        <v>2321</v>
      </c>
      <c r="AG879" s="576">
        <v>210000</v>
      </c>
      <c r="AH879" s="576">
        <v>0</v>
      </c>
    </row>
    <row r="880" spans="1:34" customFormat="1" x14ac:dyDescent="0.25">
      <c r="A880" s="574" t="s">
        <v>2219</v>
      </c>
      <c r="B880" s="574" t="s">
        <v>2220</v>
      </c>
      <c r="C880" s="574" t="s">
        <v>2221</v>
      </c>
      <c r="D880" s="574" t="s">
        <v>2220</v>
      </c>
      <c r="E880" s="574" t="s">
        <v>2222</v>
      </c>
      <c r="F880" s="574" t="s">
        <v>2223</v>
      </c>
      <c r="G880" s="574" t="s">
        <v>2224</v>
      </c>
      <c r="H880" s="574" t="s">
        <v>2225</v>
      </c>
      <c r="I880" s="574" t="s">
        <v>2226</v>
      </c>
      <c r="J880" s="574" t="s">
        <v>2227</v>
      </c>
      <c r="K880" s="574" t="s">
        <v>2228</v>
      </c>
      <c r="L880" s="574" t="s">
        <v>2229</v>
      </c>
      <c r="M880" s="574" t="s">
        <v>2230</v>
      </c>
      <c r="N880" s="574" t="s">
        <v>2231</v>
      </c>
      <c r="O880" s="574" t="s">
        <v>2759</v>
      </c>
      <c r="P880" s="574" t="s">
        <v>2932</v>
      </c>
      <c r="Q880" s="574" t="s">
        <v>2234</v>
      </c>
      <c r="R880" s="574" t="s">
        <v>2225</v>
      </c>
      <c r="S880" s="574" t="s">
        <v>2737</v>
      </c>
      <c r="T880" s="574" t="s">
        <v>2738</v>
      </c>
      <c r="U880" s="574" t="s">
        <v>3514</v>
      </c>
      <c r="V880" s="574" t="s">
        <v>2238</v>
      </c>
      <c r="W880" s="574" t="s">
        <v>2239</v>
      </c>
      <c r="X880" s="574" t="s">
        <v>3220</v>
      </c>
      <c r="Y880" s="575" t="s">
        <v>2726</v>
      </c>
      <c r="Z880" s="575" t="s">
        <v>2726</v>
      </c>
      <c r="AA880" s="574" t="s">
        <v>1684</v>
      </c>
      <c r="AB880" s="574" t="s">
        <v>2933</v>
      </c>
      <c r="AC880" s="574" t="s">
        <v>2934</v>
      </c>
      <c r="AD880" s="574" t="s">
        <v>137</v>
      </c>
      <c r="AE880" s="574" t="s">
        <v>1461</v>
      </c>
      <c r="AF880" s="574" t="s">
        <v>137</v>
      </c>
      <c r="AG880" s="576">
        <v>202624.15</v>
      </c>
      <c r="AH880" s="576">
        <v>0</v>
      </c>
    </row>
    <row r="881" spans="1:34" customFormat="1" x14ac:dyDescent="0.25">
      <c r="A881" s="574" t="s">
        <v>2219</v>
      </c>
      <c r="B881" s="574" t="s">
        <v>2220</v>
      </c>
      <c r="C881" s="574" t="s">
        <v>2221</v>
      </c>
      <c r="D881" s="574" t="s">
        <v>2220</v>
      </c>
      <c r="E881" s="574" t="s">
        <v>2222</v>
      </c>
      <c r="F881" s="574" t="s">
        <v>2223</v>
      </c>
      <c r="G881" s="574" t="s">
        <v>2224</v>
      </c>
      <c r="H881" s="574" t="s">
        <v>2225</v>
      </c>
      <c r="I881" s="574" t="s">
        <v>2226</v>
      </c>
      <c r="J881" s="574" t="s">
        <v>2227</v>
      </c>
      <c r="K881" s="574" t="s">
        <v>2228</v>
      </c>
      <c r="L881" s="574" t="s">
        <v>2229</v>
      </c>
      <c r="M881" s="574" t="s">
        <v>2230</v>
      </c>
      <c r="N881" s="574" t="s">
        <v>2231</v>
      </c>
      <c r="O881" s="574" t="s">
        <v>2759</v>
      </c>
      <c r="P881" s="574" t="s">
        <v>2932</v>
      </c>
      <c r="Q881" s="574" t="s">
        <v>2234</v>
      </c>
      <c r="R881" s="574" t="s">
        <v>2225</v>
      </c>
      <c r="S881" s="574" t="s">
        <v>2737</v>
      </c>
      <c r="T881" s="574" t="s">
        <v>2738</v>
      </c>
      <c r="U881" s="574" t="s">
        <v>3514</v>
      </c>
      <c r="V881" s="574" t="s">
        <v>2238</v>
      </c>
      <c r="W881" s="574" t="s">
        <v>2239</v>
      </c>
      <c r="X881" s="574" t="s">
        <v>3220</v>
      </c>
      <c r="Y881" s="575" t="s">
        <v>2726</v>
      </c>
      <c r="Z881" s="575" t="s">
        <v>2726</v>
      </c>
      <c r="AA881" s="574" t="s">
        <v>1685</v>
      </c>
      <c r="AB881" s="574" t="s">
        <v>2935</v>
      </c>
      <c r="AC881" s="574" t="s">
        <v>2936</v>
      </c>
      <c r="AD881" s="574" t="s">
        <v>2937</v>
      </c>
      <c r="AE881" s="574" t="s">
        <v>2938</v>
      </c>
      <c r="AF881" s="574" t="s">
        <v>2939</v>
      </c>
      <c r="AG881" s="576">
        <v>16089.95</v>
      </c>
      <c r="AH881" s="576">
        <v>0</v>
      </c>
    </row>
    <row r="882" spans="1:34" customFormat="1" x14ac:dyDescent="0.25">
      <c r="A882" s="574" t="s">
        <v>2219</v>
      </c>
      <c r="B882" s="574" t="s">
        <v>2220</v>
      </c>
      <c r="C882" s="574" t="s">
        <v>2221</v>
      </c>
      <c r="D882" s="574" t="s">
        <v>2220</v>
      </c>
      <c r="E882" s="574" t="s">
        <v>2222</v>
      </c>
      <c r="F882" s="574" t="s">
        <v>2223</v>
      </c>
      <c r="G882" s="574" t="s">
        <v>2224</v>
      </c>
      <c r="H882" s="574" t="s">
        <v>2225</v>
      </c>
      <c r="I882" s="574" t="s">
        <v>2226</v>
      </c>
      <c r="J882" s="574" t="s">
        <v>2227</v>
      </c>
      <c r="K882" s="574" t="s">
        <v>2228</v>
      </c>
      <c r="L882" s="574" t="s">
        <v>2229</v>
      </c>
      <c r="M882" s="574" t="s">
        <v>2230</v>
      </c>
      <c r="N882" s="574" t="s">
        <v>2231</v>
      </c>
      <c r="O882" s="574" t="s">
        <v>2759</v>
      </c>
      <c r="P882" s="574" t="s">
        <v>2932</v>
      </c>
      <c r="Q882" s="574" t="s">
        <v>2234</v>
      </c>
      <c r="R882" s="574" t="s">
        <v>2225</v>
      </c>
      <c r="S882" s="574" t="s">
        <v>2737</v>
      </c>
      <c r="T882" s="574" t="s">
        <v>2738</v>
      </c>
      <c r="U882" s="574" t="s">
        <v>3514</v>
      </c>
      <c r="V882" s="574" t="s">
        <v>2238</v>
      </c>
      <c r="W882" s="574" t="s">
        <v>2239</v>
      </c>
      <c r="X882" s="574" t="s">
        <v>3220</v>
      </c>
      <c r="Y882" s="575" t="s">
        <v>2726</v>
      </c>
      <c r="Z882" s="575" t="s">
        <v>2726</v>
      </c>
      <c r="AA882" s="574" t="s">
        <v>1692</v>
      </c>
      <c r="AB882" s="574" t="s">
        <v>2307</v>
      </c>
      <c r="AC882" s="574" t="s">
        <v>2308</v>
      </c>
      <c r="AD882" s="574" t="s">
        <v>2309</v>
      </c>
      <c r="AE882" s="574" t="s">
        <v>1490</v>
      </c>
      <c r="AF882" s="574" t="s">
        <v>176</v>
      </c>
      <c r="AG882" s="576">
        <v>7018694.7599999998</v>
      </c>
      <c r="AH882" s="576">
        <v>0</v>
      </c>
    </row>
    <row r="883" spans="1:34" customFormat="1" x14ac:dyDescent="0.25">
      <c r="A883" s="574" t="s">
        <v>2219</v>
      </c>
      <c r="B883" s="574" t="s">
        <v>2220</v>
      </c>
      <c r="C883" s="574" t="s">
        <v>2221</v>
      </c>
      <c r="D883" s="574" t="s">
        <v>2220</v>
      </c>
      <c r="E883" s="574" t="s">
        <v>2222</v>
      </c>
      <c r="F883" s="574" t="s">
        <v>2223</v>
      </c>
      <c r="G883" s="574" t="s">
        <v>2224</v>
      </c>
      <c r="H883" s="574" t="s">
        <v>2225</v>
      </c>
      <c r="I883" s="574" t="s">
        <v>2226</v>
      </c>
      <c r="J883" s="574" t="s">
        <v>2227</v>
      </c>
      <c r="K883" s="574" t="s">
        <v>2228</v>
      </c>
      <c r="L883" s="574" t="s">
        <v>2229</v>
      </c>
      <c r="M883" s="574" t="s">
        <v>2230</v>
      </c>
      <c r="N883" s="574" t="s">
        <v>2231</v>
      </c>
      <c r="O883" s="574" t="s">
        <v>2759</v>
      </c>
      <c r="P883" s="574" t="s">
        <v>2932</v>
      </c>
      <c r="Q883" s="574" t="s">
        <v>2234</v>
      </c>
      <c r="R883" s="574" t="s">
        <v>2225</v>
      </c>
      <c r="S883" s="574" t="s">
        <v>2737</v>
      </c>
      <c r="T883" s="574" t="s">
        <v>2738</v>
      </c>
      <c r="U883" s="574" t="s">
        <v>3515</v>
      </c>
      <c r="V883" s="574" t="s">
        <v>2238</v>
      </c>
      <c r="W883" s="574" t="s">
        <v>2239</v>
      </c>
      <c r="X883" s="574" t="s">
        <v>3210</v>
      </c>
      <c r="Y883" s="575" t="s">
        <v>2672</v>
      </c>
      <c r="Z883" s="575" t="s">
        <v>2672</v>
      </c>
      <c r="AA883" s="574" t="s">
        <v>1693</v>
      </c>
      <c r="AB883" s="574" t="s">
        <v>2319</v>
      </c>
      <c r="AC883" s="574" t="s">
        <v>2320</v>
      </c>
      <c r="AD883" s="574" t="s">
        <v>2321</v>
      </c>
      <c r="AE883" s="574" t="s">
        <v>1446</v>
      </c>
      <c r="AF883" s="574" t="s">
        <v>2321</v>
      </c>
      <c r="AG883" s="576">
        <v>566400</v>
      </c>
      <c r="AH883" s="576">
        <v>0</v>
      </c>
    </row>
    <row r="884" spans="1:34" customFormat="1" x14ac:dyDescent="0.25">
      <c r="A884" s="574" t="s">
        <v>2219</v>
      </c>
      <c r="B884" s="574" t="s">
        <v>2220</v>
      </c>
      <c r="C884" s="574" t="s">
        <v>2221</v>
      </c>
      <c r="D884" s="574" t="s">
        <v>2220</v>
      </c>
      <c r="E884" s="574" t="s">
        <v>2222</v>
      </c>
      <c r="F884" s="574" t="s">
        <v>2223</v>
      </c>
      <c r="G884" s="574" t="s">
        <v>2224</v>
      </c>
      <c r="H884" s="574" t="s">
        <v>2225</v>
      </c>
      <c r="I884" s="574" t="s">
        <v>2226</v>
      </c>
      <c r="J884" s="574" t="s">
        <v>2227</v>
      </c>
      <c r="K884" s="574" t="s">
        <v>2228</v>
      </c>
      <c r="L884" s="574" t="s">
        <v>2229</v>
      </c>
      <c r="M884" s="574" t="s">
        <v>2230</v>
      </c>
      <c r="N884" s="574" t="s">
        <v>2231</v>
      </c>
      <c r="O884" s="574" t="s">
        <v>2759</v>
      </c>
      <c r="P884" s="574" t="s">
        <v>2932</v>
      </c>
      <c r="Q884" s="574" t="s">
        <v>2234</v>
      </c>
      <c r="R884" s="574" t="s">
        <v>2225</v>
      </c>
      <c r="S884" s="574" t="s">
        <v>2737</v>
      </c>
      <c r="T884" s="574" t="s">
        <v>2738</v>
      </c>
      <c r="U884" s="574" t="s">
        <v>3516</v>
      </c>
      <c r="V884" s="574" t="s">
        <v>2238</v>
      </c>
      <c r="W884" s="574" t="s">
        <v>2239</v>
      </c>
      <c r="X884" s="574" t="s">
        <v>3163</v>
      </c>
      <c r="Y884" s="575" t="s">
        <v>2672</v>
      </c>
      <c r="Z884" s="575" t="s">
        <v>2672</v>
      </c>
      <c r="AA884" s="574" t="s">
        <v>1693</v>
      </c>
      <c r="AB884" s="574" t="s">
        <v>2319</v>
      </c>
      <c r="AC884" s="574" t="s">
        <v>2320</v>
      </c>
      <c r="AD884" s="574" t="s">
        <v>2321</v>
      </c>
      <c r="AE884" s="574" t="s">
        <v>1446</v>
      </c>
      <c r="AF884" s="574" t="s">
        <v>2321</v>
      </c>
      <c r="AG884" s="576">
        <v>88500</v>
      </c>
      <c r="AH884" s="576">
        <v>0</v>
      </c>
    </row>
    <row r="885" spans="1:34" customFormat="1" x14ac:dyDescent="0.25">
      <c r="A885" s="574" t="s">
        <v>2219</v>
      </c>
      <c r="B885" s="574" t="s">
        <v>2220</v>
      </c>
      <c r="C885" s="574" t="s">
        <v>2221</v>
      </c>
      <c r="D885" s="574" t="s">
        <v>2220</v>
      </c>
      <c r="E885" s="574" t="s">
        <v>2222</v>
      </c>
      <c r="F885" s="574" t="s">
        <v>2223</v>
      </c>
      <c r="G885" s="574" t="s">
        <v>2224</v>
      </c>
      <c r="H885" s="574" t="s">
        <v>2225</v>
      </c>
      <c r="I885" s="574" t="s">
        <v>2226</v>
      </c>
      <c r="J885" s="574" t="s">
        <v>2227</v>
      </c>
      <c r="K885" s="574" t="s">
        <v>2228</v>
      </c>
      <c r="L885" s="574" t="s">
        <v>2229</v>
      </c>
      <c r="M885" s="574" t="s">
        <v>2230</v>
      </c>
      <c r="N885" s="574" t="s">
        <v>2231</v>
      </c>
      <c r="O885" s="574" t="s">
        <v>2759</v>
      </c>
      <c r="P885" s="574" t="s">
        <v>2932</v>
      </c>
      <c r="Q885" s="574" t="s">
        <v>2234</v>
      </c>
      <c r="R885" s="574" t="s">
        <v>2225</v>
      </c>
      <c r="S885" s="574" t="s">
        <v>2737</v>
      </c>
      <c r="T885" s="574" t="s">
        <v>2738</v>
      </c>
      <c r="U885" s="574" t="s">
        <v>3517</v>
      </c>
      <c r="V885" s="574" t="s">
        <v>2238</v>
      </c>
      <c r="W885" s="574" t="s">
        <v>2239</v>
      </c>
      <c r="X885" s="574" t="s">
        <v>3161</v>
      </c>
      <c r="Y885" s="575" t="s">
        <v>2672</v>
      </c>
      <c r="Z885" s="575" t="s">
        <v>2672</v>
      </c>
      <c r="AA885" s="574" t="s">
        <v>1693</v>
      </c>
      <c r="AB885" s="574" t="s">
        <v>2319</v>
      </c>
      <c r="AC885" s="574" t="s">
        <v>2320</v>
      </c>
      <c r="AD885" s="574" t="s">
        <v>2321</v>
      </c>
      <c r="AE885" s="574" t="s">
        <v>1446</v>
      </c>
      <c r="AF885" s="574" t="s">
        <v>2321</v>
      </c>
      <c r="AG885" s="576">
        <v>240000</v>
      </c>
      <c r="AH885" s="576">
        <v>0</v>
      </c>
    </row>
    <row r="886" spans="1:34" customFormat="1" x14ac:dyDescent="0.25">
      <c r="A886" s="574" t="s">
        <v>2219</v>
      </c>
      <c r="B886" s="574" t="s">
        <v>2220</v>
      </c>
      <c r="C886" s="574" t="s">
        <v>2221</v>
      </c>
      <c r="D886" s="574" t="s">
        <v>2220</v>
      </c>
      <c r="E886" s="574" t="s">
        <v>2222</v>
      </c>
      <c r="F886" s="574" t="s">
        <v>2223</v>
      </c>
      <c r="G886" s="574" t="s">
        <v>2224</v>
      </c>
      <c r="H886" s="574" t="s">
        <v>2225</v>
      </c>
      <c r="I886" s="574" t="s">
        <v>2226</v>
      </c>
      <c r="J886" s="574" t="s">
        <v>2227</v>
      </c>
      <c r="K886" s="574" t="s">
        <v>2228</v>
      </c>
      <c r="L886" s="574" t="s">
        <v>2229</v>
      </c>
      <c r="M886" s="574" t="s">
        <v>2230</v>
      </c>
      <c r="N886" s="574" t="s">
        <v>2231</v>
      </c>
      <c r="O886" s="574" t="s">
        <v>2759</v>
      </c>
      <c r="P886" s="574" t="s">
        <v>2932</v>
      </c>
      <c r="Q886" s="574" t="s">
        <v>2234</v>
      </c>
      <c r="R886" s="574" t="s">
        <v>2225</v>
      </c>
      <c r="S886" s="574" t="s">
        <v>2737</v>
      </c>
      <c r="T886" s="574" t="s">
        <v>2738</v>
      </c>
      <c r="U886" s="574" t="s">
        <v>3518</v>
      </c>
      <c r="V886" s="574" t="s">
        <v>2238</v>
      </c>
      <c r="W886" s="574" t="s">
        <v>2239</v>
      </c>
      <c r="X886" s="574" t="s">
        <v>3159</v>
      </c>
      <c r="Y886" s="575" t="s">
        <v>2672</v>
      </c>
      <c r="Z886" s="575" t="s">
        <v>2672</v>
      </c>
      <c r="AA886" s="574" t="s">
        <v>1691</v>
      </c>
      <c r="AB886" s="574" t="s">
        <v>2297</v>
      </c>
      <c r="AC886" s="574" t="s">
        <v>2298</v>
      </c>
      <c r="AD886" s="574" t="s">
        <v>2299</v>
      </c>
      <c r="AE886" s="574" t="s">
        <v>1468</v>
      </c>
      <c r="AF886" s="574" t="s">
        <v>2299</v>
      </c>
      <c r="AG886" s="576">
        <v>177500</v>
      </c>
      <c r="AH886" s="576">
        <v>0</v>
      </c>
    </row>
    <row r="887" spans="1:34" customFormat="1" x14ac:dyDescent="0.25">
      <c r="A887" s="574" t="s">
        <v>2219</v>
      </c>
      <c r="B887" s="574" t="s">
        <v>2220</v>
      </c>
      <c r="C887" s="574" t="s">
        <v>2221</v>
      </c>
      <c r="D887" s="574" t="s">
        <v>2220</v>
      </c>
      <c r="E887" s="574" t="s">
        <v>2222</v>
      </c>
      <c r="F887" s="574" t="s">
        <v>2223</v>
      </c>
      <c r="G887" s="574" t="s">
        <v>2224</v>
      </c>
      <c r="H887" s="574" t="s">
        <v>2225</v>
      </c>
      <c r="I887" s="574" t="s">
        <v>2226</v>
      </c>
      <c r="J887" s="574" t="s">
        <v>2227</v>
      </c>
      <c r="K887" s="574" t="s">
        <v>2228</v>
      </c>
      <c r="L887" s="574" t="s">
        <v>2229</v>
      </c>
      <c r="M887" s="574" t="s">
        <v>2230</v>
      </c>
      <c r="N887" s="574" t="s">
        <v>2231</v>
      </c>
      <c r="O887" s="574" t="s">
        <v>2759</v>
      </c>
      <c r="P887" s="574" t="s">
        <v>2932</v>
      </c>
      <c r="Q887" s="574" t="s">
        <v>2234</v>
      </c>
      <c r="R887" s="574" t="s">
        <v>2225</v>
      </c>
      <c r="S887" s="574" t="s">
        <v>2737</v>
      </c>
      <c r="T887" s="574" t="s">
        <v>2738</v>
      </c>
      <c r="U887" s="574" t="s">
        <v>3519</v>
      </c>
      <c r="V887" s="574" t="s">
        <v>2238</v>
      </c>
      <c r="W887" s="574" t="s">
        <v>2239</v>
      </c>
      <c r="X887" s="574" t="s">
        <v>3167</v>
      </c>
      <c r="Y887" s="575" t="s">
        <v>2507</v>
      </c>
      <c r="Z887" s="575" t="s">
        <v>2507</v>
      </c>
      <c r="AA887" s="574" t="s">
        <v>1693</v>
      </c>
      <c r="AB887" s="574" t="s">
        <v>2319</v>
      </c>
      <c r="AC887" s="574" t="s">
        <v>2320</v>
      </c>
      <c r="AD887" s="574" t="s">
        <v>2321</v>
      </c>
      <c r="AE887" s="574" t="s">
        <v>1446</v>
      </c>
      <c r="AF887" s="574" t="s">
        <v>2321</v>
      </c>
      <c r="AG887" s="576">
        <v>448800</v>
      </c>
      <c r="AH887" s="576">
        <v>0</v>
      </c>
    </row>
    <row r="888" spans="1:34" customFormat="1" x14ac:dyDescent="0.25">
      <c r="A888" s="574" t="s">
        <v>2219</v>
      </c>
      <c r="B888" s="574" t="s">
        <v>2220</v>
      </c>
      <c r="C888" s="574" t="s">
        <v>2221</v>
      </c>
      <c r="D888" s="574" t="s">
        <v>2220</v>
      </c>
      <c r="E888" s="574" t="s">
        <v>2222</v>
      </c>
      <c r="F888" s="574" t="s">
        <v>2223</v>
      </c>
      <c r="G888" s="574" t="s">
        <v>2224</v>
      </c>
      <c r="H888" s="574" t="s">
        <v>2225</v>
      </c>
      <c r="I888" s="574" t="s">
        <v>2226</v>
      </c>
      <c r="J888" s="574" t="s">
        <v>2227</v>
      </c>
      <c r="K888" s="574" t="s">
        <v>2228</v>
      </c>
      <c r="L888" s="574" t="s">
        <v>2229</v>
      </c>
      <c r="M888" s="574" t="s">
        <v>2230</v>
      </c>
      <c r="N888" s="574" t="s">
        <v>2231</v>
      </c>
      <c r="O888" s="574" t="s">
        <v>2759</v>
      </c>
      <c r="P888" s="574" t="s">
        <v>2932</v>
      </c>
      <c r="Q888" s="574" t="s">
        <v>2234</v>
      </c>
      <c r="R888" s="574" t="s">
        <v>2225</v>
      </c>
      <c r="S888" s="574" t="s">
        <v>2737</v>
      </c>
      <c r="T888" s="574" t="s">
        <v>2738</v>
      </c>
      <c r="U888" s="574" t="s">
        <v>3520</v>
      </c>
      <c r="V888" s="574" t="s">
        <v>2238</v>
      </c>
      <c r="W888" s="574" t="s">
        <v>2239</v>
      </c>
      <c r="X888" s="574" t="s">
        <v>3173</v>
      </c>
      <c r="Y888" s="575" t="s">
        <v>2507</v>
      </c>
      <c r="Z888" s="575" t="s">
        <v>2507</v>
      </c>
      <c r="AA888" s="574" t="s">
        <v>1692</v>
      </c>
      <c r="AB888" s="574" t="s">
        <v>2307</v>
      </c>
      <c r="AC888" s="574" t="s">
        <v>2308</v>
      </c>
      <c r="AD888" s="574" t="s">
        <v>2309</v>
      </c>
      <c r="AE888" s="574" t="s">
        <v>1490</v>
      </c>
      <c r="AF888" s="574" t="s">
        <v>176</v>
      </c>
      <c r="AG888" s="576">
        <v>228000</v>
      </c>
      <c r="AH888" s="576">
        <v>0</v>
      </c>
    </row>
    <row r="889" spans="1:34" customFormat="1" x14ac:dyDescent="0.25">
      <c r="A889" s="574" t="s">
        <v>2219</v>
      </c>
      <c r="B889" s="574" t="s">
        <v>2220</v>
      </c>
      <c r="C889" s="574" t="s">
        <v>2221</v>
      </c>
      <c r="D889" s="574" t="s">
        <v>2220</v>
      </c>
      <c r="E889" s="574" t="s">
        <v>2222</v>
      </c>
      <c r="F889" s="574" t="s">
        <v>2223</v>
      </c>
      <c r="G889" s="574" t="s">
        <v>2224</v>
      </c>
      <c r="H889" s="574" t="s">
        <v>2225</v>
      </c>
      <c r="I889" s="574" t="s">
        <v>2226</v>
      </c>
      <c r="J889" s="574" t="s">
        <v>2227</v>
      </c>
      <c r="K889" s="574" t="s">
        <v>2228</v>
      </c>
      <c r="L889" s="574" t="s">
        <v>2229</v>
      </c>
      <c r="M889" s="574" t="s">
        <v>2230</v>
      </c>
      <c r="N889" s="574" t="s">
        <v>2231</v>
      </c>
      <c r="O889" s="574" t="s">
        <v>2759</v>
      </c>
      <c r="P889" s="574" t="s">
        <v>2932</v>
      </c>
      <c r="Q889" s="574" t="s">
        <v>2234</v>
      </c>
      <c r="R889" s="574" t="s">
        <v>2225</v>
      </c>
      <c r="S889" s="574" t="s">
        <v>2737</v>
      </c>
      <c r="T889" s="574" t="s">
        <v>2738</v>
      </c>
      <c r="U889" s="574" t="s">
        <v>3521</v>
      </c>
      <c r="V889" s="574" t="s">
        <v>2238</v>
      </c>
      <c r="W889" s="574" t="s">
        <v>2239</v>
      </c>
      <c r="X889" s="574" t="s">
        <v>3171</v>
      </c>
      <c r="Y889" s="575" t="s">
        <v>2507</v>
      </c>
      <c r="Z889" s="575" t="s">
        <v>2507</v>
      </c>
      <c r="AA889" s="574" t="s">
        <v>1693</v>
      </c>
      <c r="AB889" s="574" t="s">
        <v>2319</v>
      </c>
      <c r="AC889" s="574" t="s">
        <v>2320</v>
      </c>
      <c r="AD889" s="574" t="s">
        <v>2321</v>
      </c>
      <c r="AE889" s="574" t="s">
        <v>1446</v>
      </c>
      <c r="AF889" s="574" t="s">
        <v>2321</v>
      </c>
      <c r="AG889" s="576">
        <v>204000</v>
      </c>
      <c r="AH889" s="576">
        <v>0</v>
      </c>
    </row>
    <row r="890" spans="1:34" customFormat="1" x14ac:dyDescent="0.25">
      <c r="A890" s="574" t="s">
        <v>2219</v>
      </c>
      <c r="B890" s="574" t="s">
        <v>2220</v>
      </c>
      <c r="C890" s="574" t="s">
        <v>2221</v>
      </c>
      <c r="D890" s="574" t="s">
        <v>2220</v>
      </c>
      <c r="E890" s="574" t="s">
        <v>2222</v>
      </c>
      <c r="F890" s="574" t="s">
        <v>2223</v>
      </c>
      <c r="G890" s="574" t="s">
        <v>2224</v>
      </c>
      <c r="H890" s="574" t="s">
        <v>2225</v>
      </c>
      <c r="I890" s="574" t="s">
        <v>2226</v>
      </c>
      <c r="J890" s="574" t="s">
        <v>2227</v>
      </c>
      <c r="K890" s="574" t="s">
        <v>2228</v>
      </c>
      <c r="L890" s="574" t="s">
        <v>2229</v>
      </c>
      <c r="M890" s="574" t="s">
        <v>2230</v>
      </c>
      <c r="N890" s="574" t="s">
        <v>2231</v>
      </c>
      <c r="O890" s="574" t="s">
        <v>2759</v>
      </c>
      <c r="P890" s="574" t="s">
        <v>2932</v>
      </c>
      <c r="Q890" s="574" t="s">
        <v>2234</v>
      </c>
      <c r="R890" s="574" t="s">
        <v>2225</v>
      </c>
      <c r="S890" s="574" t="s">
        <v>2737</v>
      </c>
      <c r="T890" s="574" t="s">
        <v>2738</v>
      </c>
      <c r="U890" s="574" t="s">
        <v>3522</v>
      </c>
      <c r="V890" s="574" t="s">
        <v>2238</v>
      </c>
      <c r="W890" s="574" t="s">
        <v>2239</v>
      </c>
      <c r="X890" s="574" t="s">
        <v>3153</v>
      </c>
      <c r="Y890" s="575" t="s">
        <v>2507</v>
      </c>
      <c r="Z890" s="575" t="s">
        <v>2507</v>
      </c>
      <c r="AA890" s="574" t="s">
        <v>1693</v>
      </c>
      <c r="AB890" s="574" t="s">
        <v>2319</v>
      </c>
      <c r="AC890" s="574" t="s">
        <v>2320</v>
      </c>
      <c r="AD890" s="574" t="s">
        <v>2321</v>
      </c>
      <c r="AE890" s="574" t="s">
        <v>1446</v>
      </c>
      <c r="AF890" s="574" t="s">
        <v>2321</v>
      </c>
      <c r="AG890" s="576">
        <v>108000</v>
      </c>
      <c r="AH890" s="576">
        <v>0</v>
      </c>
    </row>
    <row r="891" spans="1:34" customFormat="1" x14ac:dyDescent="0.25">
      <c r="A891" s="574" t="s">
        <v>2219</v>
      </c>
      <c r="B891" s="574" t="s">
        <v>2220</v>
      </c>
      <c r="C891" s="574" t="s">
        <v>2221</v>
      </c>
      <c r="D891" s="574" t="s">
        <v>2220</v>
      </c>
      <c r="E891" s="574" t="s">
        <v>2222</v>
      </c>
      <c r="F891" s="574" t="s">
        <v>2223</v>
      </c>
      <c r="G891" s="574" t="s">
        <v>2224</v>
      </c>
      <c r="H891" s="574" t="s">
        <v>2225</v>
      </c>
      <c r="I891" s="574" t="s">
        <v>2226</v>
      </c>
      <c r="J891" s="574" t="s">
        <v>2227</v>
      </c>
      <c r="K891" s="574" t="s">
        <v>2228</v>
      </c>
      <c r="L891" s="574" t="s">
        <v>2229</v>
      </c>
      <c r="M891" s="574" t="s">
        <v>2230</v>
      </c>
      <c r="N891" s="574" t="s">
        <v>2231</v>
      </c>
      <c r="O891" s="574" t="s">
        <v>2759</v>
      </c>
      <c r="P891" s="574" t="s">
        <v>2932</v>
      </c>
      <c r="Q891" s="574" t="s">
        <v>2234</v>
      </c>
      <c r="R891" s="574" t="s">
        <v>2225</v>
      </c>
      <c r="S891" s="574" t="s">
        <v>2737</v>
      </c>
      <c r="T891" s="574" t="s">
        <v>2738</v>
      </c>
      <c r="U891" s="574" t="s">
        <v>2810</v>
      </c>
      <c r="V891" s="574" t="s">
        <v>2238</v>
      </c>
      <c r="W891" s="574" t="s">
        <v>2239</v>
      </c>
      <c r="X891" s="574" t="s">
        <v>2533</v>
      </c>
      <c r="Y891" s="575" t="s">
        <v>2507</v>
      </c>
      <c r="Z891" s="575" t="s">
        <v>2507</v>
      </c>
      <c r="AA891" s="574" t="s">
        <v>1688</v>
      </c>
      <c r="AB891" s="574" t="s">
        <v>2430</v>
      </c>
      <c r="AC891" s="574" t="s">
        <v>2431</v>
      </c>
      <c r="AD891" s="574" t="s">
        <v>99</v>
      </c>
      <c r="AE891" s="574" t="s">
        <v>1531</v>
      </c>
      <c r="AF891" s="574" t="s">
        <v>99</v>
      </c>
      <c r="AG891" s="576">
        <v>533958.91</v>
      </c>
      <c r="AH891" s="576">
        <v>0</v>
      </c>
    </row>
    <row r="892" spans="1:34" customFormat="1" x14ac:dyDescent="0.25">
      <c r="A892" s="574" t="s">
        <v>2219</v>
      </c>
      <c r="B892" s="574" t="s">
        <v>2220</v>
      </c>
      <c r="C892" s="574" t="s">
        <v>2221</v>
      </c>
      <c r="D892" s="574" t="s">
        <v>2220</v>
      </c>
      <c r="E892" s="574" t="s">
        <v>2222</v>
      </c>
      <c r="F892" s="574" t="s">
        <v>2223</v>
      </c>
      <c r="G892" s="574" t="s">
        <v>2224</v>
      </c>
      <c r="H892" s="574" t="s">
        <v>2225</v>
      </c>
      <c r="I892" s="574" t="s">
        <v>2226</v>
      </c>
      <c r="J892" s="574" t="s">
        <v>2227</v>
      </c>
      <c r="K892" s="574" t="s">
        <v>2228</v>
      </c>
      <c r="L892" s="574" t="s">
        <v>2229</v>
      </c>
      <c r="M892" s="574" t="s">
        <v>2230</v>
      </c>
      <c r="N892" s="574" t="s">
        <v>2231</v>
      </c>
      <c r="O892" s="574" t="s">
        <v>2759</v>
      </c>
      <c r="P892" s="574" t="s">
        <v>2932</v>
      </c>
      <c r="Q892" s="574" t="s">
        <v>2234</v>
      </c>
      <c r="R892" s="574" t="s">
        <v>2225</v>
      </c>
      <c r="S892" s="574" t="s">
        <v>2737</v>
      </c>
      <c r="T892" s="574" t="s">
        <v>2738</v>
      </c>
      <c r="U892" s="574" t="s">
        <v>2810</v>
      </c>
      <c r="V892" s="574" t="s">
        <v>2238</v>
      </c>
      <c r="W892" s="574" t="s">
        <v>2239</v>
      </c>
      <c r="X892" s="574" t="s">
        <v>2533</v>
      </c>
      <c r="Y892" s="575" t="s">
        <v>2507</v>
      </c>
      <c r="Z892" s="575" t="s">
        <v>2507</v>
      </c>
      <c r="AA892" s="574" t="s">
        <v>2949</v>
      </c>
      <c r="AB892" s="574" t="s">
        <v>2950</v>
      </c>
      <c r="AC892" s="574" t="s">
        <v>2951</v>
      </c>
      <c r="AD892" s="574" t="s">
        <v>2952</v>
      </c>
      <c r="AE892" s="574" t="s">
        <v>2953</v>
      </c>
      <c r="AF892" s="574" t="s">
        <v>2952</v>
      </c>
      <c r="AG892" s="576">
        <v>7537.84</v>
      </c>
      <c r="AH892" s="576">
        <v>0</v>
      </c>
    </row>
    <row r="893" spans="1:34" customFormat="1" x14ac:dyDescent="0.25">
      <c r="A893" s="574" t="s">
        <v>2219</v>
      </c>
      <c r="B893" s="574" t="s">
        <v>2220</v>
      </c>
      <c r="C893" s="574" t="s">
        <v>2221</v>
      </c>
      <c r="D893" s="574" t="s">
        <v>2220</v>
      </c>
      <c r="E893" s="574" t="s">
        <v>2222</v>
      </c>
      <c r="F893" s="574" t="s">
        <v>2223</v>
      </c>
      <c r="G893" s="574" t="s">
        <v>2224</v>
      </c>
      <c r="H893" s="574" t="s">
        <v>2225</v>
      </c>
      <c r="I893" s="574" t="s">
        <v>2226</v>
      </c>
      <c r="J893" s="574" t="s">
        <v>2227</v>
      </c>
      <c r="K893" s="574" t="s">
        <v>2228</v>
      </c>
      <c r="L893" s="574" t="s">
        <v>2229</v>
      </c>
      <c r="M893" s="574" t="s">
        <v>2230</v>
      </c>
      <c r="N893" s="574" t="s">
        <v>2231</v>
      </c>
      <c r="O893" s="574" t="s">
        <v>2759</v>
      </c>
      <c r="P893" s="574" t="s">
        <v>2932</v>
      </c>
      <c r="Q893" s="574" t="s">
        <v>2234</v>
      </c>
      <c r="R893" s="574" t="s">
        <v>2225</v>
      </c>
      <c r="S893" s="574" t="s">
        <v>2737</v>
      </c>
      <c r="T893" s="574" t="s">
        <v>2738</v>
      </c>
      <c r="U893" s="574" t="s">
        <v>2810</v>
      </c>
      <c r="V893" s="574" t="s">
        <v>2238</v>
      </c>
      <c r="W893" s="574" t="s">
        <v>2239</v>
      </c>
      <c r="X893" s="574" t="s">
        <v>2533</v>
      </c>
      <c r="Y893" s="575" t="s">
        <v>2507</v>
      </c>
      <c r="Z893" s="575" t="s">
        <v>2507</v>
      </c>
      <c r="AA893" s="574" t="s">
        <v>1693</v>
      </c>
      <c r="AB893" s="574" t="s">
        <v>2319</v>
      </c>
      <c r="AC893" s="574" t="s">
        <v>2987</v>
      </c>
      <c r="AD893" s="574" t="s">
        <v>2988</v>
      </c>
      <c r="AE893" s="574" t="s">
        <v>2989</v>
      </c>
      <c r="AF893" s="574" t="s">
        <v>2990</v>
      </c>
      <c r="AG893" s="576">
        <v>9676</v>
      </c>
      <c r="AH893" s="576">
        <v>0</v>
      </c>
    </row>
    <row r="894" spans="1:34" customFormat="1" x14ac:dyDescent="0.25">
      <c r="A894" s="574" t="s">
        <v>2219</v>
      </c>
      <c r="B894" s="574" t="s">
        <v>2220</v>
      </c>
      <c r="C894" s="574" t="s">
        <v>2221</v>
      </c>
      <c r="D894" s="574" t="s">
        <v>2220</v>
      </c>
      <c r="E894" s="574" t="s">
        <v>2222</v>
      </c>
      <c r="F894" s="574" t="s">
        <v>2223</v>
      </c>
      <c r="G894" s="574" t="s">
        <v>2224</v>
      </c>
      <c r="H894" s="574" t="s">
        <v>2225</v>
      </c>
      <c r="I894" s="574" t="s">
        <v>2226</v>
      </c>
      <c r="J894" s="574" t="s">
        <v>2227</v>
      </c>
      <c r="K894" s="574" t="s">
        <v>2228</v>
      </c>
      <c r="L894" s="574" t="s">
        <v>2229</v>
      </c>
      <c r="M894" s="574" t="s">
        <v>2230</v>
      </c>
      <c r="N894" s="574" t="s">
        <v>2231</v>
      </c>
      <c r="O894" s="574" t="s">
        <v>2759</v>
      </c>
      <c r="P894" s="574" t="s">
        <v>2932</v>
      </c>
      <c r="Q894" s="574" t="s">
        <v>2234</v>
      </c>
      <c r="R894" s="574" t="s">
        <v>2225</v>
      </c>
      <c r="S894" s="574" t="s">
        <v>2737</v>
      </c>
      <c r="T894" s="574" t="s">
        <v>2738</v>
      </c>
      <c r="U894" s="574" t="s">
        <v>3523</v>
      </c>
      <c r="V894" s="574" t="s">
        <v>2238</v>
      </c>
      <c r="W894" s="574" t="s">
        <v>2239</v>
      </c>
      <c r="X894" s="574" t="s">
        <v>3175</v>
      </c>
      <c r="Y894" s="575" t="s">
        <v>2507</v>
      </c>
      <c r="Z894" s="575" t="s">
        <v>2507</v>
      </c>
      <c r="AA894" s="574" t="s">
        <v>1688</v>
      </c>
      <c r="AB894" s="574" t="s">
        <v>2430</v>
      </c>
      <c r="AC894" s="574" t="s">
        <v>2431</v>
      </c>
      <c r="AD894" s="574" t="s">
        <v>99</v>
      </c>
      <c r="AE894" s="574" t="s">
        <v>1531</v>
      </c>
      <c r="AF894" s="574" t="s">
        <v>99</v>
      </c>
      <c r="AG894" s="576">
        <v>76832</v>
      </c>
      <c r="AH894" s="576">
        <v>0</v>
      </c>
    </row>
    <row r="895" spans="1:34" customFormat="1" x14ac:dyDescent="0.25">
      <c r="A895" s="574" t="s">
        <v>2219</v>
      </c>
      <c r="B895" s="574" t="s">
        <v>2220</v>
      </c>
      <c r="C895" s="574" t="s">
        <v>2221</v>
      </c>
      <c r="D895" s="574" t="s">
        <v>2220</v>
      </c>
      <c r="E895" s="574" t="s">
        <v>2222</v>
      </c>
      <c r="F895" s="574" t="s">
        <v>2223</v>
      </c>
      <c r="G895" s="574" t="s">
        <v>2224</v>
      </c>
      <c r="H895" s="574" t="s">
        <v>2225</v>
      </c>
      <c r="I895" s="574" t="s">
        <v>2226</v>
      </c>
      <c r="J895" s="574" t="s">
        <v>2227</v>
      </c>
      <c r="K895" s="574" t="s">
        <v>2228</v>
      </c>
      <c r="L895" s="574" t="s">
        <v>2229</v>
      </c>
      <c r="M895" s="574" t="s">
        <v>2230</v>
      </c>
      <c r="N895" s="574" t="s">
        <v>2231</v>
      </c>
      <c r="O895" s="574" t="s">
        <v>2759</v>
      </c>
      <c r="P895" s="574" t="s">
        <v>2932</v>
      </c>
      <c r="Q895" s="574" t="s">
        <v>2234</v>
      </c>
      <c r="R895" s="574" t="s">
        <v>2225</v>
      </c>
      <c r="S895" s="574" t="s">
        <v>2737</v>
      </c>
      <c r="T895" s="574" t="s">
        <v>2738</v>
      </c>
      <c r="U895" s="574" t="s">
        <v>3524</v>
      </c>
      <c r="V895" s="574" t="s">
        <v>2238</v>
      </c>
      <c r="W895" s="574" t="s">
        <v>2239</v>
      </c>
      <c r="X895" s="574" t="s">
        <v>3200</v>
      </c>
      <c r="Y895" s="575" t="s">
        <v>2507</v>
      </c>
      <c r="Z895" s="575" t="s">
        <v>2507</v>
      </c>
      <c r="AA895" s="574" t="s">
        <v>1693</v>
      </c>
      <c r="AB895" s="574" t="s">
        <v>2319</v>
      </c>
      <c r="AC895" s="574" t="s">
        <v>2402</v>
      </c>
      <c r="AD895" s="574" t="s">
        <v>2403</v>
      </c>
      <c r="AE895" s="574" t="s">
        <v>1486</v>
      </c>
      <c r="AF895" s="574" t="s">
        <v>2403</v>
      </c>
      <c r="AG895" s="576">
        <v>438724</v>
      </c>
      <c r="AH895" s="576">
        <v>0</v>
      </c>
    </row>
    <row r="896" spans="1:34" customFormat="1" x14ac:dyDescent="0.25">
      <c r="A896" s="574" t="s">
        <v>2219</v>
      </c>
      <c r="B896" s="574" t="s">
        <v>2220</v>
      </c>
      <c r="C896" s="574" t="s">
        <v>2221</v>
      </c>
      <c r="D896" s="574" t="s">
        <v>2220</v>
      </c>
      <c r="E896" s="574" t="s">
        <v>2222</v>
      </c>
      <c r="F896" s="574" t="s">
        <v>2223</v>
      </c>
      <c r="G896" s="574" t="s">
        <v>2224</v>
      </c>
      <c r="H896" s="574" t="s">
        <v>2225</v>
      </c>
      <c r="I896" s="574" t="s">
        <v>2226</v>
      </c>
      <c r="J896" s="574" t="s">
        <v>2227</v>
      </c>
      <c r="K896" s="574" t="s">
        <v>2228</v>
      </c>
      <c r="L896" s="574" t="s">
        <v>2229</v>
      </c>
      <c r="M896" s="574" t="s">
        <v>2230</v>
      </c>
      <c r="N896" s="574" t="s">
        <v>2231</v>
      </c>
      <c r="O896" s="574" t="s">
        <v>2759</v>
      </c>
      <c r="P896" s="574" t="s">
        <v>2932</v>
      </c>
      <c r="Q896" s="574" t="s">
        <v>2234</v>
      </c>
      <c r="R896" s="574" t="s">
        <v>2225</v>
      </c>
      <c r="S896" s="574" t="s">
        <v>2737</v>
      </c>
      <c r="T896" s="574" t="s">
        <v>2738</v>
      </c>
      <c r="U896" s="574" t="s">
        <v>3525</v>
      </c>
      <c r="V896" s="574" t="s">
        <v>2238</v>
      </c>
      <c r="W896" s="574" t="s">
        <v>2239</v>
      </c>
      <c r="X896" s="574" t="s">
        <v>3169</v>
      </c>
      <c r="Y896" s="575" t="s">
        <v>2673</v>
      </c>
      <c r="Z896" s="575" t="s">
        <v>2673</v>
      </c>
      <c r="AA896" s="574" t="s">
        <v>1693</v>
      </c>
      <c r="AB896" s="574" t="s">
        <v>2319</v>
      </c>
      <c r="AC896" s="574" t="s">
        <v>2320</v>
      </c>
      <c r="AD896" s="574" t="s">
        <v>2321</v>
      </c>
      <c r="AE896" s="574" t="s">
        <v>1446</v>
      </c>
      <c r="AF896" s="574" t="s">
        <v>2321</v>
      </c>
      <c r="AG896" s="576">
        <v>283200</v>
      </c>
      <c r="AH896" s="576">
        <v>0</v>
      </c>
    </row>
    <row r="897" spans="1:34" customFormat="1" x14ac:dyDescent="0.25">
      <c r="A897" s="574" t="s">
        <v>2219</v>
      </c>
      <c r="B897" s="574" t="s">
        <v>2220</v>
      </c>
      <c r="C897" s="574" t="s">
        <v>2221</v>
      </c>
      <c r="D897" s="574" t="s">
        <v>2220</v>
      </c>
      <c r="E897" s="574" t="s">
        <v>2222</v>
      </c>
      <c r="F897" s="574" t="s">
        <v>2223</v>
      </c>
      <c r="G897" s="574" t="s">
        <v>2224</v>
      </c>
      <c r="H897" s="574" t="s">
        <v>2225</v>
      </c>
      <c r="I897" s="574" t="s">
        <v>2226</v>
      </c>
      <c r="J897" s="574" t="s">
        <v>2227</v>
      </c>
      <c r="K897" s="574" t="s">
        <v>2228</v>
      </c>
      <c r="L897" s="574" t="s">
        <v>2229</v>
      </c>
      <c r="M897" s="574" t="s">
        <v>2230</v>
      </c>
      <c r="N897" s="574" t="s">
        <v>2231</v>
      </c>
      <c r="O897" s="574" t="s">
        <v>2759</v>
      </c>
      <c r="P897" s="574" t="s">
        <v>2932</v>
      </c>
      <c r="Q897" s="574" t="s">
        <v>2234</v>
      </c>
      <c r="R897" s="574" t="s">
        <v>2225</v>
      </c>
      <c r="S897" s="574" t="s">
        <v>2737</v>
      </c>
      <c r="T897" s="574" t="s">
        <v>2738</v>
      </c>
      <c r="U897" s="574" t="s">
        <v>3526</v>
      </c>
      <c r="V897" s="574" t="s">
        <v>2238</v>
      </c>
      <c r="W897" s="574" t="s">
        <v>2239</v>
      </c>
      <c r="X897" s="574" t="s">
        <v>3386</v>
      </c>
      <c r="Y897" s="575" t="s">
        <v>2673</v>
      </c>
      <c r="Z897" s="575" t="s">
        <v>2673</v>
      </c>
      <c r="AA897" s="574" t="s">
        <v>1688</v>
      </c>
      <c r="AB897" s="574" t="s">
        <v>2430</v>
      </c>
      <c r="AC897" s="574" t="s">
        <v>2431</v>
      </c>
      <c r="AD897" s="574" t="s">
        <v>99</v>
      </c>
      <c r="AE897" s="574" t="s">
        <v>1531</v>
      </c>
      <c r="AF897" s="574" t="s">
        <v>99</v>
      </c>
      <c r="AG897" s="576">
        <v>202110.4</v>
      </c>
      <c r="AH897" s="576">
        <v>0</v>
      </c>
    </row>
    <row r="898" spans="1:34" customFormat="1" x14ac:dyDescent="0.25">
      <c r="A898" s="574" t="s">
        <v>2219</v>
      </c>
      <c r="B898" s="574" t="s">
        <v>2220</v>
      </c>
      <c r="C898" s="574" t="s">
        <v>2221</v>
      </c>
      <c r="D898" s="574" t="s">
        <v>2220</v>
      </c>
      <c r="E898" s="574" t="s">
        <v>2222</v>
      </c>
      <c r="F898" s="574" t="s">
        <v>2223</v>
      </c>
      <c r="G898" s="574" t="s">
        <v>2224</v>
      </c>
      <c r="H898" s="574" t="s">
        <v>2225</v>
      </c>
      <c r="I898" s="574" t="s">
        <v>2226</v>
      </c>
      <c r="J898" s="574" t="s">
        <v>2227</v>
      </c>
      <c r="K898" s="574" t="s">
        <v>2228</v>
      </c>
      <c r="L898" s="574" t="s">
        <v>2229</v>
      </c>
      <c r="M898" s="574" t="s">
        <v>2230</v>
      </c>
      <c r="N898" s="574" t="s">
        <v>2231</v>
      </c>
      <c r="O898" s="574" t="s">
        <v>2759</v>
      </c>
      <c r="P898" s="574" t="s">
        <v>2932</v>
      </c>
      <c r="Q898" s="574" t="s">
        <v>2234</v>
      </c>
      <c r="R898" s="574" t="s">
        <v>2225</v>
      </c>
      <c r="S898" s="574" t="s">
        <v>2737</v>
      </c>
      <c r="T898" s="574" t="s">
        <v>2738</v>
      </c>
      <c r="U898" s="574" t="s">
        <v>3527</v>
      </c>
      <c r="V898" s="574" t="s">
        <v>2238</v>
      </c>
      <c r="W898" s="574" t="s">
        <v>2239</v>
      </c>
      <c r="X898" s="574" t="s">
        <v>3387</v>
      </c>
      <c r="Y898" s="575" t="s">
        <v>2673</v>
      </c>
      <c r="Z898" s="575" t="s">
        <v>2673</v>
      </c>
      <c r="AA898" s="574" t="s">
        <v>1688</v>
      </c>
      <c r="AB898" s="574" t="s">
        <v>2430</v>
      </c>
      <c r="AC898" s="574" t="s">
        <v>2431</v>
      </c>
      <c r="AD898" s="574" t="s">
        <v>99</v>
      </c>
      <c r="AE898" s="574" t="s">
        <v>1531</v>
      </c>
      <c r="AF898" s="574" t="s">
        <v>99</v>
      </c>
      <c r="AG898" s="576">
        <v>16372.5</v>
      </c>
      <c r="AH898" s="576">
        <v>0</v>
      </c>
    </row>
    <row r="899" spans="1:34" customFormat="1" x14ac:dyDescent="0.25">
      <c r="A899" s="574" t="s">
        <v>2219</v>
      </c>
      <c r="B899" s="574" t="s">
        <v>2220</v>
      </c>
      <c r="C899" s="574" t="s">
        <v>2221</v>
      </c>
      <c r="D899" s="574" t="s">
        <v>2220</v>
      </c>
      <c r="E899" s="574" t="s">
        <v>2222</v>
      </c>
      <c r="F899" s="574" t="s">
        <v>2223</v>
      </c>
      <c r="G899" s="574" t="s">
        <v>2224</v>
      </c>
      <c r="H899" s="574" t="s">
        <v>2225</v>
      </c>
      <c r="I899" s="574" t="s">
        <v>2226</v>
      </c>
      <c r="J899" s="574" t="s">
        <v>2227</v>
      </c>
      <c r="K899" s="574" t="s">
        <v>2228</v>
      </c>
      <c r="L899" s="574" t="s">
        <v>2229</v>
      </c>
      <c r="M899" s="574" t="s">
        <v>2230</v>
      </c>
      <c r="N899" s="574" t="s">
        <v>2231</v>
      </c>
      <c r="O899" s="574" t="s">
        <v>2759</v>
      </c>
      <c r="P899" s="574" t="s">
        <v>2932</v>
      </c>
      <c r="Q899" s="574" t="s">
        <v>2234</v>
      </c>
      <c r="R899" s="574" t="s">
        <v>2225</v>
      </c>
      <c r="S899" s="574" t="s">
        <v>2737</v>
      </c>
      <c r="T899" s="574" t="s">
        <v>2738</v>
      </c>
      <c r="U899" s="574" t="s">
        <v>3528</v>
      </c>
      <c r="V899" s="574" t="s">
        <v>2238</v>
      </c>
      <c r="W899" s="574" t="s">
        <v>2239</v>
      </c>
      <c r="X899" s="574" t="s">
        <v>3388</v>
      </c>
      <c r="Y899" s="575" t="s">
        <v>2673</v>
      </c>
      <c r="Z899" s="575" t="s">
        <v>2673</v>
      </c>
      <c r="AA899" s="574" t="s">
        <v>1688</v>
      </c>
      <c r="AB899" s="574" t="s">
        <v>2430</v>
      </c>
      <c r="AC899" s="574" t="s">
        <v>2431</v>
      </c>
      <c r="AD899" s="574" t="s">
        <v>99</v>
      </c>
      <c r="AE899" s="574" t="s">
        <v>1531</v>
      </c>
      <c r="AF899" s="574" t="s">
        <v>99</v>
      </c>
      <c r="AG899" s="576">
        <v>50184.52</v>
      </c>
      <c r="AH899" s="576">
        <v>0</v>
      </c>
    </row>
    <row r="900" spans="1:34" customFormat="1" x14ac:dyDescent="0.25">
      <c r="A900" s="574" t="s">
        <v>2219</v>
      </c>
      <c r="B900" s="574" t="s">
        <v>2220</v>
      </c>
      <c r="C900" s="574" t="s">
        <v>2221</v>
      </c>
      <c r="D900" s="574" t="s">
        <v>2220</v>
      </c>
      <c r="E900" s="574" t="s">
        <v>2222</v>
      </c>
      <c r="F900" s="574" t="s">
        <v>2223</v>
      </c>
      <c r="G900" s="574" t="s">
        <v>2224</v>
      </c>
      <c r="H900" s="574" t="s">
        <v>2225</v>
      </c>
      <c r="I900" s="574" t="s">
        <v>2226</v>
      </c>
      <c r="J900" s="574" t="s">
        <v>2227</v>
      </c>
      <c r="K900" s="574" t="s">
        <v>2228</v>
      </c>
      <c r="L900" s="574" t="s">
        <v>2229</v>
      </c>
      <c r="M900" s="574" t="s">
        <v>2230</v>
      </c>
      <c r="N900" s="574" t="s">
        <v>2231</v>
      </c>
      <c r="O900" s="574" t="s">
        <v>2759</v>
      </c>
      <c r="P900" s="574" t="s">
        <v>2932</v>
      </c>
      <c r="Q900" s="574" t="s">
        <v>2234</v>
      </c>
      <c r="R900" s="574" t="s">
        <v>2225</v>
      </c>
      <c r="S900" s="574" t="s">
        <v>2737</v>
      </c>
      <c r="T900" s="574" t="s">
        <v>2738</v>
      </c>
      <c r="U900" s="574" t="s">
        <v>3528</v>
      </c>
      <c r="V900" s="574" t="s">
        <v>2238</v>
      </c>
      <c r="W900" s="574" t="s">
        <v>2239</v>
      </c>
      <c r="X900" s="574" t="s">
        <v>3388</v>
      </c>
      <c r="Y900" s="575" t="s">
        <v>2673</v>
      </c>
      <c r="Z900" s="575" t="s">
        <v>2673</v>
      </c>
      <c r="AA900" s="574" t="s">
        <v>2949</v>
      </c>
      <c r="AB900" s="574" t="s">
        <v>2950</v>
      </c>
      <c r="AC900" s="574" t="s">
        <v>2951</v>
      </c>
      <c r="AD900" s="574" t="s">
        <v>2952</v>
      </c>
      <c r="AE900" s="574" t="s">
        <v>2953</v>
      </c>
      <c r="AF900" s="574" t="s">
        <v>2952</v>
      </c>
      <c r="AG900" s="576">
        <v>12036</v>
      </c>
      <c r="AH900" s="576">
        <v>0</v>
      </c>
    </row>
    <row r="901" spans="1:34" customFormat="1" x14ac:dyDescent="0.25">
      <c r="A901" s="574" t="s">
        <v>2219</v>
      </c>
      <c r="B901" s="574" t="s">
        <v>2220</v>
      </c>
      <c r="C901" s="574" t="s">
        <v>2221</v>
      </c>
      <c r="D901" s="574" t="s">
        <v>2220</v>
      </c>
      <c r="E901" s="574" t="s">
        <v>2222</v>
      </c>
      <c r="F901" s="574" t="s">
        <v>2223</v>
      </c>
      <c r="G901" s="574" t="s">
        <v>2224</v>
      </c>
      <c r="H901" s="574" t="s">
        <v>2225</v>
      </c>
      <c r="I901" s="574" t="s">
        <v>2226</v>
      </c>
      <c r="J901" s="574" t="s">
        <v>2227</v>
      </c>
      <c r="K901" s="574" t="s">
        <v>2228</v>
      </c>
      <c r="L901" s="574" t="s">
        <v>2229</v>
      </c>
      <c r="M901" s="574" t="s">
        <v>2230</v>
      </c>
      <c r="N901" s="574" t="s">
        <v>2231</v>
      </c>
      <c r="O901" s="574" t="s">
        <v>2759</v>
      </c>
      <c r="P901" s="574" t="s">
        <v>2932</v>
      </c>
      <c r="Q901" s="574" t="s">
        <v>2234</v>
      </c>
      <c r="R901" s="574" t="s">
        <v>2225</v>
      </c>
      <c r="S901" s="574" t="s">
        <v>2737</v>
      </c>
      <c r="T901" s="574" t="s">
        <v>2738</v>
      </c>
      <c r="U901" s="574" t="s">
        <v>2811</v>
      </c>
      <c r="V901" s="574" t="s">
        <v>2238</v>
      </c>
      <c r="W901" s="574" t="s">
        <v>2239</v>
      </c>
      <c r="X901" s="574" t="s">
        <v>2728</v>
      </c>
      <c r="Y901" s="575" t="s">
        <v>2673</v>
      </c>
      <c r="Z901" s="575" t="s">
        <v>2673</v>
      </c>
      <c r="AA901" s="574" t="s">
        <v>1688</v>
      </c>
      <c r="AB901" s="574" t="s">
        <v>2430</v>
      </c>
      <c r="AC901" s="574" t="s">
        <v>2431</v>
      </c>
      <c r="AD901" s="574" t="s">
        <v>99</v>
      </c>
      <c r="AE901" s="574" t="s">
        <v>1531</v>
      </c>
      <c r="AF901" s="574" t="s">
        <v>99</v>
      </c>
      <c r="AG901" s="576">
        <v>640110.81000000006</v>
      </c>
      <c r="AH901" s="576">
        <v>0</v>
      </c>
    </row>
    <row r="902" spans="1:34" customFormat="1" x14ac:dyDescent="0.25">
      <c r="A902" s="574" t="s">
        <v>2219</v>
      </c>
      <c r="B902" s="574" t="s">
        <v>2220</v>
      </c>
      <c r="C902" s="574" t="s">
        <v>2221</v>
      </c>
      <c r="D902" s="574" t="s">
        <v>2220</v>
      </c>
      <c r="E902" s="574" t="s">
        <v>2222</v>
      </c>
      <c r="F902" s="574" t="s">
        <v>2223</v>
      </c>
      <c r="G902" s="574" t="s">
        <v>2224</v>
      </c>
      <c r="H902" s="574" t="s">
        <v>2225</v>
      </c>
      <c r="I902" s="574" t="s">
        <v>2226</v>
      </c>
      <c r="J902" s="574" t="s">
        <v>2227</v>
      </c>
      <c r="K902" s="574" t="s">
        <v>2228</v>
      </c>
      <c r="L902" s="574" t="s">
        <v>2229</v>
      </c>
      <c r="M902" s="574" t="s">
        <v>2230</v>
      </c>
      <c r="N902" s="574" t="s">
        <v>2231</v>
      </c>
      <c r="O902" s="574" t="s">
        <v>2759</v>
      </c>
      <c r="P902" s="574" t="s">
        <v>2932</v>
      </c>
      <c r="Q902" s="574" t="s">
        <v>2234</v>
      </c>
      <c r="R902" s="574" t="s">
        <v>2225</v>
      </c>
      <c r="S902" s="574" t="s">
        <v>2737</v>
      </c>
      <c r="T902" s="574" t="s">
        <v>2738</v>
      </c>
      <c r="U902" s="574" t="s">
        <v>2811</v>
      </c>
      <c r="V902" s="574" t="s">
        <v>2238</v>
      </c>
      <c r="W902" s="574" t="s">
        <v>2239</v>
      </c>
      <c r="X902" s="574" t="s">
        <v>2728</v>
      </c>
      <c r="Y902" s="575" t="s">
        <v>2673</v>
      </c>
      <c r="Z902" s="575" t="s">
        <v>2673</v>
      </c>
      <c r="AA902" s="574" t="s">
        <v>1693</v>
      </c>
      <c r="AB902" s="574" t="s">
        <v>2319</v>
      </c>
      <c r="AC902" s="574" t="s">
        <v>2987</v>
      </c>
      <c r="AD902" s="574" t="s">
        <v>2988</v>
      </c>
      <c r="AE902" s="574" t="s">
        <v>2989</v>
      </c>
      <c r="AF902" s="574" t="s">
        <v>2990</v>
      </c>
      <c r="AG902" s="576">
        <v>9676</v>
      </c>
      <c r="AH902" s="576">
        <v>0</v>
      </c>
    </row>
    <row r="903" spans="1:34" customFormat="1" x14ac:dyDescent="0.25">
      <c r="A903" s="574" t="s">
        <v>2219</v>
      </c>
      <c r="B903" s="574" t="s">
        <v>2220</v>
      </c>
      <c r="C903" s="574" t="s">
        <v>2221</v>
      </c>
      <c r="D903" s="574" t="s">
        <v>2220</v>
      </c>
      <c r="E903" s="574" t="s">
        <v>2222</v>
      </c>
      <c r="F903" s="574" t="s">
        <v>2223</v>
      </c>
      <c r="G903" s="574" t="s">
        <v>2224</v>
      </c>
      <c r="H903" s="574" t="s">
        <v>2225</v>
      </c>
      <c r="I903" s="574" t="s">
        <v>2226</v>
      </c>
      <c r="J903" s="574" t="s">
        <v>2227</v>
      </c>
      <c r="K903" s="574" t="s">
        <v>2228</v>
      </c>
      <c r="L903" s="574" t="s">
        <v>2229</v>
      </c>
      <c r="M903" s="574" t="s">
        <v>2230</v>
      </c>
      <c r="N903" s="574" t="s">
        <v>2231</v>
      </c>
      <c r="O903" s="574" t="s">
        <v>2759</v>
      </c>
      <c r="P903" s="574" t="s">
        <v>2932</v>
      </c>
      <c r="Q903" s="574" t="s">
        <v>2234</v>
      </c>
      <c r="R903" s="574" t="s">
        <v>2225</v>
      </c>
      <c r="S903" s="574" t="s">
        <v>2737</v>
      </c>
      <c r="T903" s="574" t="s">
        <v>2738</v>
      </c>
      <c r="U903" s="574" t="s">
        <v>3529</v>
      </c>
      <c r="V903" s="574" t="s">
        <v>2238</v>
      </c>
      <c r="W903" s="574" t="s">
        <v>2239</v>
      </c>
      <c r="X903" s="574" t="s">
        <v>3240</v>
      </c>
      <c r="Y903" s="575" t="s">
        <v>2673</v>
      </c>
      <c r="Z903" s="575" t="s">
        <v>2673</v>
      </c>
      <c r="AA903" s="574" t="s">
        <v>1688</v>
      </c>
      <c r="AB903" s="574" t="s">
        <v>2430</v>
      </c>
      <c r="AC903" s="574" t="s">
        <v>2431</v>
      </c>
      <c r="AD903" s="574" t="s">
        <v>99</v>
      </c>
      <c r="AE903" s="574" t="s">
        <v>1531</v>
      </c>
      <c r="AF903" s="574" t="s">
        <v>99</v>
      </c>
      <c r="AG903" s="576">
        <v>487261</v>
      </c>
      <c r="AH903" s="576">
        <v>0</v>
      </c>
    </row>
    <row r="904" spans="1:34" customFormat="1" x14ac:dyDescent="0.25">
      <c r="A904" s="574" t="s">
        <v>2219</v>
      </c>
      <c r="B904" s="574" t="s">
        <v>2220</v>
      </c>
      <c r="C904" s="574" t="s">
        <v>2221</v>
      </c>
      <c r="D904" s="574" t="s">
        <v>2220</v>
      </c>
      <c r="E904" s="574" t="s">
        <v>2222</v>
      </c>
      <c r="F904" s="574" t="s">
        <v>2223</v>
      </c>
      <c r="G904" s="574" t="s">
        <v>2224</v>
      </c>
      <c r="H904" s="574" t="s">
        <v>2225</v>
      </c>
      <c r="I904" s="574" t="s">
        <v>2226</v>
      </c>
      <c r="J904" s="574" t="s">
        <v>2227</v>
      </c>
      <c r="K904" s="574" t="s">
        <v>2228</v>
      </c>
      <c r="L904" s="574" t="s">
        <v>2229</v>
      </c>
      <c r="M904" s="574" t="s">
        <v>2230</v>
      </c>
      <c r="N904" s="574" t="s">
        <v>2231</v>
      </c>
      <c r="O904" s="574" t="s">
        <v>2759</v>
      </c>
      <c r="P904" s="574" t="s">
        <v>2932</v>
      </c>
      <c r="Q904" s="574" t="s">
        <v>2234</v>
      </c>
      <c r="R904" s="574" t="s">
        <v>2225</v>
      </c>
      <c r="S904" s="574" t="s">
        <v>2737</v>
      </c>
      <c r="T904" s="574" t="s">
        <v>2738</v>
      </c>
      <c r="U904" s="574" t="s">
        <v>3530</v>
      </c>
      <c r="V904" s="574" t="s">
        <v>2238</v>
      </c>
      <c r="W904" s="574" t="s">
        <v>2239</v>
      </c>
      <c r="X904" s="574" t="s">
        <v>3398</v>
      </c>
      <c r="Y904" s="575" t="s">
        <v>2673</v>
      </c>
      <c r="Z904" s="575" t="s">
        <v>2673</v>
      </c>
      <c r="AA904" s="574" t="s">
        <v>1688</v>
      </c>
      <c r="AB904" s="574" t="s">
        <v>2430</v>
      </c>
      <c r="AC904" s="574" t="s">
        <v>2431</v>
      </c>
      <c r="AD904" s="574" t="s">
        <v>99</v>
      </c>
      <c r="AE904" s="574" t="s">
        <v>1531</v>
      </c>
      <c r="AF904" s="574" t="s">
        <v>99</v>
      </c>
      <c r="AG904" s="576">
        <v>250020</v>
      </c>
      <c r="AH904" s="576">
        <v>0</v>
      </c>
    </row>
    <row r="905" spans="1:34" customFormat="1" x14ac:dyDescent="0.25">
      <c r="A905" s="574" t="s">
        <v>2219</v>
      </c>
      <c r="B905" s="574" t="s">
        <v>2220</v>
      </c>
      <c r="C905" s="574" t="s">
        <v>2221</v>
      </c>
      <c r="D905" s="574" t="s">
        <v>2220</v>
      </c>
      <c r="E905" s="574" t="s">
        <v>2222</v>
      </c>
      <c r="F905" s="574" t="s">
        <v>2223</v>
      </c>
      <c r="G905" s="574" t="s">
        <v>2224</v>
      </c>
      <c r="H905" s="574" t="s">
        <v>2225</v>
      </c>
      <c r="I905" s="574" t="s">
        <v>2226</v>
      </c>
      <c r="J905" s="574" t="s">
        <v>2227</v>
      </c>
      <c r="K905" s="574" t="s">
        <v>2228</v>
      </c>
      <c r="L905" s="574" t="s">
        <v>2229</v>
      </c>
      <c r="M905" s="574" t="s">
        <v>2230</v>
      </c>
      <c r="N905" s="574" t="s">
        <v>2231</v>
      </c>
      <c r="O905" s="574" t="s">
        <v>2759</v>
      </c>
      <c r="P905" s="574" t="s">
        <v>2932</v>
      </c>
      <c r="Q905" s="574" t="s">
        <v>2234</v>
      </c>
      <c r="R905" s="574" t="s">
        <v>2225</v>
      </c>
      <c r="S905" s="574" t="s">
        <v>2737</v>
      </c>
      <c r="T905" s="574" t="s">
        <v>2738</v>
      </c>
      <c r="U905" s="574" t="s">
        <v>3530</v>
      </c>
      <c r="V905" s="574" t="s">
        <v>2238</v>
      </c>
      <c r="W905" s="574" t="s">
        <v>2239</v>
      </c>
      <c r="X905" s="574" t="s">
        <v>3398</v>
      </c>
      <c r="Y905" s="575" t="s">
        <v>2673</v>
      </c>
      <c r="Z905" s="575" t="s">
        <v>2571</v>
      </c>
      <c r="AA905" s="574" t="s">
        <v>1688</v>
      </c>
      <c r="AB905" s="574" t="s">
        <v>2430</v>
      </c>
      <c r="AC905" s="574" t="s">
        <v>2431</v>
      </c>
      <c r="AD905" s="574" t="s">
        <v>99</v>
      </c>
      <c r="AE905" s="574" t="s">
        <v>1531</v>
      </c>
      <c r="AF905" s="574" t="s">
        <v>99</v>
      </c>
      <c r="AG905" s="576">
        <v>-250020</v>
      </c>
      <c r="AH905" s="576">
        <v>0</v>
      </c>
    </row>
    <row r="906" spans="1:34" customFormat="1" x14ac:dyDescent="0.25">
      <c r="A906" s="574" t="s">
        <v>2219</v>
      </c>
      <c r="B906" s="574" t="s">
        <v>2220</v>
      </c>
      <c r="C906" s="574" t="s">
        <v>2221</v>
      </c>
      <c r="D906" s="574" t="s">
        <v>2220</v>
      </c>
      <c r="E906" s="574" t="s">
        <v>2222</v>
      </c>
      <c r="F906" s="574" t="s">
        <v>2223</v>
      </c>
      <c r="G906" s="574" t="s">
        <v>2224</v>
      </c>
      <c r="H906" s="574" t="s">
        <v>2225</v>
      </c>
      <c r="I906" s="574" t="s">
        <v>2226</v>
      </c>
      <c r="J906" s="574" t="s">
        <v>2227</v>
      </c>
      <c r="K906" s="574" t="s">
        <v>2228</v>
      </c>
      <c r="L906" s="574" t="s">
        <v>2229</v>
      </c>
      <c r="M906" s="574" t="s">
        <v>2230</v>
      </c>
      <c r="N906" s="574" t="s">
        <v>2231</v>
      </c>
      <c r="O906" s="574" t="s">
        <v>2759</v>
      </c>
      <c r="P906" s="574" t="s">
        <v>2932</v>
      </c>
      <c r="Q906" s="574" t="s">
        <v>2234</v>
      </c>
      <c r="R906" s="574" t="s">
        <v>2225</v>
      </c>
      <c r="S906" s="574" t="s">
        <v>2737</v>
      </c>
      <c r="T906" s="574" t="s">
        <v>2738</v>
      </c>
      <c r="U906" s="574" t="s">
        <v>3531</v>
      </c>
      <c r="V906" s="574" t="s">
        <v>2238</v>
      </c>
      <c r="W906" s="574" t="s">
        <v>2239</v>
      </c>
      <c r="X906" s="574" t="s">
        <v>3389</v>
      </c>
      <c r="Y906" s="575" t="s">
        <v>2673</v>
      </c>
      <c r="Z906" s="575" t="s">
        <v>2673</v>
      </c>
      <c r="AA906" s="574" t="s">
        <v>1688</v>
      </c>
      <c r="AB906" s="574" t="s">
        <v>2430</v>
      </c>
      <c r="AC906" s="574" t="s">
        <v>2431</v>
      </c>
      <c r="AD906" s="574" t="s">
        <v>99</v>
      </c>
      <c r="AE906" s="574" t="s">
        <v>1531</v>
      </c>
      <c r="AF906" s="574" t="s">
        <v>99</v>
      </c>
      <c r="AG906" s="576">
        <v>36541.06</v>
      </c>
      <c r="AH906" s="576">
        <v>0</v>
      </c>
    </row>
    <row r="907" spans="1:34" customFormat="1" x14ac:dyDescent="0.25">
      <c r="A907" s="574" t="s">
        <v>2219</v>
      </c>
      <c r="B907" s="574" t="s">
        <v>2220</v>
      </c>
      <c r="C907" s="574" t="s">
        <v>2221</v>
      </c>
      <c r="D907" s="574" t="s">
        <v>2220</v>
      </c>
      <c r="E907" s="574" t="s">
        <v>2222</v>
      </c>
      <c r="F907" s="574" t="s">
        <v>2223</v>
      </c>
      <c r="G907" s="574" t="s">
        <v>2224</v>
      </c>
      <c r="H907" s="574" t="s">
        <v>2225</v>
      </c>
      <c r="I907" s="574" t="s">
        <v>2226</v>
      </c>
      <c r="J907" s="574" t="s">
        <v>2227</v>
      </c>
      <c r="K907" s="574" t="s">
        <v>2228</v>
      </c>
      <c r="L907" s="574" t="s">
        <v>2229</v>
      </c>
      <c r="M907" s="574" t="s">
        <v>2230</v>
      </c>
      <c r="N907" s="574" t="s">
        <v>2231</v>
      </c>
      <c r="O907" s="574" t="s">
        <v>2759</v>
      </c>
      <c r="P907" s="574" t="s">
        <v>2932</v>
      </c>
      <c r="Q907" s="574" t="s">
        <v>2234</v>
      </c>
      <c r="R907" s="574" t="s">
        <v>2225</v>
      </c>
      <c r="S907" s="574" t="s">
        <v>2737</v>
      </c>
      <c r="T907" s="574" t="s">
        <v>2738</v>
      </c>
      <c r="U907" s="574" t="s">
        <v>3531</v>
      </c>
      <c r="V907" s="574" t="s">
        <v>2238</v>
      </c>
      <c r="W907" s="574" t="s">
        <v>2239</v>
      </c>
      <c r="X907" s="574" t="s">
        <v>3389</v>
      </c>
      <c r="Y907" s="575" t="s">
        <v>2673</v>
      </c>
      <c r="Z907" s="575" t="s">
        <v>2531</v>
      </c>
      <c r="AA907" s="574" t="s">
        <v>1688</v>
      </c>
      <c r="AB907" s="574" t="s">
        <v>2430</v>
      </c>
      <c r="AC907" s="574" t="s">
        <v>2431</v>
      </c>
      <c r="AD907" s="574" t="s">
        <v>99</v>
      </c>
      <c r="AE907" s="574" t="s">
        <v>1531</v>
      </c>
      <c r="AF907" s="574" t="s">
        <v>99</v>
      </c>
      <c r="AG907" s="576">
        <v>-36541.06</v>
      </c>
      <c r="AH907" s="576">
        <v>0</v>
      </c>
    </row>
    <row r="908" spans="1:34" customFormat="1" x14ac:dyDescent="0.25">
      <c r="A908" s="574" t="s">
        <v>2219</v>
      </c>
      <c r="B908" s="574" t="s">
        <v>2220</v>
      </c>
      <c r="C908" s="574" t="s">
        <v>2221</v>
      </c>
      <c r="D908" s="574" t="s">
        <v>2220</v>
      </c>
      <c r="E908" s="574" t="s">
        <v>2222</v>
      </c>
      <c r="F908" s="574" t="s">
        <v>2223</v>
      </c>
      <c r="G908" s="574" t="s">
        <v>2224</v>
      </c>
      <c r="H908" s="574" t="s">
        <v>2225</v>
      </c>
      <c r="I908" s="574" t="s">
        <v>2226</v>
      </c>
      <c r="J908" s="574" t="s">
        <v>2227</v>
      </c>
      <c r="K908" s="574" t="s">
        <v>2228</v>
      </c>
      <c r="L908" s="574" t="s">
        <v>2229</v>
      </c>
      <c r="M908" s="574" t="s">
        <v>2230</v>
      </c>
      <c r="N908" s="574" t="s">
        <v>2231</v>
      </c>
      <c r="O908" s="574" t="s">
        <v>2759</v>
      </c>
      <c r="P908" s="574" t="s">
        <v>2932</v>
      </c>
      <c r="Q908" s="574" t="s">
        <v>2234</v>
      </c>
      <c r="R908" s="574" t="s">
        <v>2225</v>
      </c>
      <c r="S908" s="574" t="s">
        <v>2737</v>
      </c>
      <c r="T908" s="574" t="s">
        <v>2738</v>
      </c>
      <c r="U908" s="574" t="s">
        <v>3532</v>
      </c>
      <c r="V908" s="574" t="s">
        <v>2238</v>
      </c>
      <c r="W908" s="574" t="s">
        <v>2239</v>
      </c>
      <c r="X908" s="574" t="s">
        <v>3177</v>
      </c>
      <c r="Y908" s="575" t="s">
        <v>2674</v>
      </c>
      <c r="Z908" s="575" t="s">
        <v>2674</v>
      </c>
      <c r="AA908" s="574" t="s">
        <v>1691</v>
      </c>
      <c r="AB908" s="574" t="s">
        <v>2297</v>
      </c>
      <c r="AC908" s="574" t="s">
        <v>2298</v>
      </c>
      <c r="AD908" s="574" t="s">
        <v>2299</v>
      </c>
      <c r="AE908" s="574" t="s">
        <v>1468</v>
      </c>
      <c r="AF908" s="574" t="s">
        <v>2299</v>
      </c>
      <c r="AG908" s="576">
        <v>161848.5</v>
      </c>
      <c r="AH908" s="576">
        <v>0</v>
      </c>
    </row>
    <row r="909" spans="1:34" customFormat="1" x14ac:dyDescent="0.25">
      <c r="A909" s="574" t="s">
        <v>2219</v>
      </c>
      <c r="B909" s="574" t="s">
        <v>2220</v>
      </c>
      <c r="C909" s="574" t="s">
        <v>2221</v>
      </c>
      <c r="D909" s="574" t="s">
        <v>2220</v>
      </c>
      <c r="E909" s="574" t="s">
        <v>2222</v>
      </c>
      <c r="F909" s="574" t="s">
        <v>2223</v>
      </c>
      <c r="G909" s="574" t="s">
        <v>2224</v>
      </c>
      <c r="H909" s="574" t="s">
        <v>2225</v>
      </c>
      <c r="I909" s="574" t="s">
        <v>2226</v>
      </c>
      <c r="J909" s="574" t="s">
        <v>2227</v>
      </c>
      <c r="K909" s="574" t="s">
        <v>2228</v>
      </c>
      <c r="L909" s="574" t="s">
        <v>2229</v>
      </c>
      <c r="M909" s="574" t="s">
        <v>2230</v>
      </c>
      <c r="N909" s="574" t="s">
        <v>2231</v>
      </c>
      <c r="O909" s="574" t="s">
        <v>2759</v>
      </c>
      <c r="P909" s="574" t="s">
        <v>2932</v>
      </c>
      <c r="Q909" s="574" t="s">
        <v>2234</v>
      </c>
      <c r="R909" s="574" t="s">
        <v>2225</v>
      </c>
      <c r="S909" s="574" t="s">
        <v>2737</v>
      </c>
      <c r="T909" s="574" t="s">
        <v>2738</v>
      </c>
      <c r="U909" s="574" t="s">
        <v>2813</v>
      </c>
      <c r="V909" s="574" t="s">
        <v>2238</v>
      </c>
      <c r="W909" s="574" t="s">
        <v>2239</v>
      </c>
      <c r="X909" s="574" t="s">
        <v>2578</v>
      </c>
      <c r="Y909" s="575" t="s">
        <v>2674</v>
      </c>
      <c r="Z909" s="575" t="s">
        <v>2674</v>
      </c>
      <c r="AA909" s="574" t="s">
        <v>1688</v>
      </c>
      <c r="AB909" s="574" t="s">
        <v>2430</v>
      </c>
      <c r="AC909" s="574" t="s">
        <v>2431</v>
      </c>
      <c r="AD909" s="574" t="s">
        <v>99</v>
      </c>
      <c r="AE909" s="574" t="s">
        <v>1531</v>
      </c>
      <c r="AF909" s="574" t="s">
        <v>99</v>
      </c>
      <c r="AG909" s="576">
        <v>471506.2</v>
      </c>
      <c r="AH909" s="576">
        <v>0</v>
      </c>
    </row>
    <row r="910" spans="1:34" customFormat="1" x14ac:dyDescent="0.25">
      <c r="A910" s="574" t="s">
        <v>2219</v>
      </c>
      <c r="B910" s="574" t="s">
        <v>2220</v>
      </c>
      <c r="C910" s="574" t="s">
        <v>2221</v>
      </c>
      <c r="D910" s="574" t="s">
        <v>2220</v>
      </c>
      <c r="E910" s="574" t="s">
        <v>2222</v>
      </c>
      <c r="F910" s="574" t="s">
        <v>2223</v>
      </c>
      <c r="G910" s="574" t="s">
        <v>2224</v>
      </c>
      <c r="H910" s="574" t="s">
        <v>2225</v>
      </c>
      <c r="I910" s="574" t="s">
        <v>2226</v>
      </c>
      <c r="J910" s="574" t="s">
        <v>2227</v>
      </c>
      <c r="K910" s="574" t="s">
        <v>2228</v>
      </c>
      <c r="L910" s="574" t="s">
        <v>2229</v>
      </c>
      <c r="M910" s="574" t="s">
        <v>2230</v>
      </c>
      <c r="N910" s="574" t="s">
        <v>2231</v>
      </c>
      <c r="O910" s="574" t="s">
        <v>2759</v>
      </c>
      <c r="P910" s="574" t="s">
        <v>2932</v>
      </c>
      <c r="Q910" s="574" t="s">
        <v>2234</v>
      </c>
      <c r="R910" s="574" t="s">
        <v>2225</v>
      </c>
      <c r="S910" s="574" t="s">
        <v>2737</v>
      </c>
      <c r="T910" s="574" t="s">
        <v>2738</v>
      </c>
      <c r="U910" s="574" t="s">
        <v>3533</v>
      </c>
      <c r="V910" s="574" t="s">
        <v>2238</v>
      </c>
      <c r="W910" s="574" t="s">
        <v>2239</v>
      </c>
      <c r="X910" s="574" t="s">
        <v>3390</v>
      </c>
      <c r="Y910" s="575" t="s">
        <v>2674</v>
      </c>
      <c r="Z910" s="575" t="s">
        <v>2674</v>
      </c>
      <c r="AA910" s="574" t="s">
        <v>1691</v>
      </c>
      <c r="AB910" s="574" t="s">
        <v>2297</v>
      </c>
      <c r="AC910" s="574" t="s">
        <v>2298</v>
      </c>
      <c r="AD910" s="574" t="s">
        <v>2299</v>
      </c>
      <c r="AE910" s="574" t="s">
        <v>1468</v>
      </c>
      <c r="AF910" s="574" t="s">
        <v>2299</v>
      </c>
      <c r="AG910" s="576">
        <v>212400</v>
      </c>
      <c r="AH910" s="576">
        <v>0</v>
      </c>
    </row>
    <row r="911" spans="1:34" customFormat="1" x14ac:dyDescent="0.25">
      <c r="A911" s="574" t="s">
        <v>2219</v>
      </c>
      <c r="B911" s="574" t="s">
        <v>2220</v>
      </c>
      <c r="C911" s="574" t="s">
        <v>2221</v>
      </c>
      <c r="D911" s="574" t="s">
        <v>2220</v>
      </c>
      <c r="E911" s="574" t="s">
        <v>2222</v>
      </c>
      <c r="F911" s="574" t="s">
        <v>2223</v>
      </c>
      <c r="G911" s="574" t="s">
        <v>2224</v>
      </c>
      <c r="H911" s="574" t="s">
        <v>2225</v>
      </c>
      <c r="I911" s="574" t="s">
        <v>2226</v>
      </c>
      <c r="J911" s="574" t="s">
        <v>2227</v>
      </c>
      <c r="K911" s="574" t="s">
        <v>2228</v>
      </c>
      <c r="L911" s="574" t="s">
        <v>2229</v>
      </c>
      <c r="M911" s="574" t="s">
        <v>2230</v>
      </c>
      <c r="N911" s="574" t="s">
        <v>2231</v>
      </c>
      <c r="O911" s="574" t="s">
        <v>2759</v>
      </c>
      <c r="P911" s="574" t="s">
        <v>2932</v>
      </c>
      <c r="Q911" s="574" t="s">
        <v>2234</v>
      </c>
      <c r="R911" s="574" t="s">
        <v>2225</v>
      </c>
      <c r="S911" s="574" t="s">
        <v>2737</v>
      </c>
      <c r="T911" s="574" t="s">
        <v>2738</v>
      </c>
      <c r="U911" s="574" t="s">
        <v>3533</v>
      </c>
      <c r="V911" s="574" t="s">
        <v>2238</v>
      </c>
      <c r="W911" s="574" t="s">
        <v>2239</v>
      </c>
      <c r="X911" s="574" t="s">
        <v>3390</v>
      </c>
      <c r="Y911" s="575" t="s">
        <v>2674</v>
      </c>
      <c r="Z911" s="575" t="s">
        <v>2674</v>
      </c>
      <c r="AA911" s="574" t="s">
        <v>1693</v>
      </c>
      <c r="AB911" s="574" t="s">
        <v>2319</v>
      </c>
      <c r="AC911" s="574" t="s">
        <v>2320</v>
      </c>
      <c r="AD911" s="574" t="s">
        <v>2321</v>
      </c>
      <c r="AE911" s="574" t="s">
        <v>1446</v>
      </c>
      <c r="AF911" s="574" t="s">
        <v>2321</v>
      </c>
      <c r="AG911" s="576">
        <v>12375</v>
      </c>
      <c r="AH911" s="576">
        <v>0</v>
      </c>
    </row>
    <row r="912" spans="1:34" customFormat="1" x14ac:dyDescent="0.25">
      <c r="A912" s="574" t="s">
        <v>2219</v>
      </c>
      <c r="B912" s="574" t="s">
        <v>2220</v>
      </c>
      <c r="C912" s="574" t="s">
        <v>2221</v>
      </c>
      <c r="D912" s="574" t="s">
        <v>2220</v>
      </c>
      <c r="E912" s="574" t="s">
        <v>2222</v>
      </c>
      <c r="F912" s="574" t="s">
        <v>2223</v>
      </c>
      <c r="G912" s="574" t="s">
        <v>2224</v>
      </c>
      <c r="H912" s="574" t="s">
        <v>2225</v>
      </c>
      <c r="I912" s="574" t="s">
        <v>2226</v>
      </c>
      <c r="J912" s="574" t="s">
        <v>2227</v>
      </c>
      <c r="K912" s="574" t="s">
        <v>2228</v>
      </c>
      <c r="L912" s="574" t="s">
        <v>2229</v>
      </c>
      <c r="M912" s="574" t="s">
        <v>2230</v>
      </c>
      <c r="N912" s="574" t="s">
        <v>2231</v>
      </c>
      <c r="O912" s="574" t="s">
        <v>2759</v>
      </c>
      <c r="P912" s="574" t="s">
        <v>2932</v>
      </c>
      <c r="Q912" s="574" t="s">
        <v>2234</v>
      </c>
      <c r="R912" s="574" t="s">
        <v>2225</v>
      </c>
      <c r="S912" s="574" t="s">
        <v>2737</v>
      </c>
      <c r="T912" s="574" t="s">
        <v>2738</v>
      </c>
      <c r="U912" s="574" t="s">
        <v>3534</v>
      </c>
      <c r="V912" s="574" t="s">
        <v>2238</v>
      </c>
      <c r="W912" s="574" t="s">
        <v>2239</v>
      </c>
      <c r="X912" s="574" t="s">
        <v>3179</v>
      </c>
      <c r="Y912" s="575" t="s">
        <v>2674</v>
      </c>
      <c r="Z912" s="575" t="s">
        <v>2674</v>
      </c>
      <c r="AA912" s="574" t="s">
        <v>1691</v>
      </c>
      <c r="AB912" s="574" t="s">
        <v>2297</v>
      </c>
      <c r="AC912" s="574" t="s">
        <v>2298</v>
      </c>
      <c r="AD912" s="574" t="s">
        <v>2299</v>
      </c>
      <c r="AE912" s="574" t="s">
        <v>1468</v>
      </c>
      <c r="AF912" s="574" t="s">
        <v>2299</v>
      </c>
      <c r="AG912" s="576">
        <v>246500</v>
      </c>
      <c r="AH912" s="576">
        <v>0</v>
      </c>
    </row>
    <row r="913" spans="1:34" customFormat="1" x14ac:dyDescent="0.25">
      <c r="A913" s="574" t="s">
        <v>2219</v>
      </c>
      <c r="B913" s="574" t="s">
        <v>2220</v>
      </c>
      <c r="C913" s="574" t="s">
        <v>2221</v>
      </c>
      <c r="D913" s="574" t="s">
        <v>2220</v>
      </c>
      <c r="E913" s="574" t="s">
        <v>2222</v>
      </c>
      <c r="F913" s="574" t="s">
        <v>2223</v>
      </c>
      <c r="G913" s="574" t="s">
        <v>2224</v>
      </c>
      <c r="H913" s="574" t="s">
        <v>2225</v>
      </c>
      <c r="I913" s="574" t="s">
        <v>2226</v>
      </c>
      <c r="J913" s="574" t="s">
        <v>2227</v>
      </c>
      <c r="K913" s="574" t="s">
        <v>2228</v>
      </c>
      <c r="L913" s="574" t="s">
        <v>2229</v>
      </c>
      <c r="M913" s="574" t="s">
        <v>2230</v>
      </c>
      <c r="N913" s="574" t="s">
        <v>2231</v>
      </c>
      <c r="O913" s="574" t="s">
        <v>2759</v>
      </c>
      <c r="P913" s="574" t="s">
        <v>2932</v>
      </c>
      <c r="Q913" s="574" t="s">
        <v>2234</v>
      </c>
      <c r="R913" s="574" t="s">
        <v>2225</v>
      </c>
      <c r="S913" s="574" t="s">
        <v>2737</v>
      </c>
      <c r="T913" s="574" t="s">
        <v>2738</v>
      </c>
      <c r="U913" s="574" t="s">
        <v>3535</v>
      </c>
      <c r="V913" s="574" t="s">
        <v>2238</v>
      </c>
      <c r="W913" s="574" t="s">
        <v>2239</v>
      </c>
      <c r="X913" s="574" t="s">
        <v>3181</v>
      </c>
      <c r="Y913" s="575" t="s">
        <v>2674</v>
      </c>
      <c r="Z913" s="575" t="s">
        <v>2674</v>
      </c>
      <c r="AA913" s="574" t="s">
        <v>1691</v>
      </c>
      <c r="AB913" s="574" t="s">
        <v>2297</v>
      </c>
      <c r="AC913" s="574" t="s">
        <v>2298</v>
      </c>
      <c r="AD913" s="574" t="s">
        <v>2299</v>
      </c>
      <c r="AE913" s="574" t="s">
        <v>1468</v>
      </c>
      <c r="AF913" s="574" t="s">
        <v>2299</v>
      </c>
      <c r="AG913" s="576">
        <v>160380</v>
      </c>
      <c r="AH913" s="576">
        <v>0</v>
      </c>
    </row>
    <row r="914" spans="1:34" customFormat="1" x14ac:dyDescent="0.25">
      <c r="A914" s="574" t="s">
        <v>2219</v>
      </c>
      <c r="B914" s="574" t="s">
        <v>2220</v>
      </c>
      <c r="C914" s="574" t="s">
        <v>2221</v>
      </c>
      <c r="D914" s="574" t="s">
        <v>2220</v>
      </c>
      <c r="E914" s="574" t="s">
        <v>2222</v>
      </c>
      <c r="F914" s="574" t="s">
        <v>2223</v>
      </c>
      <c r="G914" s="574" t="s">
        <v>2224</v>
      </c>
      <c r="H914" s="574" t="s">
        <v>2225</v>
      </c>
      <c r="I914" s="574" t="s">
        <v>2226</v>
      </c>
      <c r="J914" s="574" t="s">
        <v>2227</v>
      </c>
      <c r="K914" s="574" t="s">
        <v>2228</v>
      </c>
      <c r="L914" s="574" t="s">
        <v>2229</v>
      </c>
      <c r="M914" s="574" t="s">
        <v>2230</v>
      </c>
      <c r="N914" s="574" t="s">
        <v>2231</v>
      </c>
      <c r="O914" s="574" t="s">
        <v>2759</v>
      </c>
      <c r="P914" s="574" t="s">
        <v>2932</v>
      </c>
      <c r="Q914" s="574" t="s">
        <v>2234</v>
      </c>
      <c r="R914" s="574" t="s">
        <v>2225</v>
      </c>
      <c r="S914" s="574" t="s">
        <v>2737</v>
      </c>
      <c r="T914" s="574" t="s">
        <v>2738</v>
      </c>
      <c r="U914" s="574" t="s">
        <v>3536</v>
      </c>
      <c r="V914" s="574" t="s">
        <v>2238</v>
      </c>
      <c r="W914" s="574" t="s">
        <v>2239</v>
      </c>
      <c r="X914" s="574" t="s">
        <v>3293</v>
      </c>
      <c r="Y914" s="575" t="s">
        <v>2674</v>
      </c>
      <c r="Z914" s="575" t="s">
        <v>2674</v>
      </c>
      <c r="AA914" s="574" t="s">
        <v>1692</v>
      </c>
      <c r="AB914" s="574" t="s">
        <v>2307</v>
      </c>
      <c r="AC914" s="574" t="s">
        <v>2308</v>
      </c>
      <c r="AD914" s="574" t="s">
        <v>2309</v>
      </c>
      <c r="AE914" s="574" t="s">
        <v>1490</v>
      </c>
      <c r="AF914" s="574" t="s">
        <v>176</v>
      </c>
      <c r="AG914" s="576">
        <v>7020</v>
      </c>
      <c r="AH914" s="576">
        <v>0</v>
      </c>
    </row>
    <row r="915" spans="1:34" customFormat="1" x14ac:dyDescent="0.25">
      <c r="A915" s="574" t="s">
        <v>2219</v>
      </c>
      <c r="B915" s="574" t="s">
        <v>2220</v>
      </c>
      <c r="C915" s="574" t="s">
        <v>2221</v>
      </c>
      <c r="D915" s="574" t="s">
        <v>2220</v>
      </c>
      <c r="E915" s="574" t="s">
        <v>2222</v>
      </c>
      <c r="F915" s="574" t="s">
        <v>2223</v>
      </c>
      <c r="G915" s="574" t="s">
        <v>2224</v>
      </c>
      <c r="H915" s="574" t="s">
        <v>2225</v>
      </c>
      <c r="I915" s="574" t="s">
        <v>2226</v>
      </c>
      <c r="J915" s="574" t="s">
        <v>2227</v>
      </c>
      <c r="K915" s="574" t="s">
        <v>2228</v>
      </c>
      <c r="L915" s="574" t="s">
        <v>2229</v>
      </c>
      <c r="M915" s="574" t="s">
        <v>2230</v>
      </c>
      <c r="N915" s="574" t="s">
        <v>2231</v>
      </c>
      <c r="O915" s="574" t="s">
        <v>2759</v>
      </c>
      <c r="P915" s="574" t="s">
        <v>2932</v>
      </c>
      <c r="Q915" s="574" t="s">
        <v>2234</v>
      </c>
      <c r="R915" s="574" t="s">
        <v>2225</v>
      </c>
      <c r="S915" s="574" t="s">
        <v>2737</v>
      </c>
      <c r="T915" s="574" t="s">
        <v>2738</v>
      </c>
      <c r="U915" s="574" t="s">
        <v>3536</v>
      </c>
      <c r="V915" s="574" t="s">
        <v>2238</v>
      </c>
      <c r="W915" s="574" t="s">
        <v>2239</v>
      </c>
      <c r="X915" s="574" t="s">
        <v>3293</v>
      </c>
      <c r="Y915" s="575" t="s">
        <v>2674</v>
      </c>
      <c r="Z915" s="575" t="s">
        <v>2674</v>
      </c>
      <c r="AA915" s="574" t="s">
        <v>1693</v>
      </c>
      <c r="AB915" s="574" t="s">
        <v>2319</v>
      </c>
      <c r="AC915" s="574" t="s">
        <v>2320</v>
      </c>
      <c r="AD915" s="574" t="s">
        <v>2321</v>
      </c>
      <c r="AE915" s="574" t="s">
        <v>1446</v>
      </c>
      <c r="AF915" s="574" t="s">
        <v>2321</v>
      </c>
      <c r="AG915" s="576">
        <v>21505.5</v>
      </c>
      <c r="AH915" s="576">
        <v>0</v>
      </c>
    </row>
    <row r="916" spans="1:34" customFormat="1" x14ac:dyDescent="0.25">
      <c r="A916" s="574" t="s">
        <v>2219</v>
      </c>
      <c r="B916" s="574" t="s">
        <v>2220</v>
      </c>
      <c r="C916" s="574" t="s">
        <v>2221</v>
      </c>
      <c r="D916" s="574" t="s">
        <v>2220</v>
      </c>
      <c r="E916" s="574" t="s">
        <v>2222</v>
      </c>
      <c r="F916" s="574" t="s">
        <v>2223</v>
      </c>
      <c r="G916" s="574" t="s">
        <v>2224</v>
      </c>
      <c r="H916" s="574" t="s">
        <v>2225</v>
      </c>
      <c r="I916" s="574" t="s">
        <v>2226</v>
      </c>
      <c r="J916" s="574" t="s">
        <v>2227</v>
      </c>
      <c r="K916" s="574" t="s">
        <v>2228</v>
      </c>
      <c r="L916" s="574" t="s">
        <v>2229</v>
      </c>
      <c r="M916" s="574" t="s">
        <v>2230</v>
      </c>
      <c r="N916" s="574" t="s">
        <v>2231</v>
      </c>
      <c r="O916" s="574" t="s">
        <v>2759</v>
      </c>
      <c r="P916" s="574" t="s">
        <v>2932</v>
      </c>
      <c r="Q916" s="574" t="s">
        <v>2234</v>
      </c>
      <c r="R916" s="574" t="s">
        <v>2225</v>
      </c>
      <c r="S916" s="574" t="s">
        <v>2737</v>
      </c>
      <c r="T916" s="574" t="s">
        <v>2738</v>
      </c>
      <c r="U916" s="574" t="s">
        <v>3537</v>
      </c>
      <c r="V916" s="574" t="s">
        <v>2238</v>
      </c>
      <c r="W916" s="574" t="s">
        <v>2239</v>
      </c>
      <c r="X916" s="574" t="s">
        <v>3183</v>
      </c>
      <c r="Y916" s="575" t="s">
        <v>2674</v>
      </c>
      <c r="Z916" s="575" t="s">
        <v>2674</v>
      </c>
      <c r="AA916" s="574" t="s">
        <v>2949</v>
      </c>
      <c r="AB916" s="574" t="s">
        <v>2950</v>
      </c>
      <c r="AC916" s="574" t="s">
        <v>2951</v>
      </c>
      <c r="AD916" s="574" t="s">
        <v>2952</v>
      </c>
      <c r="AE916" s="574" t="s">
        <v>2953</v>
      </c>
      <c r="AF916" s="574" t="s">
        <v>2952</v>
      </c>
      <c r="AG916" s="576">
        <v>163281.62</v>
      </c>
      <c r="AH916" s="576">
        <v>0</v>
      </c>
    </row>
    <row r="917" spans="1:34" customFormat="1" x14ac:dyDescent="0.25">
      <c r="A917" s="574" t="s">
        <v>2219</v>
      </c>
      <c r="B917" s="574" t="s">
        <v>2220</v>
      </c>
      <c r="C917" s="574" t="s">
        <v>2221</v>
      </c>
      <c r="D917" s="574" t="s">
        <v>2220</v>
      </c>
      <c r="E917" s="574" t="s">
        <v>2222</v>
      </c>
      <c r="F917" s="574" t="s">
        <v>2223</v>
      </c>
      <c r="G917" s="574" t="s">
        <v>2224</v>
      </c>
      <c r="H917" s="574" t="s">
        <v>2225</v>
      </c>
      <c r="I917" s="574" t="s">
        <v>2226</v>
      </c>
      <c r="J917" s="574" t="s">
        <v>2227</v>
      </c>
      <c r="K917" s="574" t="s">
        <v>2228</v>
      </c>
      <c r="L917" s="574" t="s">
        <v>2229</v>
      </c>
      <c r="M917" s="574" t="s">
        <v>2230</v>
      </c>
      <c r="N917" s="574" t="s">
        <v>2231</v>
      </c>
      <c r="O917" s="574" t="s">
        <v>2759</v>
      </c>
      <c r="P917" s="574" t="s">
        <v>2932</v>
      </c>
      <c r="Q917" s="574" t="s">
        <v>2234</v>
      </c>
      <c r="R917" s="574" t="s">
        <v>2225</v>
      </c>
      <c r="S917" s="574" t="s">
        <v>2737</v>
      </c>
      <c r="T917" s="574" t="s">
        <v>2738</v>
      </c>
      <c r="U917" s="574" t="s">
        <v>3538</v>
      </c>
      <c r="V917" s="574" t="s">
        <v>2238</v>
      </c>
      <c r="W917" s="574" t="s">
        <v>2239</v>
      </c>
      <c r="X917" s="574" t="s">
        <v>3185</v>
      </c>
      <c r="Y917" s="575" t="s">
        <v>2674</v>
      </c>
      <c r="Z917" s="575" t="s">
        <v>2674</v>
      </c>
      <c r="AA917" s="574" t="s">
        <v>1692</v>
      </c>
      <c r="AB917" s="574" t="s">
        <v>2307</v>
      </c>
      <c r="AC917" s="574" t="s">
        <v>2308</v>
      </c>
      <c r="AD917" s="574" t="s">
        <v>2309</v>
      </c>
      <c r="AE917" s="574" t="s">
        <v>1482</v>
      </c>
      <c r="AF917" s="574" t="s">
        <v>2961</v>
      </c>
      <c r="AG917" s="576">
        <v>184000</v>
      </c>
      <c r="AH917" s="576">
        <v>0</v>
      </c>
    </row>
    <row r="918" spans="1:34" customFormat="1" x14ac:dyDescent="0.25">
      <c r="A918" s="574" t="s">
        <v>2219</v>
      </c>
      <c r="B918" s="574" t="s">
        <v>2220</v>
      </c>
      <c r="C918" s="574" t="s">
        <v>2221</v>
      </c>
      <c r="D918" s="574" t="s">
        <v>2220</v>
      </c>
      <c r="E918" s="574" t="s">
        <v>2222</v>
      </c>
      <c r="F918" s="574" t="s">
        <v>2223</v>
      </c>
      <c r="G918" s="574" t="s">
        <v>2224</v>
      </c>
      <c r="H918" s="574" t="s">
        <v>2225</v>
      </c>
      <c r="I918" s="574" t="s">
        <v>2226</v>
      </c>
      <c r="J918" s="574" t="s">
        <v>2227</v>
      </c>
      <c r="K918" s="574" t="s">
        <v>2228</v>
      </c>
      <c r="L918" s="574" t="s">
        <v>2229</v>
      </c>
      <c r="M918" s="574" t="s">
        <v>2230</v>
      </c>
      <c r="N918" s="574" t="s">
        <v>2231</v>
      </c>
      <c r="O918" s="574" t="s">
        <v>2759</v>
      </c>
      <c r="P918" s="574" t="s">
        <v>2932</v>
      </c>
      <c r="Q918" s="574" t="s">
        <v>2234</v>
      </c>
      <c r="R918" s="574" t="s">
        <v>2225</v>
      </c>
      <c r="S918" s="574" t="s">
        <v>2737</v>
      </c>
      <c r="T918" s="574" t="s">
        <v>2738</v>
      </c>
      <c r="U918" s="574" t="s">
        <v>3539</v>
      </c>
      <c r="V918" s="574" t="s">
        <v>2238</v>
      </c>
      <c r="W918" s="574" t="s">
        <v>2239</v>
      </c>
      <c r="X918" s="574" t="s">
        <v>3242</v>
      </c>
      <c r="Y918" s="575" t="s">
        <v>2736</v>
      </c>
      <c r="Z918" s="575" t="s">
        <v>2736</v>
      </c>
      <c r="AA918" s="574" t="s">
        <v>1691</v>
      </c>
      <c r="AB918" s="574" t="s">
        <v>2297</v>
      </c>
      <c r="AC918" s="574" t="s">
        <v>2298</v>
      </c>
      <c r="AD918" s="574" t="s">
        <v>2299</v>
      </c>
      <c r="AE918" s="574" t="s">
        <v>1468</v>
      </c>
      <c r="AF918" s="574" t="s">
        <v>2299</v>
      </c>
      <c r="AG918" s="576">
        <v>80000</v>
      </c>
      <c r="AH918" s="576">
        <v>0</v>
      </c>
    </row>
    <row r="919" spans="1:34" customFormat="1" x14ac:dyDescent="0.25">
      <c r="A919" s="574" t="s">
        <v>2219</v>
      </c>
      <c r="B919" s="574" t="s">
        <v>2220</v>
      </c>
      <c r="C919" s="574" t="s">
        <v>2221</v>
      </c>
      <c r="D919" s="574" t="s">
        <v>2220</v>
      </c>
      <c r="E919" s="574" t="s">
        <v>2222</v>
      </c>
      <c r="F919" s="574" t="s">
        <v>2223</v>
      </c>
      <c r="G919" s="574" t="s">
        <v>2224</v>
      </c>
      <c r="H919" s="574" t="s">
        <v>2225</v>
      </c>
      <c r="I919" s="574" t="s">
        <v>2226</v>
      </c>
      <c r="J919" s="574" t="s">
        <v>2227</v>
      </c>
      <c r="K919" s="574" t="s">
        <v>2228</v>
      </c>
      <c r="L919" s="574" t="s">
        <v>2229</v>
      </c>
      <c r="M919" s="574" t="s">
        <v>2230</v>
      </c>
      <c r="N919" s="574" t="s">
        <v>2231</v>
      </c>
      <c r="O919" s="574" t="s">
        <v>2759</v>
      </c>
      <c r="P919" s="574" t="s">
        <v>2932</v>
      </c>
      <c r="Q919" s="574" t="s">
        <v>2234</v>
      </c>
      <c r="R919" s="574" t="s">
        <v>2225</v>
      </c>
      <c r="S919" s="574" t="s">
        <v>2737</v>
      </c>
      <c r="T919" s="574" t="s">
        <v>2738</v>
      </c>
      <c r="U919" s="574" t="s">
        <v>3540</v>
      </c>
      <c r="V919" s="574" t="s">
        <v>2238</v>
      </c>
      <c r="W919" s="574" t="s">
        <v>2239</v>
      </c>
      <c r="X919" s="574" t="s">
        <v>3330</v>
      </c>
      <c r="Y919" s="575" t="s">
        <v>2512</v>
      </c>
      <c r="Z919" s="575" t="s">
        <v>2512</v>
      </c>
      <c r="AA919" s="574" t="s">
        <v>1693</v>
      </c>
      <c r="AB919" s="574" t="s">
        <v>2319</v>
      </c>
      <c r="AC919" s="574" t="s">
        <v>2320</v>
      </c>
      <c r="AD919" s="574" t="s">
        <v>2321</v>
      </c>
      <c r="AE919" s="574" t="s">
        <v>1446</v>
      </c>
      <c r="AF919" s="574" t="s">
        <v>2321</v>
      </c>
      <c r="AG919" s="576">
        <v>46108.5</v>
      </c>
      <c r="AH919" s="576">
        <v>0</v>
      </c>
    </row>
    <row r="920" spans="1:34" customFormat="1" x14ac:dyDescent="0.25">
      <c r="A920" s="574" t="s">
        <v>2219</v>
      </c>
      <c r="B920" s="574" t="s">
        <v>2220</v>
      </c>
      <c r="C920" s="574" t="s">
        <v>2221</v>
      </c>
      <c r="D920" s="574" t="s">
        <v>2220</v>
      </c>
      <c r="E920" s="574" t="s">
        <v>2222</v>
      </c>
      <c r="F920" s="574" t="s">
        <v>2223</v>
      </c>
      <c r="G920" s="574" t="s">
        <v>2224</v>
      </c>
      <c r="H920" s="574" t="s">
        <v>2225</v>
      </c>
      <c r="I920" s="574" t="s">
        <v>2226</v>
      </c>
      <c r="J920" s="574" t="s">
        <v>2227</v>
      </c>
      <c r="K920" s="574" t="s">
        <v>2228</v>
      </c>
      <c r="L920" s="574" t="s">
        <v>2229</v>
      </c>
      <c r="M920" s="574" t="s">
        <v>2230</v>
      </c>
      <c r="N920" s="574" t="s">
        <v>2231</v>
      </c>
      <c r="O920" s="574" t="s">
        <v>2759</v>
      </c>
      <c r="P920" s="574" t="s">
        <v>2932</v>
      </c>
      <c r="Q920" s="574" t="s">
        <v>2234</v>
      </c>
      <c r="R920" s="574" t="s">
        <v>2225</v>
      </c>
      <c r="S920" s="574" t="s">
        <v>2737</v>
      </c>
      <c r="T920" s="574" t="s">
        <v>2738</v>
      </c>
      <c r="U920" s="574" t="s">
        <v>3541</v>
      </c>
      <c r="V920" s="574" t="s">
        <v>2238</v>
      </c>
      <c r="W920" s="574" t="s">
        <v>2239</v>
      </c>
      <c r="X920" s="574" t="s">
        <v>3187</v>
      </c>
      <c r="Y920" s="575" t="s">
        <v>2512</v>
      </c>
      <c r="Z920" s="575" t="s">
        <v>2512</v>
      </c>
      <c r="AA920" s="574" t="s">
        <v>1693</v>
      </c>
      <c r="AB920" s="574" t="s">
        <v>2319</v>
      </c>
      <c r="AC920" s="574" t="s">
        <v>2320</v>
      </c>
      <c r="AD920" s="574" t="s">
        <v>2321</v>
      </c>
      <c r="AE920" s="574" t="s">
        <v>1446</v>
      </c>
      <c r="AF920" s="574" t="s">
        <v>2321</v>
      </c>
      <c r="AG920" s="576">
        <v>229462.8</v>
      </c>
      <c r="AH920" s="576">
        <v>0</v>
      </c>
    </row>
    <row r="921" spans="1:34" customFormat="1" x14ac:dyDescent="0.25">
      <c r="A921" s="574" t="s">
        <v>2219</v>
      </c>
      <c r="B921" s="574" t="s">
        <v>2220</v>
      </c>
      <c r="C921" s="574" t="s">
        <v>2221</v>
      </c>
      <c r="D921" s="574" t="s">
        <v>2220</v>
      </c>
      <c r="E921" s="574" t="s">
        <v>2222</v>
      </c>
      <c r="F921" s="574" t="s">
        <v>2223</v>
      </c>
      <c r="G921" s="574" t="s">
        <v>2224</v>
      </c>
      <c r="H921" s="574" t="s">
        <v>2225</v>
      </c>
      <c r="I921" s="574" t="s">
        <v>2226</v>
      </c>
      <c r="J921" s="574" t="s">
        <v>2227</v>
      </c>
      <c r="K921" s="574" t="s">
        <v>2228</v>
      </c>
      <c r="L921" s="574" t="s">
        <v>2229</v>
      </c>
      <c r="M921" s="574" t="s">
        <v>2230</v>
      </c>
      <c r="N921" s="574" t="s">
        <v>2231</v>
      </c>
      <c r="O921" s="574" t="s">
        <v>2759</v>
      </c>
      <c r="P921" s="574" t="s">
        <v>2932</v>
      </c>
      <c r="Q921" s="574" t="s">
        <v>2234</v>
      </c>
      <c r="R921" s="574" t="s">
        <v>2225</v>
      </c>
      <c r="S921" s="574" t="s">
        <v>2737</v>
      </c>
      <c r="T921" s="574" t="s">
        <v>2738</v>
      </c>
      <c r="U921" s="574" t="s">
        <v>3542</v>
      </c>
      <c r="V921" s="574" t="s">
        <v>2238</v>
      </c>
      <c r="W921" s="574" t="s">
        <v>2239</v>
      </c>
      <c r="X921" s="574" t="s">
        <v>3331</v>
      </c>
      <c r="Y921" s="575" t="s">
        <v>2512</v>
      </c>
      <c r="Z921" s="575" t="s">
        <v>2512</v>
      </c>
      <c r="AA921" s="574" t="s">
        <v>1693</v>
      </c>
      <c r="AB921" s="574" t="s">
        <v>2319</v>
      </c>
      <c r="AC921" s="574" t="s">
        <v>2320</v>
      </c>
      <c r="AD921" s="574" t="s">
        <v>2321</v>
      </c>
      <c r="AE921" s="574" t="s">
        <v>1446</v>
      </c>
      <c r="AF921" s="574" t="s">
        <v>2321</v>
      </c>
      <c r="AG921" s="576">
        <v>29874</v>
      </c>
      <c r="AH921" s="576">
        <v>0</v>
      </c>
    </row>
    <row r="922" spans="1:34" customFormat="1" x14ac:dyDescent="0.25">
      <c r="A922" s="574" t="s">
        <v>2219</v>
      </c>
      <c r="B922" s="574" t="s">
        <v>2220</v>
      </c>
      <c r="C922" s="574" t="s">
        <v>2221</v>
      </c>
      <c r="D922" s="574" t="s">
        <v>2220</v>
      </c>
      <c r="E922" s="574" t="s">
        <v>2222</v>
      </c>
      <c r="F922" s="574" t="s">
        <v>2223</v>
      </c>
      <c r="G922" s="574" t="s">
        <v>2224</v>
      </c>
      <c r="H922" s="574" t="s">
        <v>2225</v>
      </c>
      <c r="I922" s="574" t="s">
        <v>2226</v>
      </c>
      <c r="J922" s="574" t="s">
        <v>2227</v>
      </c>
      <c r="K922" s="574" t="s">
        <v>2228</v>
      </c>
      <c r="L922" s="574" t="s">
        <v>2229</v>
      </c>
      <c r="M922" s="574" t="s">
        <v>2230</v>
      </c>
      <c r="N922" s="574" t="s">
        <v>2231</v>
      </c>
      <c r="O922" s="574" t="s">
        <v>2759</v>
      </c>
      <c r="P922" s="574" t="s">
        <v>2932</v>
      </c>
      <c r="Q922" s="574" t="s">
        <v>2234</v>
      </c>
      <c r="R922" s="574" t="s">
        <v>2225</v>
      </c>
      <c r="S922" s="574" t="s">
        <v>2737</v>
      </c>
      <c r="T922" s="574" t="s">
        <v>2738</v>
      </c>
      <c r="U922" s="574" t="s">
        <v>3543</v>
      </c>
      <c r="V922" s="574" t="s">
        <v>2238</v>
      </c>
      <c r="W922" s="574" t="s">
        <v>2239</v>
      </c>
      <c r="X922" s="574" t="s">
        <v>3193</v>
      </c>
      <c r="Y922" s="575" t="s">
        <v>2512</v>
      </c>
      <c r="Z922" s="575" t="s">
        <v>2512</v>
      </c>
      <c r="AA922" s="574" t="s">
        <v>1693</v>
      </c>
      <c r="AB922" s="574" t="s">
        <v>2319</v>
      </c>
      <c r="AC922" s="574" t="s">
        <v>3194</v>
      </c>
      <c r="AD922" s="574" t="s">
        <v>3195</v>
      </c>
      <c r="AE922" s="574" t="s">
        <v>3196</v>
      </c>
      <c r="AF922" s="574" t="s">
        <v>3195</v>
      </c>
      <c r="AG922" s="576">
        <v>21240</v>
      </c>
      <c r="AH922" s="576">
        <v>0</v>
      </c>
    </row>
    <row r="923" spans="1:34" customFormat="1" x14ac:dyDescent="0.25">
      <c r="A923" s="574" t="s">
        <v>2219</v>
      </c>
      <c r="B923" s="574" t="s">
        <v>2220</v>
      </c>
      <c r="C923" s="574" t="s">
        <v>2221</v>
      </c>
      <c r="D923" s="574" t="s">
        <v>2220</v>
      </c>
      <c r="E923" s="574" t="s">
        <v>2222</v>
      </c>
      <c r="F923" s="574" t="s">
        <v>2223</v>
      </c>
      <c r="G923" s="574" t="s">
        <v>2224</v>
      </c>
      <c r="H923" s="574" t="s">
        <v>2225</v>
      </c>
      <c r="I923" s="574" t="s">
        <v>2226</v>
      </c>
      <c r="J923" s="574" t="s">
        <v>2227</v>
      </c>
      <c r="K923" s="574" t="s">
        <v>2228</v>
      </c>
      <c r="L923" s="574" t="s">
        <v>2229</v>
      </c>
      <c r="M923" s="574" t="s">
        <v>2230</v>
      </c>
      <c r="N923" s="574" t="s">
        <v>2231</v>
      </c>
      <c r="O923" s="574" t="s">
        <v>2759</v>
      </c>
      <c r="P923" s="574" t="s">
        <v>2932</v>
      </c>
      <c r="Q923" s="574" t="s">
        <v>2234</v>
      </c>
      <c r="R923" s="574" t="s">
        <v>2225</v>
      </c>
      <c r="S923" s="574" t="s">
        <v>2737</v>
      </c>
      <c r="T923" s="574" t="s">
        <v>2738</v>
      </c>
      <c r="U923" s="574" t="s">
        <v>3544</v>
      </c>
      <c r="V923" s="574" t="s">
        <v>2238</v>
      </c>
      <c r="W923" s="574" t="s">
        <v>2239</v>
      </c>
      <c r="X923" s="574" t="s">
        <v>3191</v>
      </c>
      <c r="Y923" s="575" t="s">
        <v>2512</v>
      </c>
      <c r="Z923" s="575" t="s">
        <v>2512</v>
      </c>
      <c r="AA923" s="574" t="s">
        <v>1693</v>
      </c>
      <c r="AB923" s="574" t="s">
        <v>2319</v>
      </c>
      <c r="AC923" s="574" t="s">
        <v>2320</v>
      </c>
      <c r="AD923" s="574" t="s">
        <v>2321</v>
      </c>
      <c r="AE923" s="574" t="s">
        <v>1446</v>
      </c>
      <c r="AF923" s="574" t="s">
        <v>2321</v>
      </c>
      <c r="AG923" s="576">
        <v>56748.800000000003</v>
      </c>
      <c r="AH923" s="576">
        <v>0</v>
      </c>
    </row>
    <row r="924" spans="1:34" customFormat="1" x14ac:dyDescent="0.25">
      <c r="A924" s="574" t="s">
        <v>2219</v>
      </c>
      <c r="B924" s="574" t="s">
        <v>2220</v>
      </c>
      <c r="C924" s="574" t="s">
        <v>2221</v>
      </c>
      <c r="D924" s="574" t="s">
        <v>2220</v>
      </c>
      <c r="E924" s="574" t="s">
        <v>2222</v>
      </c>
      <c r="F924" s="574" t="s">
        <v>2223</v>
      </c>
      <c r="G924" s="574" t="s">
        <v>2224</v>
      </c>
      <c r="H924" s="574" t="s">
        <v>2225</v>
      </c>
      <c r="I924" s="574" t="s">
        <v>2226</v>
      </c>
      <c r="J924" s="574" t="s">
        <v>2227</v>
      </c>
      <c r="K924" s="574" t="s">
        <v>2228</v>
      </c>
      <c r="L924" s="574" t="s">
        <v>2229</v>
      </c>
      <c r="M924" s="574" t="s">
        <v>2230</v>
      </c>
      <c r="N924" s="574" t="s">
        <v>2231</v>
      </c>
      <c r="O924" s="574" t="s">
        <v>2759</v>
      </c>
      <c r="P924" s="574" t="s">
        <v>2932</v>
      </c>
      <c r="Q924" s="574" t="s">
        <v>2234</v>
      </c>
      <c r="R924" s="574" t="s">
        <v>2225</v>
      </c>
      <c r="S924" s="574" t="s">
        <v>2737</v>
      </c>
      <c r="T924" s="574" t="s">
        <v>2738</v>
      </c>
      <c r="U924" s="574" t="s">
        <v>3545</v>
      </c>
      <c r="V924" s="574" t="s">
        <v>2238</v>
      </c>
      <c r="W924" s="574" t="s">
        <v>2239</v>
      </c>
      <c r="X924" s="574" t="s">
        <v>3198</v>
      </c>
      <c r="Y924" s="575" t="s">
        <v>2512</v>
      </c>
      <c r="Z924" s="575" t="s">
        <v>2512</v>
      </c>
      <c r="AA924" s="574" t="s">
        <v>2949</v>
      </c>
      <c r="AB924" s="574" t="s">
        <v>2950</v>
      </c>
      <c r="AC924" s="574" t="s">
        <v>2951</v>
      </c>
      <c r="AD924" s="574" t="s">
        <v>2952</v>
      </c>
      <c r="AE924" s="574" t="s">
        <v>2953</v>
      </c>
      <c r="AF924" s="574" t="s">
        <v>2952</v>
      </c>
      <c r="AG924" s="576">
        <v>141600</v>
      </c>
      <c r="AH924" s="576">
        <v>0</v>
      </c>
    </row>
    <row r="925" spans="1:34" customFormat="1" x14ac:dyDescent="0.25">
      <c r="A925" s="574" t="s">
        <v>2219</v>
      </c>
      <c r="B925" s="574" t="s">
        <v>2220</v>
      </c>
      <c r="C925" s="574" t="s">
        <v>2221</v>
      </c>
      <c r="D925" s="574" t="s">
        <v>2220</v>
      </c>
      <c r="E925" s="574" t="s">
        <v>2222</v>
      </c>
      <c r="F925" s="574" t="s">
        <v>2223</v>
      </c>
      <c r="G925" s="574" t="s">
        <v>2224</v>
      </c>
      <c r="H925" s="574" t="s">
        <v>2225</v>
      </c>
      <c r="I925" s="574" t="s">
        <v>2226</v>
      </c>
      <c r="J925" s="574" t="s">
        <v>2227</v>
      </c>
      <c r="K925" s="574" t="s">
        <v>2228</v>
      </c>
      <c r="L925" s="574" t="s">
        <v>2229</v>
      </c>
      <c r="M925" s="574" t="s">
        <v>2230</v>
      </c>
      <c r="N925" s="574" t="s">
        <v>2231</v>
      </c>
      <c r="O925" s="574" t="s">
        <v>2759</v>
      </c>
      <c r="P925" s="574" t="s">
        <v>2932</v>
      </c>
      <c r="Q925" s="574" t="s">
        <v>2234</v>
      </c>
      <c r="R925" s="574" t="s">
        <v>2225</v>
      </c>
      <c r="S925" s="574" t="s">
        <v>2737</v>
      </c>
      <c r="T925" s="574" t="s">
        <v>2738</v>
      </c>
      <c r="U925" s="574" t="s">
        <v>3546</v>
      </c>
      <c r="V925" s="574" t="s">
        <v>2238</v>
      </c>
      <c r="W925" s="574" t="s">
        <v>2239</v>
      </c>
      <c r="X925" s="574" t="s">
        <v>3208</v>
      </c>
      <c r="Y925" s="575" t="s">
        <v>2517</v>
      </c>
      <c r="Z925" s="575" t="s">
        <v>2517</v>
      </c>
      <c r="AA925" s="574" t="s">
        <v>1691</v>
      </c>
      <c r="AB925" s="574" t="s">
        <v>2297</v>
      </c>
      <c r="AC925" s="574" t="s">
        <v>2298</v>
      </c>
      <c r="AD925" s="574" t="s">
        <v>2299</v>
      </c>
      <c r="AE925" s="574" t="s">
        <v>1468</v>
      </c>
      <c r="AF925" s="574" t="s">
        <v>2299</v>
      </c>
      <c r="AG925" s="576">
        <v>90000</v>
      </c>
      <c r="AH925" s="576">
        <v>0</v>
      </c>
    </row>
    <row r="926" spans="1:34" customFormat="1" x14ac:dyDescent="0.25">
      <c r="A926" s="574" t="s">
        <v>2219</v>
      </c>
      <c r="B926" s="574" t="s">
        <v>2220</v>
      </c>
      <c r="C926" s="574" t="s">
        <v>2221</v>
      </c>
      <c r="D926" s="574" t="s">
        <v>2220</v>
      </c>
      <c r="E926" s="574" t="s">
        <v>2222</v>
      </c>
      <c r="F926" s="574" t="s">
        <v>2223</v>
      </c>
      <c r="G926" s="574" t="s">
        <v>2224</v>
      </c>
      <c r="H926" s="574" t="s">
        <v>2225</v>
      </c>
      <c r="I926" s="574" t="s">
        <v>2226</v>
      </c>
      <c r="J926" s="574" t="s">
        <v>2227</v>
      </c>
      <c r="K926" s="574" t="s">
        <v>2228</v>
      </c>
      <c r="L926" s="574" t="s">
        <v>2229</v>
      </c>
      <c r="M926" s="574" t="s">
        <v>2230</v>
      </c>
      <c r="N926" s="574" t="s">
        <v>2231</v>
      </c>
      <c r="O926" s="574" t="s">
        <v>2759</v>
      </c>
      <c r="P926" s="574" t="s">
        <v>2932</v>
      </c>
      <c r="Q926" s="574" t="s">
        <v>2234</v>
      </c>
      <c r="R926" s="574" t="s">
        <v>2225</v>
      </c>
      <c r="S926" s="574" t="s">
        <v>2737</v>
      </c>
      <c r="T926" s="574" t="s">
        <v>2738</v>
      </c>
      <c r="U926" s="574" t="s">
        <v>3547</v>
      </c>
      <c r="V926" s="574" t="s">
        <v>2238</v>
      </c>
      <c r="W926" s="574" t="s">
        <v>2239</v>
      </c>
      <c r="X926" s="574" t="s">
        <v>3218</v>
      </c>
      <c r="Y926" s="575" t="s">
        <v>2517</v>
      </c>
      <c r="Z926" s="575" t="s">
        <v>2517</v>
      </c>
      <c r="AA926" s="574" t="s">
        <v>1693</v>
      </c>
      <c r="AB926" s="574" t="s">
        <v>2319</v>
      </c>
      <c r="AC926" s="574" t="s">
        <v>2320</v>
      </c>
      <c r="AD926" s="574" t="s">
        <v>2321</v>
      </c>
      <c r="AE926" s="574" t="s">
        <v>1446</v>
      </c>
      <c r="AF926" s="574" t="s">
        <v>2321</v>
      </c>
      <c r="AG926" s="576">
        <v>169215.6</v>
      </c>
      <c r="AH926" s="576">
        <v>0</v>
      </c>
    </row>
    <row r="927" spans="1:34" customFormat="1" x14ac:dyDescent="0.25">
      <c r="A927" s="574" t="s">
        <v>2219</v>
      </c>
      <c r="B927" s="574" t="s">
        <v>2220</v>
      </c>
      <c r="C927" s="574" t="s">
        <v>2221</v>
      </c>
      <c r="D927" s="574" t="s">
        <v>2220</v>
      </c>
      <c r="E927" s="574" t="s">
        <v>2222</v>
      </c>
      <c r="F927" s="574" t="s">
        <v>2223</v>
      </c>
      <c r="G927" s="574" t="s">
        <v>2224</v>
      </c>
      <c r="H927" s="574" t="s">
        <v>2225</v>
      </c>
      <c r="I927" s="574" t="s">
        <v>2226</v>
      </c>
      <c r="J927" s="574" t="s">
        <v>2227</v>
      </c>
      <c r="K927" s="574" t="s">
        <v>2228</v>
      </c>
      <c r="L927" s="574" t="s">
        <v>2229</v>
      </c>
      <c r="M927" s="574" t="s">
        <v>2230</v>
      </c>
      <c r="N927" s="574" t="s">
        <v>2231</v>
      </c>
      <c r="O927" s="574" t="s">
        <v>2759</v>
      </c>
      <c r="P927" s="574" t="s">
        <v>2932</v>
      </c>
      <c r="Q927" s="574" t="s">
        <v>2234</v>
      </c>
      <c r="R927" s="574" t="s">
        <v>2225</v>
      </c>
      <c r="S927" s="574" t="s">
        <v>2737</v>
      </c>
      <c r="T927" s="574" t="s">
        <v>2738</v>
      </c>
      <c r="U927" s="574" t="s">
        <v>3548</v>
      </c>
      <c r="V927" s="574" t="s">
        <v>2238</v>
      </c>
      <c r="W927" s="574" t="s">
        <v>2239</v>
      </c>
      <c r="X927" s="574" t="s">
        <v>3206</v>
      </c>
      <c r="Y927" s="575" t="s">
        <v>2517</v>
      </c>
      <c r="Z927" s="575" t="s">
        <v>2517</v>
      </c>
      <c r="AA927" s="574" t="s">
        <v>1693</v>
      </c>
      <c r="AB927" s="574" t="s">
        <v>2319</v>
      </c>
      <c r="AC927" s="574" t="s">
        <v>2320</v>
      </c>
      <c r="AD927" s="574" t="s">
        <v>2321</v>
      </c>
      <c r="AE927" s="574" t="s">
        <v>1446</v>
      </c>
      <c r="AF927" s="574" t="s">
        <v>2321</v>
      </c>
      <c r="AG927" s="576">
        <v>212400</v>
      </c>
      <c r="AH927" s="576">
        <v>0</v>
      </c>
    </row>
    <row r="928" spans="1:34" customFormat="1" x14ac:dyDescent="0.25">
      <c r="A928" s="574" t="s">
        <v>2219</v>
      </c>
      <c r="B928" s="574" t="s">
        <v>2220</v>
      </c>
      <c r="C928" s="574" t="s">
        <v>2221</v>
      </c>
      <c r="D928" s="574" t="s">
        <v>2220</v>
      </c>
      <c r="E928" s="574" t="s">
        <v>2222</v>
      </c>
      <c r="F928" s="574" t="s">
        <v>2223</v>
      </c>
      <c r="G928" s="574" t="s">
        <v>2224</v>
      </c>
      <c r="H928" s="574" t="s">
        <v>2225</v>
      </c>
      <c r="I928" s="574" t="s">
        <v>2226</v>
      </c>
      <c r="J928" s="574" t="s">
        <v>2227</v>
      </c>
      <c r="K928" s="574" t="s">
        <v>2228</v>
      </c>
      <c r="L928" s="574" t="s">
        <v>2229</v>
      </c>
      <c r="M928" s="574" t="s">
        <v>2230</v>
      </c>
      <c r="N928" s="574" t="s">
        <v>2231</v>
      </c>
      <c r="O928" s="574" t="s">
        <v>2759</v>
      </c>
      <c r="P928" s="574" t="s">
        <v>2932</v>
      </c>
      <c r="Q928" s="574" t="s">
        <v>2234</v>
      </c>
      <c r="R928" s="574" t="s">
        <v>2225</v>
      </c>
      <c r="S928" s="574" t="s">
        <v>2737</v>
      </c>
      <c r="T928" s="574" t="s">
        <v>2738</v>
      </c>
      <c r="U928" s="574" t="s">
        <v>3549</v>
      </c>
      <c r="V928" s="574" t="s">
        <v>2238</v>
      </c>
      <c r="W928" s="574" t="s">
        <v>2239</v>
      </c>
      <c r="X928" s="574" t="s">
        <v>3189</v>
      </c>
      <c r="Y928" s="575" t="s">
        <v>2517</v>
      </c>
      <c r="Z928" s="575" t="s">
        <v>2517</v>
      </c>
      <c r="AA928" s="574" t="s">
        <v>1693</v>
      </c>
      <c r="AB928" s="574" t="s">
        <v>2319</v>
      </c>
      <c r="AC928" s="574" t="s">
        <v>2320</v>
      </c>
      <c r="AD928" s="574" t="s">
        <v>2321</v>
      </c>
      <c r="AE928" s="574" t="s">
        <v>1446</v>
      </c>
      <c r="AF928" s="574" t="s">
        <v>2321</v>
      </c>
      <c r="AG928" s="576">
        <v>198594</v>
      </c>
      <c r="AH928" s="576">
        <v>0</v>
      </c>
    </row>
    <row r="929" spans="1:34" customFormat="1" x14ac:dyDescent="0.25">
      <c r="A929" s="574" t="s">
        <v>2219</v>
      </c>
      <c r="B929" s="574" t="s">
        <v>2220</v>
      </c>
      <c r="C929" s="574" t="s">
        <v>2221</v>
      </c>
      <c r="D929" s="574" t="s">
        <v>2220</v>
      </c>
      <c r="E929" s="574" t="s">
        <v>2222</v>
      </c>
      <c r="F929" s="574" t="s">
        <v>2223</v>
      </c>
      <c r="G929" s="574" t="s">
        <v>2224</v>
      </c>
      <c r="H929" s="574" t="s">
        <v>2225</v>
      </c>
      <c r="I929" s="574" t="s">
        <v>2226</v>
      </c>
      <c r="J929" s="574" t="s">
        <v>2227</v>
      </c>
      <c r="K929" s="574" t="s">
        <v>2228</v>
      </c>
      <c r="L929" s="574" t="s">
        <v>2229</v>
      </c>
      <c r="M929" s="574" t="s">
        <v>2230</v>
      </c>
      <c r="N929" s="574" t="s">
        <v>2231</v>
      </c>
      <c r="O929" s="574" t="s">
        <v>2759</v>
      </c>
      <c r="P929" s="574" t="s">
        <v>2932</v>
      </c>
      <c r="Q929" s="574" t="s">
        <v>2234</v>
      </c>
      <c r="R929" s="574" t="s">
        <v>2225</v>
      </c>
      <c r="S929" s="574" t="s">
        <v>2737</v>
      </c>
      <c r="T929" s="574" t="s">
        <v>2738</v>
      </c>
      <c r="U929" s="574" t="s">
        <v>3550</v>
      </c>
      <c r="V929" s="574" t="s">
        <v>2238</v>
      </c>
      <c r="W929" s="574" t="s">
        <v>2239</v>
      </c>
      <c r="X929" s="574" t="s">
        <v>3214</v>
      </c>
      <c r="Y929" s="575" t="s">
        <v>2517</v>
      </c>
      <c r="Z929" s="575" t="s">
        <v>2517</v>
      </c>
      <c r="AA929" s="574" t="s">
        <v>1693</v>
      </c>
      <c r="AB929" s="574" t="s">
        <v>2319</v>
      </c>
      <c r="AC929" s="574" t="s">
        <v>2320</v>
      </c>
      <c r="AD929" s="574" t="s">
        <v>2321</v>
      </c>
      <c r="AE929" s="574" t="s">
        <v>1446</v>
      </c>
      <c r="AF929" s="574" t="s">
        <v>2321</v>
      </c>
      <c r="AG929" s="576">
        <v>346330</v>
      </c>
      <c r="AH929" s="576">
        <v>0</v>
      </c>
    </row>
    <row r="930" spans="1:34" customFormat="1" x14ac:dyDescent="0.25">
      <c r="A930" s="574" t="s">
        <v>2219</v>
      </c>
      <c r="B930" s="574" t="s">
        <v>2220</v>
      </c>
      <c r="C930" s="574" t="s">
        <v>2221</v>
      </c>
      <c r="D930" s="574" t="s">
        <v>2220</v>
      </c>
      <c r="E930" s="574" t="s">
        <v>2222</v>
      </c>
      <c r="F930" s="574" t="s">
        <v>2223</v>
      </c>
      <c r="G930" s="574" t="s">
        <v>2224</v>
      </c>
      <c r="H930" s="574" t="s">
        <v>2225</v>
      </c>
      <c r="I930" s="574" t="s">
        <v>2226</v>
      </c>
      <c r="J930" s="574" t="s">
        <v>2227</v>
      </c>
      <c r="K930" s="574" t="s">
        <v>2228</v>
      </c>
      <c r="L930" s="574" t="s">
        <v>2229</v>
      </c>
      <c r="M930" s="574" t="s">
        <v>2230</v>
      </c>
      <c r="N930" s="574" t="s">
        <v>2231</v>
      </c>
      <c r="O930" s="574" t="s">
        <v>2759</v>
      </c>
      <c r="P930" s="574" t="s">
        <v>2932</v>
      </c>
      <c r="Q930" s="574" t="s">
        <v>2234</v>
      </c>
      <c r="R930" s="574" t="s">
        <v>2225</v>
      </c>
      <c r="S930" s="574" t="s">
        <v>2737</v>
      </c>
      <c r="T930" s="574" t="s">
        <v>2738</v>
      </c>
      <c r="U930" s="574" t="s">
        <v>3551</v>
      </c>
      <c r="V930" s="574" t="s">
        <v>2238</v>
      </c>
      <c r="W930" s="574" t="s">
        <v>2239</v>
      </c>
      <c r="X930" s="574" t="s">
        <v>3204</v>
      </c>
      <c r="Y930" s="575" t="s">
        <v>2517</v>
      </c>
      <c r="Z930" s="575" t="s">
        <v>2517</v>
      </c>
      <c r="AA930" s="574" t="s">
        <v>1692</v>
      </c>
      <c r="AB930" s="574" t="s">
        <v>2307</v>
      </c>
      <c r="AC930" s="574" t="s">
        <v>2308</v>
      </c>
      <c r="AD930" s="574" t="s">
        <v>2309</v>
      </c>
      <c r="AE930" s="574" t="s">
        <v>1490</v>
      </c>
      <c r="AF930" s="574" t="s">
        <v>176</v>
      </c>
      <c r="AG930" s="576">
        <v>90392.72</v>
      </c>
      <c r="AH930" s="576">
        <v>0</v>
      </c>
    </row>
    <row r="931" spans="1:34" customFormat="1" x14ac:dyDescent="0.25">
      <c r="A931" s="574" t="s">
        <v>2219</v>
      </c>
      <c r="B931" s="574" t="s">
        <v>2220</v>
      </c>
      <c r="C931" s="574" t="s">
        <v>2221</v>
      </c>
      <c r="D931" s="574" t="s">
        <v>2220</v>
      </c>
      <c r="E931" s="574" t="s">
        <v>2222</v>
      </c>
      <c r="F931" s="574" t="s">
        <v>2223</v>
      </c>
      <c r="G931" s="574" t="s">
        <v>2224</v>
      </c>
      <c r="H931" s="574" t="s">
        <v>2225</v>
      </c>
      <c r="I931" s="574" t="s">
        <v>2226</v>
      </c>
      <c r="J931" s="574" t="s">
        <v>2227</v>
      </c>
      <c r="K931" s="574" t="s">
        <v>2228</v>
      </c>
      <c r="L931" s="574" t="s">
        <v>2229</v>
      </c>
      <c r="M931" s="574" t="s">
        <v>2230</v>
      </c>
      <c r="N931" s="574" t="s">
        <v>2231</v>
      </c>
      <c r="O931" s="574" t="s">
        <v>2759</v>
      </c>
      <c r="P931" s="574" t="s">
        <v>2932</v>
      </c>
      <c r="Q931" s="574" t="s">
        <v>2234</v>
      </c>
      <c r="R931" s="574" t="s">
        <v>2225</v>
      </c>
      <c r="S931" s="574" t="s">
        <v>2737</v>
      </c>
      <c r="T931" s="574" t="s">
        <v>2738</v>
      </c>
      <c r="U931" s="574" t="s">
        <v>3551</v>
      </c>
      <c r="V931" s="574" t="s">
        <v>2238</v>
      </c>
      <c r="W931" s="574" t="s">
        <v>2239</v>
      </c>
      <c r="X931" s="574" t="s">
        <v>3204</v>
      </c>
      <c r="Y931" s="575" t="s">
        <v>2517</v>
      </c>
      <c r="Z931" s="575" t="s">
        <v>2517</v>
      </c>
      <c r="AA931" s="574" t="s">
        <v>1692</v>
      </c>
      <c r="AB931" s="574" t="s">
        <v>2307</v>
      </c>
      <c r="AC931" s="574" t="s">
        <v>2308</v>
      </c>
      <c r="AD931" s="574" t="s">
        <v>2309</v>
      </c>
      <c r="AE931" s="574" t="s">
        <v>1482</v>
      </c>
      <c r="AF931" s="574" t="s">
        <v>2961</v>
      </c>
      <c r="AG931" s="576">
        <v>376954.54</v>
      </c>
      <c r="AH931" s="576">
        <v>0</v>
      </c>
    </row>
    <row r="932" spans="1:34" customFormat="1" x14ac:dyDescent="0.25">
      <c r="A932" s="574" t="s">
        <v>2219</v>
      </c>
      <c r="B932" s="574" t="s">
        <v>2220</v>
      </c>
      <c r="C932" s="574" t="s">
        <v>2221</v>
      </c>
      <c r="D932" s="574" t="s">
        <v>2220</v>
      </c>
      <c r="E932" s="574" t="s">
        <v>2222</v>
      </c>
      <c r="F932" s="574" t="s">
        <v>2223</v>
      </c>
      <c r="G932" s="574" t="s">
        <v>2224</v>
      </c>
      <c r="H932" s="574" t="s">
        <v>2225</v>
      </c>
      <c r="I932" s="574" t="s">
        <v>2226</v>
      </c>
      <c r="J932" s="574" t="s">
        <v>2227</v>
      </c>
      <c r="K932" s="574" t="s">
        <v>2228</v>
      </c>
      <c r="L932" s="574" t="s">
        <v>2229</v>
      </c>
      <c r="M932" s="574" t="s">
        <v>2230</v>
      </c>
      <c r="N932" s="574" t="s">
        <v>2231</v>
      </c>
      <c r="O932" s="574" t="s">
        <v>2759</v>
      </c>
      <c r="P932" s="574" t="s">
        <v>2932</v>
      </c>
      <c r="Q932" s="574" t="s">
        <v>2234</v>
      </c>
      <c r="R932" s="574" t="s">
        <v>2225</v>
      </c>
      <c r="S932" s="574" t="s">
        <v>2737</v>
      </c>
      <c r="T932" s="574" t="s">
        <v>2738</v>
      </c>
      <c r="U932" s="574" t="s">
        <v>3551</v>
      </c>
      <c r="V932" s="574" t="s">
        <v>2238</v>
      </c>
      <c r="W932" s="574" t="s">
        <v>2239</v>
      </c>
      <c r="X932" s="574" t="s">
        <v>3204</v>
      </c>
      <c r="Y932" s="575" t="s">
        <v>2517</v>
      </c>
      <c r="Z932" s="575" t="s">
        <v>2517</v>
      </c>
      <c r="AA932" s="574" t="s">
        <v>1693</v>
      </c>
      <c r="AB932" s="574" t="s">
        <v>2319</v>
      </c>
      <c r="AC932" s="574" t="s">
        <v>2402</v>
      </c>
      <c r="AD932" s="574" t="s">
        <v>2403</v>
      </c>
      <c r="AE932" s="574" t="s">
        <v>1486</v>
      </c>
      <c r="AF932" s="574" t="s">
        <v>2403</v>
      </c>
      <c r="AG932" s="576">
        <v>30927.8</v>
      </c>
      <c r="AH932" s="576">
        <v>0</v>
      </c>
    </row>
    <row r="933" spans="1:34" customFormat="1" x14ac:dyDescent="0.25">
      <c r="A933" s="574" t="s">
        <v>2219</v>
      </c>
      <c r="B933" s="574" t="s">
        <v>2220</v>
      </c>
      <c r="C933" s="574" t="s">
        <v>2221</v>
      </c>
      <c r="D933" s="574" t="s">
        <v>2220</v>
      </c>
      <c r="E933" s="574" t="s">
        <v>2222</v>
      </c>
      <c r="F933" s="574" t="s">
        <v>2223</v>
      </c>
      <c r="G933" s="574" t="s">
        <v>2224</v>
      </c>
      <c r="H933" s="574" t="s">
        <v>2225</v>
      </c>
      <c r="I933" s="574" t="s">
        <v>2226</v>
      </c>
      <c r="J933" s="574" t="s">
        <v>2227</v>
      </c>
      <c r="K933" s="574" t="s">
        <v>2228</v>
      </c>
      <c r="L933" s="574" t="s">
        <v>2229</v>
      </c>
      <c r="M933" s="574" t="s">
        <v>2230</v>
      </c>
      <c r="N933" s="574" t="s">
        <v>2231</v>
      </c>
      <c r="O933" s="574" t="s">
        <v>2759</v>
      </c>
      <c r="P933" s="574" t="s">
        <v>2932</v>
      </c>
      <c r="Q933" s="574" t="s">
        <v>2234</v>
      </c>
      <c r="R933" s="574" t="s">
        <v>2225</v>
      </c>
      <c r="S933" s="574" t="s">
        <v>2737</v>
      </c>
      <c r="T933" s="574" t="s">
        <v>2738</v>
      </c>
      <c r="U933" s="574" t="s">
        <v>3551</v>
      </c>
      <c r="V933" s="574" t="s">
        <v>2238</v>
      </c>
      <c r="W933" s="574" t="s">
        <v>2239</v>
      </c>
      <c r="X933" s="574" t="s">
        <v>3204</v>
      </c>
      <c r="Y933" s="575" t="s">
        <v>2517</v>
      </c>
      <c r="Z933" s="575" t="s">
        <v>2517</v>
      </c>
      <c r="AA933" s="574" t="s">
        <v>1693</v>
      </c>
      <c r="AB933" s="574" t="s">
        <v>2319</v>
      </c>
      <c r="AC933" s="574" t="s">
        <v>2320</v>
      </c>
      <c r="AD933" s="574" t="s">
        <v>2321</v>
      </c>
      <c r="AE933" s="574" t="s">
        <v>1446</v>
      </c>
      <c r="AF933" s="574" t="s">
        <v>2321</v>
      </c>
      <c r="AG933" s="576">
        <v>208683</v>
      </c>
      <c r="AH933" s="576">
        <v>0</v>
      </c>
    </row>
    <row r="934" spans="1:34" customFormat="1" x14ac:dyDescent="0.25">
      <c r="A934" s="574" t="s">
        <v>2219</v>
      </c>
      <c r="B934" s="574" t="s">
        <v>2220</v>
      </c>
      <c r="C934" s="574" t="s">
        <v>2221</v>
      </c>
      <c r="D934" s="574" t="s">
        <v>2220</v>
      </c>
      <c r="E934" s="574" t="s">
        <v>2222</v>
      </c>
      <c r="F934" s="574" t="s">
        <v>2223</v>
      </c>
      <c r="G934" s="574" t="s">
        <v>2224</v>
      </c>
      <c r="H934" s="574" t="s">
        <v>2225</v>
      </c>
      <c r="I934" s="574" t="s">
        <v>2226</v>
      </c>
      <c r="J934" s="574" t="s">
        <v>2227</v>
      </c>
      <c r="K934" s="574" t="s">
        <v>2228</v>
      </c>
      <c r="L934" s="574" t="s">
        <v>2229</v>
      </c>
      <c r="M934" s="574" t="s">
        <v>2230</v>
      </c>
      <c r="N934" s="574" t="s">
        <v>2231</v>
      </c>
      <c r="O934" s="574" t="s">
        <v>2759</v>
      </c>
      <c r="P934" s="574" t="s">
        <v>2932</v>
      </c>
      <c r="Q934" s="574" t="s">
        <v>2234</v>
      </c>
      <c r="R934" s="574" t="s">
        <v>2225</v>
      </c>
      <c r="S934" s="574" t="s">
        <v>2737</v>
      </c>
      <c r="T934" s="574" t="s">
        <v>2738</v>
      </c>
      <c r="U934" s="574" t="s">
        <v>3552</v>
      </c>
      <c r="V934" s="574" t="s">
        <v>2238</v>
      </c>
      <c r="W934" s="574" t="s">
        <v>2239</v>
      </c>
      <c r="X934" s="574" t="s">
        <v>3202</v>
      </c>
      <c r="Y934" s="575" t="s">
        <v>2517</v>
      </c>
      <c r="Z934" s="575" t="s">
        <v>2517</v>
      </c>
      <c r="AA934" s="574" t="s">
        <v>1692</v>
      </c>
      <c r="AB934" s="574" t="s">
        <v>2307</v>
      </c>
      <c r="AC934" s="574" t="s">
        <v>2308</v>
      </c>
      <c r="AD934" s="574" t="s">
        <v>2309</v>
      </c>
      <c r="AE934" s="574" t="s">
        <v>1482</v>
      </c>
      <c r="AF934" s="574" t="s">
        <v>2961</v>
      </c>
      <c r="AG934" s="576">
        <v>110250</v>
      </c>
      <c r="AH934" s="576">
        <v>0</v>
      </c>
    </row>
    <row r="935" spans="1:34" customFormat="1" x14ac:dyDescent="0.25">
      <c r="A935" s="574" t="s">
        <v>2219</v>
      </c>
      <c r="B935" s="574" t="s">
        <v>2220</v>
      </c>
      <c r="C935" s="574" t="s">
        <v>2221</v>
      </c>
      <c r="D935" s="574" t="s">
        <v>2220</v>
      </c>
      <c r="E935" s="574" t="s">
        <v>2222</v>
      </c>
      <c r="F935" s="574" t="s">
        <v>2223</v>
      </c>
      <c r="G935" s="574" t="s">
        <v>2224</v>
      </c>
      <c r="H935" s="574" t="s">
        <v>2225</v>
      </c>
      <c r="I935" s="574" t="s">
        <v>2226</v>
      </c>
      <c r="J935" s="574" t="s">
        <v>2227</v>
      </c>
      <c r="K935" s="574" t="s">
        <v>2228</v>
      </c>
      <c r="L935" s="574" t="s">
        <v>2229</v>
      </c>
      <c r="M935" s="574" t="s">
        <v>2230</v>
      </c>
      <c r="N935" s="574" t="s">
        <v>2231</v>
      </c>
      <c r="O935" s="574" t="s">
        <v>2759</v>
      </c>
      <c r="P935" s="574" t="s">
        <v>2932</v>
      </c>
      <c r="Q935" s="574" t="s">
        <v>2234</v>
      </c>
      <c r="R935" s="574" t="s">
        <v>2225</v>
      </c>
      <c r="S935" s="574" t="s">
        <v>2737</v>
      </c>
      <c r="T935" s="574" t="s">
        <v>2738</v>
      </c>
      <c r="U935" s="574" t="s">
        <v>3553</v>
      </c>
      <c r="V935" s="574" t="s">
        <v>2238</v>
      </c>
      <c r="W935" s="574" t="s">
        <v>2239</v>
      </c>
      <c r="X935" s="574" t="s">
        <v>3222</v>
      </c>
      <c r="Y935" s="575" t="s">
        <v>2517</v>
      </c>
      <c r="Z935" s="575" t="s">
        <v>2517</v>
      </c>
      <c r="AA935" s="574" t="s">
        <v>1691</v>
      </c>
      <c r="AB935" s="574" t="s">
        <v>2297</v>
      </c>
      <c r="AC935" s="574" t="s">
        <v>2298</v>
      </c>
      <c r="AD935" s="574" t="s">
        <v>2299</v>
      </c>
      <c r="AE935" s="574" t="s">
        <v>1468</v>
      </c>
      <c r="AF935" s="574" t="s">
        <v>2299</v>
      </c>
      <c r="AG935" s="576">
        <v>96600</v>
      </c>
      <c r="AH935" s="576">
        <v>0</v>
      </c>
    </row>
    <row r="936" spans="1:34" customFormat="1" x14ac:dyDescent="0.25">
      <c r="A936" s="574" t="s">
        <v>2219</v>
      </c>
      <c r="B936" s="574" t="s">
        <v>2220</v>
      </c>
      <c r="C936" s="574" t="s">
        <v>2221</v>
      </c>
      <c r="D936" s="574" t="s">
        <v>2220</v>
      </c>
      <c r="E936" s="574" t="s">
        <v>2222</v>
      </c>
      <c r="F936" s="574" t="s">
        <v>2223</v>
      </c>
      <c r="G936" s="574" t="s">
        <v>2224</v>
      </c>
      <c r="H936" s="574" t="s">
        <v>2225</v>
      </c>
      <c r="I936" s="574" t="s">
        <v>2226</v>
      </c>
      <c r="J936" s="574" t="s">
        <v>2227</v>
      </c>
      <c r="K936" s="574" t="s">
        <v>2228</v>
      </c>
      <c r="L936" s="574" t="s">
        <v>2229</v>
      </c>
      <c r="M936" s="574" t="s">
        <v>2230</v>
      </c>
      <c r="N936" s="574" t="s">
        <v>2231</v>
      </c>
      <c r="O936" s="574" t="s">
        <v>2759</v>
      </c>
      <c r="P936" s="574" t="s">
        <v>2932</v>
      </c>
      <c r="Q936" s="574" t="s">
        <v>2234</v>
      </c>
      <c r="R936" s="574" t="s">
        <v>2225</v>
      </c>
      <c r="S936" s="574" t="s">
        <v>2737</v>
      </c>
      <c r="T936" s="574" t="s">
        <v>2738</v>
      </c>
      <c r="U936" s="574" t="s">
        <v>3553</v>
      </c>
      <c r="V936" s="574" t="s">
        <v>2238</v>
      </c>
      <c r="W936" s="574" t="s">
        <v>2239</v>
      </c>
      <c r="X936" s="574" t="s">
        <v>3222</v>
      </c>
      <c r="Y936" s="575" t="s">
        <v>2517</v>
      </c>
      <c r="Z936" s="575" t="s">
        <v>2517</v>
      </c>
      <c r="AA936" s="574" t="s">
        <v>1692</v>
      </c>
      <c r="AB936" s="574" t="s">
        <v>2307</v>
      </c>
      <c r="AC936" s="574" t="s">
        <v>2308</v>
      </c>
      <c r="AD936" s="574" t="s">
        <v>2309</v>
      </c>
      <c r="AE936" s="574" t="s">
        <v>1482</v>
      </c>
      <c r="AF936" s="574" t="s">
        <v>2961</v>
      </c>
      <c r="AG936" s="576">
        <v>125000</v>
      </c>
      <c r="AH936" s="576">
        <v>0</v>
      </c>
    </row>
    <row r="937" spans="1:34" customFormat="1" x14ac:dyDescent="0.25">
      <c r="A937" s="574" t="s">
        <v>2219</v>
      </c>
      <c r="B937" s="574" t="s">
        <v>2220</v>
      </c>
      <c r="C937" s="574" t="s">
        <v>2221</v>
      </c>
      <c r="D937" s="574" t="s">
        <v>2220</v>
      </c>
      <c r="E937" s="574" t="s">
        <v>2222</v>
      </c>
      <c r="F937" s="574" t="s">
        <v>2223</v>
      </c>
      <c r="G937" s="574" t="s">
        <v>2224</v>
      </c>
      <c r="H937" s="574" t="s">
        <v>2225</v>
      </c>
      <c r="I937" s="574" t="s">
        <v>2226</v>
      </c>
      <c r="J937" s="574" t="s">
        <v>2227</v>
      </c>
      <c r="K937" s="574" t="s">
        <v>2228</v>
      </c>
      <c r="L937" s="574" t="s">
        <v>2229</v>
      </c>
      <c r="M937" s="574" t="s">
        <v>2230</v>
      </c>
      <c r="N937" s="574" t="s">
        <v>2231</v>
      </c>
      <c r="O937" s="574" t="s">
        <v>2759</v>
      </c>
      <c r="P937" s="574" t="s">
        <v>2932</v>
      </c>
      <c r="Q937" s="574" t="s">
        <v>2234</v>
      </c>
      <c r="R937" s="574" t="s">
        <v>2225</v>
      </c>
      <c r="S937" s="574" t="s">
        <v>2737</v>
      </c>
      <c r="T937" s="574" t="s">
        <v>2738</v>
      </c>
      <c r="U937" s="574" t="s">
        <v>3554</v>
      </c>
      <c r="V937" s="574" t="s">
        <v>2238</v>
      </c>
      <c r="W937" s="574" t="s">
        <v>2239</v>
      </c>
      <c r="X937" s="574" t="s">
        <v>3216</v>
      </c>
      <c r="Y937" s="575" t="s">
        <v>2517</v>
      </c>
      <c r="Z937" s="575" t="s">
        <v>2517</v>
      </c>
      <c r="AA937" s="574" t="s">
        <v>1691</v>
      </c>
      <c r="AB937" s="574" t="s">
        <v>2297</v>
      </c>
      <c r="AC937" s="574" t="s">
        <v>2298</v>
      </c>
      <c r="AD937" s="574" t="s">
        <v>2299</v>
      </c>
      <c r="AE937" s="574" t="s">
        <v>1468</v>
      </c>
      <c r="AF937" s="574" t="s">
        <v>2299</v>
      </c>
      <c r="AG937" s="576">
        <v>51642.400000000001</v>
      </c>
      <c r="AH937" s="576">
        <v>0</v>
      </c>
    </row>
    <row r="938" spans="1:34" customFormat="1" x14ac:dyDescent="0.25">
      <c r="A938" s="574" t="s">
        <v>2219</v>
      </c>
      <c r="B938" s="574" t="s">
        <v>2220</v>
      </c>
      <c r="C938" s="574" t="s">
        <v>2221</v>
      </c>
      <c r="D938" s="574" t="s">
        <v>2220</v>
      </c>
      <c r="E938" s="574" t="s">
        <v>2222</v>
      </c>
      <c r="F938" s="574" t="s">
        <v>2223</v>
      </c>
      <c r="G938" s="574" t="s">
        <v>2224</v>
      </c>
      <c r="H938" s="574" t="s">
        <v>2225</v>
      </c>
      <c r="I938" s="574" t="s">
        <v>2226</v>
      </c>
      <c r="J938" s="574" t="s">
        <v>2227</v>
      </c>
      <c r="K938" s="574" t="s">
        <v>2228</v>
      </c>
      <c r="L938" s="574" t="s">
        <v>2229</v>
      </c>
      <c r="M938" s="574" t="s">
        <v>2230</v>
      </c>
      <c r="N938" s="574" t="s">
        <v>2231</v>
      </c>
      <c r="O938" s="574" t="s">
        <v>2759</v>
      </c>
      <c r="P938" s="574" t="s">
        <v>2932</v>
      </c>
      <c r="Q938" s="574" t="s">
        <v>2234</v>
      </c>
      <c r="R938" s="574" t="s">
        <v>2225</v>
      </c>
      <c r="S938" s="574" t="s">
        <v>2737</v>
      </c>
      <c r="T938" s="574" t="s">
        <v>2738</v>
      </c>
      <c r="U938" s="574" t="s">
        <v>3554</v>
      </c>
      <c r="V938" s="574" t="s">
        <v>2238</v>
      </c>
      <c r="W938" s="574" t="s">
        <v>2239</v>
      </c>
      <c r="X938" s="574" t="s">
        <v>3216</v>
      </c>
      <c r="Y938" s="575" t="s">
        <v>2517</v>
      </c>
      <c r="Z938" s="575" t="s">
        <v>2517</v>
      </c>
      <c r="AA938" s="574" t="s">
        <v>1692</v>
      </c>
      <c r="AB938" s="574" t="s">
        <v>2307</v>
      </c>
      <c r="AC938" s="574" t="s">
        <v>2308</v>
      </c>
      <c r="AD938" s="574" t="s">
        <v>2309</v>
      </c>
      <c r="AE938" s="574" t="s">
        <v>1490</v>
      </c>
      <c r="AF938" s="574" t="s">
        <v>176</v>
      </c>
      <c r="AG938" s="576">
        <v>8800</v>
      </c>
      <c r="AH938" s="576">
        <v>0</v>
      </c>
    </row>
    <row r="939" spans="1:34" customFormat="1" x14ac:dyDescent="0.25">
      <c r="A939" s="574" t="s">
        <v>2219</v>
      </c>
      <c r="B939" s="574" t="s">
        <v>2220</v>
      </c>
      <c r="C939" s="574" t="s">
        <v>2221</v>
      </c>
      <c r="D939" s="574" t="s">
        <v>2220</v>
      </c>
      <c r="E939" s="574" t="s">
        <v>2222</v>
      </c>
      <c r="F939" s="574" t="s">
        <v>2223</v>
      </c>
      <c r="G939" s="574" t="s">
        <v>2224</v>
      </c>
      <c r="H939" s="574" t="s">
        <v>2225</v>
      </c>
      <c r="I939" s="574" t="s">
        <v>2226</v>
      </c>
      <c r="J939" s="574" t="s">
        <v>2227</v>
      </c>
      <c r="K939" s="574" t="s">
        <v>2228</v>
      </c>
      <c r="L939" s="574" t="s">
        <v>2229</v>
      </c>
      <c r="M939" s="574" t="s">
        <v>2230</v>
      </c>
      <c r="N939" s="574" t="s">
        <v>2231</v>
      </c>
      <c r="O939" s="574" t="s">
        <v>2759</v>
      </c>
      <c r="P939" s="574" t="s">
        <v>2932</v>
      </c>
      <c r="Q939" s="574" t="s">
        <v>2234</v>
      </c>
      <c r="R939" s="574" t="s">
        <v>2225</v>
      </c>
      <c r="S939" s="574" t="s">
        <v>2737</v>
      </c>
      <c r="T939" s="574" t="s">
        <v>2738</v>
      </c>
      <c r="U939" s="574" t="s">
        <v>3555</v>
      </c>
      <c r="V939" s="574" t="s">
        <v>2238</v>
      </c>
      <c r="W939" s="574" t="s">
        <v>2239</v>
      </c>
      <c r="X939" s="574" t="s">
        <v>3224</v>
      </c>
      <c r="Y939" s="575" t="s">
        <v>2675</v>
      </c>
      <c r="Z939" s="575" t="s">
        <v>2675</v>
      </c>
      <c r="AA939" s="574" t="s">
        <v>1691</v>
      </c>
      <c r="AB939" s="574" t="s">
        <v>2297</v>
      </c>
      <c r="AC939" s="574" t="s">
        <v>2298</v>
      </c>
      <c r="AD939" s="574" t="s">
        <v>2299</v>
      </c>
      <c r="AE939" s="574" t="s">
        <v>1468</v>
      </c>
      <c r="AF939" s="574" t="s">
        <v>2299</v>
      </c>
      <c r="AG939" s="576">
        <v>70000</v>
      </c>
      <c r="AH939" s="576">
        <v>0</v>
      </c>
    </row>
    <row r="940" spans="1:34" customFormat="1" x14ac:dyDescent="0.25">
      <c r="A940" s="574" t="s">
        <v>2219</v>
      </c>
      <c r="B940" s="574" t="s">
        <v>2220</v>
      </c>
      <c r="C940" s="574" t="s">
        <v>2221</v>
      </c>
      <c r="D940" s="574" t="s">
        <v>2220</v>
      </c>
      <c r="E940" s="574" t="s">
        <v>2222</v>
      </c>
      <c r="F940" s="574" t="s">
        <v>2223</v>
      </c>
      <c r="G940" s="574" t="s">
        <v>2224</v>
      </c>
      <c r="H940" s="574" t="s">
        <v>2225</v>
      </c>
      <c r="I940" s="574" t="s">
        <v>2226</v>
      </c>
      <c r="J940" s="574" t="s">
        <v>2227</v>
      </c>
      <c r="K940" s="574" t="s">
        <v>2228</v>
      </c>
      <c r="L940" s="574" t="s">
        <v>2229</v>
      </c>
      <c r="M940" s="574" t="s">
        <v>2230</v>
      </c>
      <c r="N940" s="574" t="s">
        <v>2231</v>
      </c>
      <c r="O940" s="574" t="s">
        <v>2759</v>
      </c>
      <c r="P940" s="574" t="s">
        <v>2932</v>
      </c>
      <c r="Q940" s="574" t="s">
        <v>2234</v>
      </c>
      <c r="R940" s="574" t="s">
        <v>2225</v>
      </c>
      <c r="S940" s="574" t="s">
        <v>2737</v>
      </c>
      <c r="T940" s="574" t="s">
        <v>2738</v>
      </c>
      <c r="U940" s="574" t="s">
        <v>3556</v>
      </c>
      <c r="V940" s="574" t="s">
        <v>2238</v>
      </c>
      <c r="W940" s="574" t="s">
        <v>2239</v>
      </c>
      <c r="X940" s="574" t="s">
        <v>3226</v>
      </c>
      <c r="Y940" s="575" t="s">
        <v>2675</v>
      </c>
      <c r="Z940" s="575" t="s">
        <v>2675</v>
      </c>
      <c r="AA940" s="574" t="s">
        <v>1691</v>
      </c>
      <c r="AB940" s="574" t="s">
        <v>2297</v>
      </c>
      <c r="AC940" s="574" t="s">
        <v>2298</v>
      </c>
      <c r="AD940" s="574" t="s">
        <v>2299</v>
      </c>
      <c r="AE940" s="574" t="s">
        <v>1468</v>
      </c>
      <c r="AF940" s="574" t="s">
        <v>2299</v>
      </c>
      <c r="AG940" s="576">
        <v>47500</v>
      </c>
      <c r="AH940" s="576">
        <v>0</v>
      </c>
    </row>
    <row r="941" spans="1:34" customFormat="1" x14ac:dyDescent="0.25">
      <c r="A941" s="574" t="s">
        <v>2219</v>
      </c>
      <c r="B941" s="574" t="s">
        <v>2220</v>
      </c>
      <c r="C941" s="574" t="s">
        <v>2221</v>
      </c>
      <c r="D941" s="574" t="s">
        <v>2220</v>
      </c>
      <c r="E941" s="574" t="s">
        <v>2222</v>
      </c>
      <c r="F941" s="574" t="s">
        <v>2223</v>
      </c>
      <c r="G941" s="574" t="s">
        <v>2224</v>
      </c>
      <c r="H941" s="574" t="s">
        <v>2225</v>
      </c>
      <c r="I941" s="574" t="s">
        <v>2226</v>
      </c>
      <c r="J941" s="574" t="s">
        <v>2227</v>
      </c>
      <c r="K941" s="574" t="s">
        <v>2228</v>
      </c>
      <c r="L941" s="574" t="s">
        <v>2229</v>
      </c>
      <c r="M941" s="574" t="s">
        <v>2230</v>
      </c>
      <c r="N941" s="574" t="s">
        <v>2231</v>
      </c>
      <c r="O941" s="574" t="s">
        <v>2759</v>
      </c>
      <c r="P941" s="574" t="s">
        <v>2932</v>
      </c>
      <c r="Q941" s="574" t="s">
        <v>2234</v>
      </c>
      <c r="R941" s="574" t="s">
        <v>2225</v>
      </c>
      <c r="S941" s="574" t="s">
        <v>2737</v>
      </c>
      <c r="T941" s="574" t="s">
        <v>2738</v>
      </c>
      <c r="U941" s="574" t="s">
        <v>3557</v>
      </c>
      <c r="V941" s="574" t="s">
        <v>2238</v>
      </c>
      <c r="W941" s="574" t="s">
        <v>2239</v>
      </c>
      <c r="X941" s="574" t="s">
        <v>3228</v>
      </c>
      <c r="Y941" s="575" t="s">
        <v>2675</v>
      </c>
      <c r="Z941" s="575" t="s">
        <v>2675</v>
      </c>
      <c r="AA941" s="574" t="s">
        <v>1691</v>
      </c>
      <c r="AB941" s="574" t="s">
        <v>2297</v>
      </c>
      <c r="AC941" s="574" t="s">
        <v>2298</v>
      </c>
      <c r="AD941" s="574" t="s">
        <v>2299</v>
      </c>
      <c r="AE941" s="574" t="s">
        <v>1468</v>
      </c>
      <c r="AF941" s="574" t="s">
        <v>2299</v>
      </c>
      <c r="AG941" s="576">
        <v>217500</v>
      </c>
      <c r="AH941" s="576">
        <v>0</v>
      </c>
    </row>
    <row r="942" spans="1:34" customFormat="1" x14ac:dyDescent="0.25">
      <c r="A942" s="574" t="s">
        <v>2219</v>
      </c>
      <c r="B942" s="574" t="s">
        <v>2220</v>
      </c>
      <c r="C942" s="574" t="s">
        <v>2221</v>
      </c>
      <c r="D942" s="574" t="s">
        <v>2220</v>
      </c>
      <c r="E942" s="574" t="s">
        <v>2222</v>
      </c>
      <c r="F942" s="574" t="s">
        <v>2223</v>
      </c>
      <c r="G942" s="574" t="s">
        <v>2224</v>
      </c>
      <c r="H942" s="574" t="s">
        <v>2225</v>
      </c>
      <c r="I942" s="574" t="s">
        <v>2226</v>
      </c>
      <c r="J942" s="574" t="s">
        <v>2227</v>
      </c>
      <c r="K942" s="574" t="s">
        <v>2228</v>
      </c>
      <c r="L942" s="574" t="s">
        <v>2229</v>
      </c>
      <c r="M942" s="574" t="s">
        <v>2230</v>
      </c>
      <c r="N942" s="574" t="s">
        <v>2231</v>
      </c>
      <c r="O942" s="574" t="s">
        <v>2759</v>
      </c>
      <c r="P942" s="574" t="s">
        <v>2932</v>
      </c>
      <c r="Q942" s="574" t="s">
        <v>2234</v>
      </c>
      <c r="R942" s="574" t="s">
        <v>2225</v>
      </c>
      <c r="S942" s="574" t="s">
        <v>2737</v>
      </c>
      <c r="T942" s="574" t="s">
        <v>2738</v>
      </c>
      <c r="U942" s="574" t="s">
        <v>3558</v>
      </c>
      <c r="V942" s="574" t="s">
        <v>2238</v>
      </c>
      <c r="W942" s="574" t="s">
        <v>2239</v>
      </c>
      <c r="X942" s="574" t="s">
        <v>3236</v>
      </c>
      <c r="Y942" s="575" t="s">
        <v>2675</v>
      </c>
      <c r="Z942" s="575" t="s">
        <v>2675</v>
      </c>
      <c r="AA942" s="574" t="s">
        <v>1691</v>
      </c>
      <c r="AB942" s="574" t="s">
        <v>2297</v>
      </c>
      <c r="AC942" s="574" t="s">
        <v>2298</v>
      </c>
      <c r="AD942" s="574" t="s">
        <v>2299</v>
      </c>
      <c r="AE942" s="574" t="s">
        <v>1468</v>
      </c>
      <c r="AF942" s="574" t="s">
        <v>2299</v>
      </c>
      <c r="AG942" s="576">
        <v>179280</v>
      </c>
      <c r="AH942" s="576">
        <v>0</v>
      </c>
    </row>
    <row r="943" spans="1:34" customFormat="1" x14ac:dyDescent="0.25">
      <c r="A943" s="574" t="s">
        <v>2219</v>
      </c>
      <c r="B943" s="574" t="s">
        <v>2220</v>
      </c>
      <c r="C943" s="574" t="s">
        <v>2221</v>
      </c>
      <c r="D943" s="574" t="s">
        <v>2220</v>
      </c>
      <c r="E943" s="574" t="s">
        <v>2222</v>
      </c>
      <c r="F943" s="574" t="s">
        <v>2223</v>
      </c>
      <c r="G943" s="574" t="s">
        <v>2224</v>
      </c>
      <c r="H943" s="574" t="s">
        <v>2225</v>
      </c>
      <c r="I943" s="574" t="s">
        <v>2226</v>
      </c>
      <c r="J943" s="574" t="s">
        <v>2227</v>
      </c>
      <c r="K943" s="574" t="s">
        <v>2228</v>
      </c>
      <c r="L943" s="574" t="s">
        <v>2229</v>
      </c>
      <c r="M943" s="574" t="s">
        <v>2230</v>
      </c>
      <c r="N943" s="574" t="s">
        <v>2231</v>
      </c>
      <c r="O943" s="574" t="s">
        <v>2759</v>
      </c>
      <c r="P943" s="574" t="s">
        <v>2932</v>
      </c>
      <c r="Q943" s="574" t="s">
        <v>2234</v>
      </c>
      <c r="R943" s="574" t="s">
        <v>2225</v>
      </c>
      <c r="S943" s="574" t="s">
        <v>2737</v>
      </c>
      <c r="T943" s="574" t="s">
        <v>2738</v>
      </c>
      <c r="U943" s="574" t="s">
        <v>3559</v>
      </c>
      <c r="V943" s="574" t="s">
        <v>2238</v>
      </c>
      <c r="W943" s="574" t="s">
        <v>2239</v>
      </c>
      <c r="X943" s="574" t="s">
        <v>3232</v>
      </c>
      <c r="Y943" s="575" t="s">
        <v>2675</v>
      </c>
      <c r="Z943" s="575" t="s">
        <v>2675</v>
      </c>
      <c r="AA943" s="574" t="s">
        <v>1691</v>
      </c>
      <c r="AB943" s="574" t="s">
        <v>2297</v>
      </c>
      <c r="AC943" s="574" t="s">
        <v>2298</v>
      </c>
      <c r="AD943" s="574" t="s">
        <v>2299</v>
      </c>
      <c r="AE943" s="574" t="s">
        <v>1468</v>
      </c>
      <c r="AF943" s="574" t="s">
        <v>2299</v>
      </c>
      <c r="AG943" s="576">
        <v>46000</v>
      </c>
      <c r="AH943" s="576">
        <v>0</v>
      </c>
    </row>
    <row r="944" spans="1:34" customFormat="1" x14ac:dyDescent="0.25">
      <c r="A944" s="574" t="s">
        <v>2219</v>
      </c>
      <c r="B944" s="574" t="s">
        <v>2220</v>
      </c>
      <c r="C944" s="574" t="s">
        <v>2221</v>
      </c>
      <c r="D944" s="574" t="s">
        <v>2220</v>
      </c>
      <c r="E944" s="574" t="s">
        <v>2222</v>
      </c>
      <c r="F944" s="574" t="s">
        <v>2223</v>
      </c>
      <c r="G944" s="574" t="s">
        <v>2224</v>
      </c>
      <c r="H944" s="574" t="s">
        <v>2225</v>
      </c>
      <c r="I944" s="574" t="s">
        <v>2226</v>
      </c>
      <c r="J944" s="574" t="s">
        <v>2227</v>
      </c>
      <c r="K944" s="574" t="s">
        <v>2228</v>
      </c>
      <c r="L944" s="574" t="s">
        <v>2229</v>
      </c>
      <c r="M944" s="574" t="s">
        <v>2230</v>
      </c>
      <c r="N944" s="574" t="s">
        <v>2231</v>
      </c>
      <c r="O944" s="574" t="s">
        <v>2759</v>
      </c>
      <c r="P944" s="574" t="s">
        <v>2932</v>
      </c>
      <c r="Q944" s="574" t="s">
        <v>2234</v>
      </c>
      <c r="R944" s="574" t="s">
        <v>2225</v>
      </c>
      <c r="S944" s="574" t="s">
        <v>2737</v>
      </c>
      <c r="T944" s="574" t="s">
        <v>2738</v>
      </c>
      <c r="U944" s="574" t="s">
        <v>3560</v>
      </c>
      <c r="V944" s="574" t="s">
        <v>2238</v>
      </c>
      <c r="W944" s="574" t="s">
        <v>2239</v>
      </c>
      <c r="X944" s="574" t="s">
        <v>3234</v>
      </c>
      <c r="Y944" s="575" t="s">
        <v>2675</v>
      </c>
      <c r="Z944" s="575" t="s">
        <v>2675</v>
      </c>
      <c r="AA944" s="574" t="s">
        <v>1691</v>
      </c>
      <c r="AB944" s="574" t="s">
        <v>2297</v>
      </c>
      <c r="AC944" s="574" t="s">
        <v>2298</v>
      </c>
      <c r="AD944" s="574" t="s">
        <v>2299</v>
      </c>
      <c r="AE944" s="574" t="s">
        <v>1468</v>
      </c>
      <c r="AF944" s="574" t="s">
        <v>2299</v>
      </c>
      <c r="AG944" s="576">
        <v>28000</v>
      </c>
      <c r="AH944" s="576">
        <v>0</v>
      </c>
    </row>
    <row r="945" spans="1:34" customFormat="1" x14ac:dyDescent="0.25">
      <c r="A945" s="574" t="s">
        <v>2219</v>
      </c>
      <c r="B945" s="574" t="s">
        <v>2220</v>
      </c>
      <c r="C945" s="574" t="s">
        <v>2221</v>
      </c>
      <c r="D945" s="574" t="s">
        <v>2220</v>
      </c>
      <c r="E945" s="574" t="s">
        <v>2222</v>
      </c>
      <c r="F945" s="574" t="s">
        <v>2223</v>
      </c>
      <c r="G945" s="574" t="s">
        <v>2224</v>
      </c>
      <c r="H945" s="574" t="s">
        <v>2225</v>
      </c>
      <c r="I945" s="574" t="s">
        <v>2226</v>
      </c>
      <c r="J945" s="574" t="s">
        <v>2227</v>
      </c>
      <c r="K945" s="574" t="s">
        <v>2228</v>
      </c>
      <c r="L945" s="574" t="s">
        <v>2229</v>
      </c>
      <c r="M945" s="574" t="s">
        <v>2230</v>
      </c>
      <c r="N945" s="574" t="s">
        <v>2231</v>
      </c>
      <c r="O945" s="574" t="s">
        <v>2759</v>
      </c>
      <c r="P945" s="574" t="s">
        <v>2932</v>
      </c>
      <c r="Q945" s="574" t="s">
        <v>2234</v>
      </c>
      <c r="R945" s="574" t="s">
        <v>2225</v>
      </c>
      <c r="S945" s="574" t="s">
        <v>2737</v>
      </c>
      <c r="T945" s="574" t="s">
        <v>2738</v>
      </c>
      <c r="U945" s="574" t="s">
        <v>3561</v>
      </c>
      <c r="V945" s="574" t="s">
        <v>2238</v>
      </c>
      <c r="W945" s="574" t="s">
        <v>2239</v>
      </c>
      <c r="X945" s="574" t="s">
        <v>3248</v>
      </c>
      <c r="Y945" s="575" t="s">
        <v>2675</v>
      </c>
      <c r="Z945" s="575" t="s">
        <v>2675</v>
      </c>
      <c r="AA945" s="574" t="s">
        <v>1691</v>
      </c>
      <c r="AB945" s="574" t="s">
        <v>2297</v>
      </c>
      <c r="AC945" s="574" t="s">
        <v>2298</v>
      </c>
      <c r="AD945" s="574" t="s">
        <v>2299</v>
      </c>
      <c r="AE945" s="574" t="s">
        <v>1468</v>
      </c>
      <c r="AF945" s="574" t="s">
        <v>2299</v>
      </c>
      <c r="AG945" s="576">
        <v>258100</v>
      </c>
      <c r="AH945" s="576">
        <v>0</v>
      </c>
    </row>
    <row r="946" spans="1:34" customFormat="1" x14ac:dyDescent="0.25">
      <c r="A946" s="574" t="s">
        <v>2219</v>
      </c>
      <c r="B946" s="574" t="s">
        <v>2220</v>
      </c>
      <c r="C946" s="574" t="s">
        <v>2221</v>
      </c>
      <c r="D946" s="574" t="s">
        <v>2220</v>
      </c>
      <c r="E946" s="574" t="s">
        <v>2222</v>
      </c>
      <c r="F946" s="574" t="s">
        <v>2223</v>
      </c>
      <c r="G946" s="574" t="s">
        <v>2224</v>
      </c>
      <c r="H946" s="574" t="s">
        <v>2225</v>
      </c>
      <c r="I946" s="574" t="s">
        <v>2226</v>
      </c>
      <c r="J946" s="574" t="s">
        <v>2227</v>
      </c>
      <c r="K946" s="574" t="s">
        <v>2228</v>
      </c>
      <c r="L946" s="574" t="s">
        <v>2229</v>
      </c>
      <c r="M946" s="574" t="s">
        <v>2230</v>
      </c>
      <c r="N946" s="574" t="s">
        <v>2231</v>
      </c>
      <c r="O946" s="574" t="s">
        <v>2759</v>
      </c>
      <c r="P946" s="574" t="s">
        <v>2932</v>
      </c>
      <c r="Q946" s="574" t="s">
        <v>2234</v>
      </c>
      <c r="R946" s="574" t="s">
        <v>2225</v>
      </c>
      <c r="S946" s="574" t="s">
        <v>2737</v>
      </c>
      <c r="T946" s="574" t="s">
        <v>2738</v>
      </c>
      <c r="U946" s="574" t="s">
        <v>3562</v>
      </c>
      <c r="V946" s="574" t="s">
        <v>2238</v>
      </c>
      <c r="W946" s="574" t="s">
        <v>2239</v>
      </c>
      <c r="X946" s="574" t="s">
        <v>3246</v>
      </c>
      <c r="Y946" s="575" t="s">
        <v>2675</v>
      </c>
      <c r="Z946" s="575" t="s">
        <v>2675</v>
      </c>
      <c r="AA946" s="574" t="s">
        <v>1691</v>
      </c>
      <c r="AB946" s="574" t="s">
        <v>2297</v>
      </c>
      <c r="AC946" s="574" t="s">
        <v>2298</v>
      </c>
      <c r="AD946" s="574" t="s">
        <v>2299</v>
      </c>
      <c r="AE946" s="574" t="s">
        <v>1468</v>
      </c>
      <c r="AF946" s="574" t="s">
        <v>2299</v>
      </c>
      <c r="AG946" s="576">
        <v>237000</v>
      </c>
      <c r="AH946" s="576">
        <v>0</v>
      </c>
    </row>
    <row r="947" spans="1:34" customFormat="1" x14ac:dyDescent="0.25">
      <c r="A947" s="574" t="s">
        <v>2219</v>
      </c>
      <c r="B947" s="574" t="s">
        <v>2220</v>
      </c>
      <c r="C947" s="574" t="s">
        <v>2221</v>
      </c>
      <c r="D947" s="574" t="s">
        <v>2220</v>
      </c>
      <c r="E947" s="574" t="s">
        <v>2222</v>
      </c>
      <c r="F947" s="574" t="s">
        <v>2223</v>
      </c>
      <c r="G947" s="574" t="s">
        <v>2224</v>
      </c>
      <c r="H947" s="574" t="s">
        <v>2225</v>
      </c>
      <c r="I947" s="574" t="s">
        <v>2226</v>
      </c>
      <c r="J947" s="574" t="s">
        <v>2227</v>
      </c>
      <c r="K947" s="574" t="s">
        <v>2228</v>
      </c>
      <c r="L947" s="574" t="s">
        <v>2229</v>
      </c>
      <c r="M947" s="574" t="s">
        <v>2230</v>
      </c>
      <c r="N947" s="574" t="s">
        <v>2231</v>
      </c>
      <c r="O947" s="574" t="s">
        <v>2759</v>
      </c>
      <c r="P947" s="574" t="s">
        <v>2932</v>
      </c>
      <c r="Q947" s="574" t="s">
        <v>2234</v>
      </c>
      <c r="R947" s="574" t="s">
        <v>2225</v>
      </c>
      <c r="S947" s="574" t="s">
        <v>2737</v>
      </c>
      <c r="T947" s="574" t="s">
        <v>2738</v>
      </c>
      <c r="U947" s="574" t="s">
        <v>3563</v>
      </c>
      <c r="V947" s="574" t="s">
        <v>2238</v>
      </c>
      <c r="W947" s="574" t="s">
        <v>2239</v>
      </c>
      <c r="X947" s="574" t="s">
        <v>3254</v>
      </c>
      <c r="Y947" s="575" t="s">
        <v>2675</v>
      </c>
      <c r="Z947" s="575" t="s">
        <v>2675</v>
      </c>
      <c r="AA947" s="574" t="s">
        <v>1691</v>
      </c>
      <c r="AB947" s="574" t="s">
        <v>2297</v>
      </c>
      <c r="AC947" s="574" t="s">
        <v>2298</v>
      </c>
      <c r="AD947" s="574" t="s">
        <v>2299</v>
      </c>
      <c r="AE947" s="574" t="s">
        <v>1468</v>
      </c>
      <c r="AF947" s="574" t="s">
        <v>2299</v>
      </c>
      <c r="AG947" s="576">
        <v>257500</v>
      </c>
      <c r="AH947" s="576">
        <v>0</v>
      </c>
    </row>
    <row r="948" spans="1:34" customFormat="1" x14ac:dyDescent="0.25">
      <c r="A948" s="574" t="s">
        <v>2219</v>
      </c>
      <c r="B948" s="574" t="s">
        <v>2220</v>
      </c>
      <c r="C948" s="574" t="s">
        <v>2221</v>
      </c>
      <c r="D948" s="574" t="s">
        <v>2220</v>
      </c>
      <c r="E948" s="574" t="s">
        <v>2222</v>
      </c>
      <c r="F948" s="574" t="s">
        <v>2223</v>
      </c>
      <c r="G948" s="574" t="s">
        <v>2224</v>
      </c>
      <c r="H948" s="574" t="s">
        <v>2225</v>
      </c>
      <c r="I948" s="574" t="s">
        <v>2226</v>
      </c>
      <c r="J948" s="574" t="s">
        <v>2227</v>
      </c>
      <c r="K948" s="574" t="s">
        <v>2228</v>
      </c>
      <c r="L948" s="574" t="s">
        <v>2229</v>
      </c>
      <c r="M948" s="574" t="s">
        <v>2230</v>
      </c>
      <c r="N948" s="574" t="s">
        <v>2231</v>
      </c>
      <c r="O948" s="574" t="s">
        <v>2759</v>
      </c>
      <c r="P948" s="574" t="s">
        <v>2932</v>
      </c>
      <c r="Q948" s="574" t="s">
        <v>2234</v>
      </c>
      <c r="R948" s="574" t="s">
        <v>2225</v>
      </c>
      <c r="S948" s="574" t="s">
        <v>2737</v>
      </c>
      <c r="T948" s="574" t="s">
        <v>2738</v>
      </c>
      <c r="U948" s="574" t="s">
        <v>3564</v>
      </c>
      <c r="V948" s="574" t="s">
        <v>2238</v>
      </c>
      <c r="W948" s="574" t="s">
        <v>2239</v>
      </c>
      <c r="X948" s="574" t="s">
        <v>3230</v>
      </c>
      <c r="Y948" s="575" t="s">
        <v>2675</v>
      </c>
      <c r="Z948" s="575" t="s">
        <v>2675</v>
      </c>
      <c r="AA948" s="574" t="s">
        <v>1691</v>
      </c>
      <c r="AB948" s="574" t="s">
        <v>2297</v>
      </c>
      <c r="AC948" s="574" t="s">
        <v>2298</v>
      </c>
      <c r="AD948" s="574" t="s">
        <v>2299</v>
      </c>
      <c r="AE948" s="574" t="s">
        <v>1468</v>
      </c>
      <c r="AF948" s="574" t="s">
        <v>2299</v>
      </c>
      <c r="AG948" s="576">
        <v>100000</v>
      </c>
      <c r="AH948" s="576">
        <v>0</v>
      </c>
    </row>
    <row r="949" spans="1:34" customFormat="1" x14ac:dyDescent="0.25">
      <c r="A949" s="574" t="s">
        <v>2219</v>
      </c>
      <c r="B949" s="574" t="s">
        <v>2220</v>
      </c>
      <c r="C949" s="574" t="s">
        <v>2221</v>
      </c>
      <c r="D949" s="574" t="s">
        <v>2220</v>
      </c>
      <c r="E949" s="574" t="s">
        <v>2222</v>
      </c>
      <c r="F949" s="574" t="s">
        <v>2223</v>
      </c>
      <c r="G949" s="574" t="s">
        <v>2224</v>
      </c>
      <c r="H949" s="574" t="s">
        <v>2225</v>
      </c>
      <c r="I949" s="574" t="s">
        <v>2226</v>
      </c>
      <c r="J949" s="574" t="s">
        <v>2227</v>
      </c>
      <c r="K949" s="574" t="s">
        <v>2228</v>
      </c>
      <c r="L949" s="574" t="s">
        <v>2229</v>
      </c>
      <c r="M949" s="574" t="s">
        <v>2230</v>
      </c>
      <c r="N949" s="574" t="s">
        <v>2231</v>
      </c>
      <c r="O949" s="574" t="s">
        <v>2759</v>
      </c>
      <c r="P949" s="574" t="s">
        <v>2932</v>
      </c>
      <c r="Q949" s="574" t="s">
        <v>2234</v>
      </c>
      <c r="R949" s="574" t="s">
        <v>2225</v>
      </c>
      <c r="S949" s="574" t="s">
        <v>2737</v>
      </c>
      <c r="T949" s="574" t="s">
        <v>2738</v>
      </c>
      <c r="U949" s="574" t="s">
        <v>2819</v>
      </c>
      <c r="V949" s="574" t="s">
        <v>2238</v>
      </c>
      <c r="W949" s="574" t="s">
        <v>2239</v>
      </c>
      <c r="X949" s="574" t="s">
        <v>2585</v>
      </c>
      <c r="Y949" s="575" t="s">
        <v>2531</v>
      </c>
      <c r="Z949" s="575" t="s">
        <v>2531</v>
      </c>
      <c r="AA949" s="574" t="s">
        <v>1693</v>
      </c>
      <c r="AB949" s="574" t="s">
        <v>2319</v>
      </c>
      <c r="AC949" s="574" t="s">
        <v>2320</v>
      </c>
      <c r="AD949" s="574" t="s">
        <v>2321</v>
      </c>
      <c r="AE949" s="574" t="s">
        <v>1446</v>
      </c>
      <c r="AF949" s="574" t="s">
        <v>2321</v>
      </c>
      <c r="AG949" s="576">
        <v>100138.2</v>
      </c>
      <c r="AH949" s="576">
        <v>0</v>
      </c>
    </row>
    <row r="950" spans="1:34" customFormat="1" x14ac:dyDescent="0.25">
      <c r="A950" s="574" t="s">
        <v>2219</v>
      </c>
      <c r="B950" s="574" t="s">
        <v>2220</v>
      </c>
      <c r="C950" s="574" t="s">
        <v>2221</v>
      </c>
      <c r="D950" s="574" t="s">
        <v>2220</v>
      </c>
      <c r="E950" s="574" t="s">
        <v>2222</v>
      </c>
      <c r="F950" s="574" t="s">
        <v>2223</v>
      </c>
      <c r="G950" s="574" t="s">
        <v>2224</v>
      </c>
      <c r="H950" s="574" t="s">
        <v>2225</v>
      </c>
      <c r="I950" s="574" t="s">
        <v>2226</v>
      </c>
      <c r="J950" s="574" t="s">
        <v>2227</v>
      </c>
      <c r="K950" s="574" t="s">
        <v>2228</v>
      </c>
      <c r="L950" s="574" t="s">
        <v>2229</v>
      </c>
      <c r="M950" s="574" t="s">
        <v>2230</v>
      </c>
      <c r="N950" s="574" t="s">
        <v>2231</v>
      </c>
      <c r="O950" s="574" t="s">
        <v>2759</v>
      </c>
      <c r="P950" s="574" t="s">
        <v>2932</v>
      </c>
      <c r="Q950" s="574" t="s">
        <v>2234</v>
      </c>
      <c r="R950" s="574" t="s">
        <v>2225</v>
      </c>
      <c r="S950" s="574" t="s">
        <v>2737</v>
      </c>
      <c r="T950" s="574" t="s">
        <v>2738</v>
      </c>
      <c r="U950" s="574" t="s">
        <v>3565</v>
      </c>
      <c r="V950" s="574" t="s">
        <v>2238</v>
      </c>
      <c r="W950" s="574" t="s">
        <v>2239</v>
      </c>
      <c r="X950" s="574" t="s">
        <v>3252</v>
      </c>
      <c r="Y950" s="575" t="s">
        <v>2531</v>
      </c>
      <c r="Z950" s="575" t="s">
        <v>2531</v>
      </c>
      <c r="AA950" s="574" t="s">
        <v>1688</v>
      </c>
      <c r="AB950" s="574" t="s">
        <v>2430</v>
      </c>
      <c r="AC950" s="574" t="s">
        <v>2431</v>
      </c>
      <c r="AD950" s="574" t="s">
        <v>99</v>
      </c>
      <c r="AE950" s="574" t="s">
        <v>1531</v>
      </c>
      <c r="AF950" s="574" t="s">
        <v>99</v>
      </c>
      <c r="AG950" s="576">
        <v>371459</v>
      </c>
      <c r="AH950" s="576">
        <v>0</v>
      </c>
    </row>
    <row r="951" spans="1:34" customFormat="1" x14ac:dyDescent="0.25">
      <c r="A951" s="574" t="s">
        <v>2219</v>
      </c>
      <c r="B951" s="574" t="s">
        <v>2220</v>
      </c>
      <c r="C951" s="574" t="s">
        <v>2221</v>
      </c>
      <c r="D951" s="574" t="s">
        <v>2220</v>
      </c>
      <c r="E951" s="574" t="s">
        <v>2222</v>
      </c>
      <c r="F951" s="574" t="s">
        <v>2223</v>
      </c>
      <c r="G951" s="574" t="s">
        <v>2224</v>
      </c>
      <c r="H951" s="574" t="s">
        <v>2225</v>
      </c>
      <c r="I951" s="574" t="s">
        <v>2226</v>
      </c>
      <c r="J951" s="574" t="s">
        <v>2227</v>
      </c>
      <c r="K951" s="574" t="s">
        <v>2228</v>
      </c>
      <c r="L951" s="574" t="s">
        <v>2229</v>
      </c>
      <c r="M951" s="574" t="s">
        <v>2230</v>
      </c>
      <c r="N951" s="574" t="s">
        <v>2231</v>
      </c>
      <c r="O951" s="574" t="s">
        <v>2759</v>
      </c>
      <c r="P951" s="574" t="s">
        <v>2932</v>
      </c>
      <c r="Q951" s="574" t="s">
        <v>2234</v>
      </c>
      <c r="R951" s="574" t="s">
        <v>2225</v>
      </c>
      <c r="S951" s="574" t="s">
        <v>2737</v>
      </c>
      <c r="T951" s="574" t="s">
        <v>2738</v>
      </c>
      <c r="U951" s="574" t="s">
        <v>3566</v>
      </c>
      <c r="V951" s="574" t="s">
        <v>2238</v>
      </c>
      <c r="W951" s="574" t="s">
        <v>2239</v>
      </c>
      <c r="X951" s="574" t="s">
        <v>3250</v>
      </c>
      <c r="Y951" s="575" t="s">
        <v>2531</v>
      </c>
      <c r="Z951" s="575" t="s">
        <v>2531</v>
      </c>
      <c r="AA951" s="574" t="s">
        <v>1693</v>
      </c>
      <c r="AB951" s="574" t="s">
        <v>2319</v>
      </c>
      <c r="AC951" s="574" t="s">
        <v>2320</v>
      </c>
      <c r="AD951" s="574" t="s">
        <v>2321</v>
      </c>
      <c r="AE951" s="574" t="s">
        <v>1446</v>
      </c>
      <c r="AF951" s="574" t="s">
        <v>2321</v>
      </c>
      <c r="AG951" s="576">
        <v>208280.01</v>
      </c>
      <c r="AH951" s="576">
        <v>0</v>
      </c>
    </row>
    <row r="952" spans="1:34" customFormat="1" x14ac:dyDescent="0.25">
      <c r="A952" s="574" t="s">
        <v>2219</v>
      </c>
      <c r="B952" s="574" t="s">
        <v>2220</v>
      </c>
      <c r="C952" s="574" t="s">
        <v>2221</v>
      </c>
      <c r="D952" s="574" t="s">
        <v>2220</v>
      </c>
      <c r="E952" s="574" t="s">
        <v>2222</v>
      </c>
      <c r="F952" s="574" t="s">
        <v>2223</v>
      </c>
      <c r="G952" s="574" t="s">
        <v>2224</v>
      </c>
      <c r="H952" s="574" t="s">
        <v>2225</v>
      </c>
      <c r="I952" s="574" t="s">
        <v>2226</v>
      </c>
      <c r="J952" s="574" t="s">
        <v>2227</v>
      </c>
      <c r="K952" s="574" t="s">
        <v>2228</v>
      </c>
      <c r="L952" s="574" t="s">
        <v>2229</v>
      </c>
      <c r="M952" s="574" t="s">
        <v>2230</v>
      </c>
      <c r="N952" s="574" t="s">
        <v>2231</v>
      </c>
      <c r="O952" s="574" t="s">
        <v>2759</v>
      </c>
      <c r="P952" s="574" t="s">
        <v>2932</v>
      </c>
      <c r="Q952" s="574" t="s">
        <v>2234</v>
      </c>
      <c r="R952" s="574" t="s">
        <v>2225</v>
      </c>
      <c r="S952" s="574" t="s">
        <v>2737</v>
      </c>
      <c r="T952" s="574" t="s">
        <v>2738</v>
      </c>
      <c r="U952" s="574" t="s">
        <v>3567</v>
      </c>
      <c r="V952" s="574" t="s">
        <v>2238</v>
      </c>
      <c r="W952" s="574" t="s">
        <v>2239</v>
      </c>
      <c r="X952" s="574" t="s">
        <v>3268</v>
      </c>
      <c r="Y952" s="575" t="s">
        <v>2543</v>
      </c>
      <c r="Z952" s="575" t="s">
        <v>2543</v>
      </c>
      <c r="AA952" s="574" t="s">
        <v>1693</v>
      </c>
      <c r="AB952" s="574" t="s">
        <v>2319</v>
      </c>
      <c r="AC952" s="574" t="s">
        <v>2320</v>
      </c>
      <c r="AD952" s="574" t="s">
        <v>2321</v>
      </c>
      <c r="AE952" s="574" t="s">
        <v>1446</v>
      </c>
      <c r="AF952" s="574" t="s">
        <v>2321</v>
      </c>
      <c r="AG952" s="576">
        <v>206500</v>
      </c>
      <c r="AH952" s="576">
        <v>0</v>
      </c>
    </row>
    <row r="953" spans="1:34" customFormat="1" x14ac:dyDescent="0.25">
      <c r="A953" s="574" t="s">
        <v>2219</v>
      </c>
      <c r="B953" s="574" t="s">
        <v>2220</v>
      </c>
      <c r="C953" s="574" t="s">
        <v>2221</v>
      </c>
      <c r="D953" s="574" t="s">
        <v>2220</v>
      </c>
      <c r="E953" s="574" t="s">
        <v>2222</v>
      </c>
      <c r="F953" s="574" t="s">
        <v>2223</v>
      </c>
      <c r="G953" s="574" t="s">
        <v>2224</v>
      </c>
      <c r="H953" s="574" t="s">
        <v>2225</v>
      </c>
      <c r="I953" s="574" t="s">
        <v>2226</v>
      </c>
      <c r="J953" s="574" t="s">
        <v>2227</v>
      </c>
      <c r="K953" s="574" t="s">
        <v>2228</v>
      </c>
      <c r="L953" s="574" t="s">
        <v>2229</v>
      </c>
      <c r="M953" s="574" t="s">
        <v>2230</v>
      </c>
      <c r="N953" s="574" t="s">
        <v>2231</v>
      </c>
      <c r="O953" s="574" t="s">
        <v>2759</v>
      </c>
      <c r="P953" s="574" t="s">
        <v>2932</v>
      </c>
      <c r="Q953" s="574" t="s">
        <v>2234</v>
      </c>
      <c r="R953" s="574" t="s">
        <v>2225</v>
      </c>
      <c r="S953" s="574" t="s">
        <v>2737</v>
      </c>
      <c r="T953" s="574" t="s">
        <v>2738</v>
      </c>
      <c r="U953" s="574" t="s">
        <v>3568</v>
      </c>
      <c r="V953" s="574" t="s">
        <v>2238</v>
      </c>
      <c r="W953" s="574" t="s">
        <v>2239</v>
      </c>
      <c r="X953" s="574" t="s">
        <v>3276</v>
      </c>
      <c r="Y953" s="575" t="s">
        <v>2543</v>
      </c>
      <c r="Z953" s="575" t="s">
        <v>2543</v>
      </c>
      <c r="AA953" s="574" t="s">
        <v>1693</v>
      </c>
      <c r="AB953" s="574" t="s">
        <v>2319</v>
      </c>
      <c r="AC953" s="574" t="s">
        <v>2320</v>
      </c>
      <c r="AD953" s="574" t="s">
        <v>2321</v>
      </c>
      <c r="AE953" s="574" t="s">
        <v>1446</v>
      </c>
      <c r="AF953" s="574" t="s">
        <v>2321</v>
      </c>
      <c r="AG953" s="576">
        <v>249275</v>
      </c>
      <c r="AH953" s="576">
        <v>0</v>
      </c>
    </row>
    <row r="954" spans="1:34" customFormat="1" x14ac:dyDescent="0.25">
      <c r="A954" s="574" t="s">
        <v>2219</v>
      </c>
      <c r="B954" s="574" t="s">
        <v>2220</v>
      </c>
      <c r="C954" s="574" t="s">
        <v>2221</v>
      </c>
      <c r="D954" s="574" t="s">
        <v>2220</v>
      </c>
      <c r="E954" s="574" t="s">
        <v>2222</v>
      </c>
      <c r="F954" s="574" t="s">
        <v>2223</v>
      </c>
      <c r="G954" s="574" t="s">
        <v>2224</v>
      </c>
      <c r="H954" s="574" t="s">
        <v>2225</v>
      </c>
      <c r="I954" s="574" t="s">
        <v>2226</v>
      </c>
      <c r="J954" s="574" t="s">
        <v>2227</v>
      </c>
      <c r="K954" s="574" t="s">
        <v>2228</v>
      </c>
      <c r="L954" s="574" t="s">
        <v>2229</v>
      </c>
      <c r="M954" s="574" t="s">
        <v>2230</v>
      </c>
      <c r="N954" s="574" t="s">
        <v>2231</v>
      </c>
      <c r="O954" s="574" t="s">
        <v>2759</v>
      </c>
      <c r="P954" s="574" t="s">
        <v>2932</v>
      </c>
      <c r="Q954" s="574" t="s">
        <v>2234</v>
      </c>
      <c r="R954" s="574" t="s">
        <v>2225</v>
      </c>
      <c r="S954" s="574" t="s">
        <v>2737</v>
      </c>
      <c r="T954" s="574" t="s">
        <v>2738</v>
      </c>
      <c r="U954" s="574" t="s">
        <v>3569</v>
      </c>
      <c r="V954" s="574" t="s">
        <v>2238</v>
      </c>
      <c r="W954" s="574" t="s">
        <v>2239</v>
      </c>
      <c r="X954" s="574" t="s">
        <v>3289</v>
      </c>
      <c r="Y954" s="575" t="s">
        <v>2543</v>
      </c>
      <c r="Z954" s="575" t="s">
        <v>2543</v>
      </c>
      <c r="AA954" s="574" t="s">
        <v>1693</v>
      </c>
      <c r="AB954" s="574" t="s">
        <v>2319</v>
      </c>
      <c r="AC954" s="574" t="s">
        <v>2320</v>
      </c>
      <c r="AD954" s="574" t="s">
        <v>2321</v>
      </c>
      <c r="AE954" s="574" t="s">
        <v>1446</v>
      </c>
      <c r="AF954" s="574" t="s">
        <v>2321</v>
      </c>
      <c r="AG954" s="576">
        <v>112100</v>
      </c>
      <c r="AH954" s="576">
        <v>0</v>
      </c>
    </row>
    <row r="955" spans="1:34" customFormat="1" x14ac:dyDescent="0.25">
      <c r="A955" s="574" t="s">
        <v>2219</v>
      </c>
      <c r="B955" s="574" t="s">
        <v>2220</v>
      </c>
      <c r="C955" s="574" t="s">
        <v>2221</v>
      </c>
      <c r="D955" s="574" t="s">
        <v>2220</v>
      </c>
      <c r="E955" s="574" t="s">
        <v>2222</v>
      </c>
      <c r="F955" s="574" t="s">
        <v>2223</v>
      </c>
      <c r="G955" s="574" t="s">
        <v>2224</v>
      </c>
      <c r="H955" s="574" t="s">
        <v>2225</v>
      </c>
      <c r="I955" s="574" t="s">
        <v>2226</v>
      </c>
      <c r="J955" s="574" t="s">
        <v>2227</v>
      </c>
      <c r="K955" s="574" t="s">
        <v>2228</v>
      </c>
      <c r="L955" s="574" t="s">
        <v>2229</v>
      </c>
      <c r="M955" s="574" t="s">
        <v>2230</v>
      </c>
      <c r="N955" s="574" t="s">
        <v>2231</v>
      </c>
      <c r="O955" s="574" t="s">
        <v>2759</v>
      </c>
      <c r="P955" s="574" t="s">
        <v>2932</v>
      </c>
      <c r="Q955" s="574" t="s">
        <v>2234</v>
      </c>
      <c r="R955" s="574" t="s">
        <v>2225</v>
      </c>
      <c r="S955" s="574" t="s">
        <v>2737</v>
      </c>
      <c r="T955" s="574" t="s">
        <v>2738</v>
      </c>
      <c r="U955" s="574" t="s">
        <v>3570</v>
      </c>
      <c r="V955" s="574" t="s">
        <v>2238</v>
      </c>
      <c r="W955" s="574" t="s">
        <v>2239</v>
      </c>
      <c r="X955" s="574" t="s">
        <v>3256</v>
      </c>
      <c r="Y955" s="575" t="s">
        <v>2543</v>
      </c>
      <c r="Z955" s="575" t="s">
        <v>2543</v>
      </c>
      <c r="AA955" s="574" t="s">
        <v>1693</v>
      </c>
      <c r="AB955" s="574" t="s">
        <v>2319</v>
      </c>
      <c r="AC955" s="574" t="s">
        <v>2320</v>
      </c>
      <c r="AD955" s="574" t="s">
        <v>2321</v>
      </c>
      <c r="AE955" s="574" t="s">
        <v>1446</v>
      </c>
      <c r="AF955" s="574" t="s">
        <v>2321</v>
      </c>
      <c r="AG955" s="576">
        <v>92040</v>
      </c>
      <c r="AH955" s="576">
        <v>0</v>
      </c>
    </row>
    <row r="956" spans="1:34" customFormat="1" x14ac:dyDescent="0.25">
      <c r="A956" s="574" t="s">
        <v>2219</v>
      </c>
      <c r="B956" s="574" t="s">
        <v>2220</v>
      </c>
      <c r="C956" s="574" t="s">
        <v>2221</v>
      </c>
      <c r="D956" s="574" t="s">
        <v>2220</v>
      </c>
      <c r="E956" s="574" t="s">
        <v>2222</v>
      </c>
      <c r="F956" s="574" t="s">
        <v>2223</v>
      </c>
      <c r="G956" s="574" t="s">
        <v>2224</v>
      </c>
      <c r="H956" s="574" t="s">
        <v>2225</v>
      </c>
      <c r="I956" s="574" t="s">
        <v>2226</v>
      </c>
      <c r="J956" s="574" t="s">
        <v>2227</v>
      </c>
      <c r="K956" s="574" t="s">
        <v>2228</v>
      </c>
      <c r="L956" s="574" t="s">
        <v>2229</v>
      </c>
      <c r="M956" s="574" t="s">
        <v>2230</v>
      </c>
      <c r="N956" s="574" t="s">
        <v>2231</v>
      </c>
      <c r="O956" s="574" t="s">
        <v>2759</v>
      </c>
      <c r="P956" s="574" t="s">
        <v>2932</v>
      </c>
      <c r="Q956" s="574" t="s">
        <v>2234</v>
      </c>
      <c r="R956" s="574" t="s">
        <v>2225</v>
      </c>
      <c r="S956" s="574" t="s">
        <v>2737</v>
      </c>
      <c r="T956" s="574" t="s">
        <v>2738</v>
      </c>
      <c r="U956" s="574" t="s">
        <v>3571</v>
      </c>
      <c r="V956" s="574" t="s">
        <v>2238</v>
      </c>
      <c r="W956" s="574" t="s">
        <v>2239</v>
      </c>
      <c r="X956" s="574" t="s">
        <v>3258</v>
      </c>
      <c r="Y956" s="575" t="s">
        <v>2543</v>
      </c>
      <c r="Z956" s="575" t="s">
        <v>2543</v>
      </c>
      <c r="AA956" s="574" t="s">
        <v>1693</v>
      </c>
      <c r="AB956" s="574" t="s">
        <v>2319</v>
      </c>
      <c r="AC956" s="574" t="s">
        <v>2320</v>
      </c>
      <c r="AD956" s="574" t="s">
        <v>2321</v>
      </c>
      <c r="AE956" s="574" t="s">
        <v>1446</v>
      </c>
      <c r="AF956" s="574" t="s">
        <v>2321</v>
      </c>
      <c r="AG956" s="576">
        <v>125409</v>
      </c>
      <c r="AH956" s="576">
        <v>0</v>
      </c>
    </row>
    <row r="957" spans="1:34" customFormat="1" x14ac:dyDescent="0.25">
      <c r="A957" s="574" t="s">
        <v>2219</v>
      </c>
      <c r="B957" s="574" t="s">
        <v>2220</v>
      </c>
      <c r="C957" s="574" t="s">
        <v>2221</v>
      </c>
      <c r="D957" s="574" t="s">
        <v>2220</v>
      </c>
      <c r="E957" s="574" t="s">
        <v>2222</v>
      </c>
      <c r="F957" s="574" t="s">
        <v>2223</v>
      </c>
      <c r="G957" s="574" t="s">
        <v>2224</v>
      </c>
      <c r="H957" s="574" t="s">
        <v>2225</v>
      </c>
      <c r="I957" s="574" t="s">
        <v>2226</v>
      </c>
      <c r="J957" s="574" t="s">
        <v>2227</v>
      </c>
      <c r="K957" s="574" t="s">
        <v>2228</v>
      </c>
      <c r="L957" s="574" t="s">
        <v>2229</v>
      </c>
      <c r="M957" s="574" t="s">
        <v>2230</v>
      </c>
      <c r="N957" s="574" t="s">
        <v>2231</v>
      </c>
      <c r="O957" s="574" t="s">
        <v>2759</v>
      </c>
      <c r="P957" s="574" t="s">
        <v>2932</v>
      </c>
      <c r="Q957" s="574" t="s">
        <v>2234</v>
      </c>
      <c r="R957" s="574" t="s">
        <v>2225</v>
      </c>
      <c r="S957" s="574" t="s">
        <v>2737</v>
      </c>
      <c r="T957" s="574" t="s">
        <v>2738</v>
      </c>
      <c r="U957" s="574" t="s">
        <v>3572</v>
      </c>
      <c r="V957" s="574" t="s">
        <v>2238</v>
      </c>
      <c r="W957" s="574" t="s">
        <v>2239</v>
      </c>
      <c r="X957" s="574" t="s">
        <v>3264</v>
      </c>
      <c r="Y957" s="575" t="s">
        <v>2543</v>
      </c>
      <c r="Z957" s="575" t="s">
        <v>2543</v>
      </c>
      <c r="AA957" s="574" t="s">
        <v>1693</v>
      </c>
      <c r="AB957" s="574" t="s">
        <v>2319</v>
      </c>
      <c r="AC957" s="574" t="s">
        <v>2320</v>
      </c>
      <c r="AD957" s="574" t="s">
        <v>2321</v>
      </c>
      <c r="AE957" s="574" t="s">
        <v>1446</v>
      </c>
      <c r="AF957" s="574" t="s">
        <v>2321</v>
      </c>
      <c r="AG957" s="576">
        <v>219461.59</v>
      </c>
      <c r="AH957" s="576">
        <v>0</v>
      </c>
    </row>
    <row r="958" spans="1:34" customFormat="1" x14ac:dyDescent="0.25">
      <c r="A958" s="574" t="s">
        <v>2219</v>
      </c>
      <c r="B958" s="574" t="s">
        <v>2220</v>
      </c>
      <c r="C958" s="574" t="s">
        <v>2221</v>
      </c>
      <c r="D958" s="574" t="s">
        <v>2220</v>
      </c>
      <c r="E958" s="574" t="s">
        <v>2222</v>
      </c>
      <c r="F958" s="574" t="s">
        <v>2223</v>
      </c>
      <c r="G958" s="574" t="s">
        <v>2224</v>
      </c>
      <c r="H958" s="574" t="s">
        <v>2225</v>
      </c>
      <c r="I958" s="574" t="s">
        <v>2226</v>
      </c>
      <c r="J958" s="574" t="s">
        <v>2227</v>
      </c>
      <c r="K958" s="574" t="s">
        <v>2228</v>
      </c>
      <c r="L958" s="574" t="s">
        <v>2229</v>
      </c>
      <c r="M958" s="574" t="s">
        <v>2230</v>
      </c>
      <c r="N958" s="574" t="s">
        <v>2231</v>
      </c>
      <c r="O958" s="574" t="s">
        <v>2759</v>
      </c>
      <c r="P958" s="574" t="s">
        <v>2932</v>
      </c>
      <c r="Q958" s="574" t="s">
        <v>2234</v>
      </c>
      <c r="R958" s="574" t="s">
        <v>2225</v>
      </c>
      <c r="S958" s="574" t="s">
        <v>2737</v>
      </c>
      <c r="T958" s="574" t="s">
        <v>2738</v>
      </c>
      <c r="U958" s="574" t="s">
        <v>3573</v>
      </c>
      <c r="V958" s="574" t="s">
        <v>2238</v>
      </c>
      <c r="W958" s="574" t="s">
        <v>2239</v>
      </c>
      <c r="X958" s="574" t="s">
        <v>3272</v>
      </c>
      <c r="Y958" s="575" t="s">
        <v>2543</v>
      </c>
      <c r="Z958" s="575" t="s">
        <v>2543</v>
      </c>
      <c r="AA958" s="574" t="s">
        <v>1693</v>
      </c>
      <c r="AB958" s="574" t="s">
        <v>2319</v>
      </c>
      <c r="AC958" s="574" t="s">
        <v>2320</v>
      </c>
      <c r="AD958" s="574" t="s">
        <v>2321</v>
      </c>
      <c r="AE958" s="574" t="s">
        <v>1446</v>
      </c>
      <c r="AF958" s="574" t="s">
        <v>2321</v>
      </c>
      <c r="AG958" s="576">
        <v>50150</v>
      </c>
      <c r="AH958" s="576">
        <v>0</v>
      </c>
    </row>
    <row r="959" spans="1:34" customFormat="1" x14ac:dyDescent="0.25">
      <c r="A959" s="574" t="s">
        <v>2219</v>
      </c>
      <c r="B959" s="574" t="s">
        <v>2220</v>
      </c>
      <c r="C959" s="574" t="s">
        <v>2221</v>
      </c>
      <c r="D959" s="574" t="s">
        <v>2220</v>
      </c>
      <c r="E959" s="574" t="s">
        <v>2222</v>
      </c>
      <c r="F959" s="574" t="s">
        <v>2223</v>
      </c>
      <c r="G959" s="574" t="s">
        <v>2224</v>
      </c>
      <c r="H959" s="574" t="s">
        <v>2225</v>
      </c>
      <c r="I959" s="574" t="s">
        <v>2226</v>
      </c>
      <c r="J959" s="574" t="s">
        <v>2227</v>
      </c>
      <c r="K959" s="574" t="s">
        <v>2228</v>
      </c>
      <c r="L959" s="574" t="s">
        <v>2229</v>
      </c>
      <c r="M959" s="574" t="s">
        <v>2230</v>
      </c>
      <c r="N959" s="574" t="s">
        <v>2231</v>
      </c>
      <c r="O959" s="574" t="s">
        <v>2759</v>
      </c>
      <c r="P959" s="574" t="s">
        <v>2932</v>
      </c>
      <c r="Q959" s="574" t="s">
        <v>2234</v>
      </c>
      <c r="R959" s="574" t="s">
        <v>2225</v>
      </c>
      <c r="S959" s="574" t="s">
        <v>2737</v>
      </c>
      <c r="T959" s="574" t="s">
        <v>2738</v>
      </c>
      <c r="U959" s="574" t="s">
        <v>3574</v>
      </c>
      <c r="V959" s="574" t="s">
        <v>2238</v>
      </c>
      <c r="W959" s="574" t="s">
        <v>2239</v>
      </c>
      <c r="X959" s="574" t="s">
        <v>3399</v>
      </c>
      <c r="Y959" s="575" t="s">
        <v>2543</v>
      </c>
      <c r="Z959" s="575" t="s">
        <v>2543</v>
      </c>
      <c r="AA959" s="574" t="s">
        <v>1693</v>
      </c>
      <c r="AB959" s="574" t="s">
        <v>2319</v>
      </c>
      <c r="AC959" s="574" t="s">
        <v>2320</v>
      </c>
      <c r="AD959" s="574" t="s">
        <v>2321</v>
      </c>
      <c r="AE959" s="574" t="s">
        <v>1446</v>
      </c>
      <c r="AF959" s="574" t="s">
        <v>2321</v>
      </c>
      <c r="AG959" s="576">
        <v>172870</v>
      </c>
      <c r="AH959" s="576">
        <v>0</v>
      </c>
    </row>
    <row r="960" spans="1:34" customFormat="1" x14ac:dyDescent="0.25">
      <c r="A960" s="574" t="s">
        <v>2219</v>
      </c>
      <c r="B960" s="574" t="s">
        <v>2220</v>
      </c>
      <c r="C960" s="574" t="s">
        <v>2221</v>
      </c>
      <c r="D960" s="574" t="s">
        <v>2220</v>
      </c>
      <c r="E960" s="574" t="s">
        <v>2222</v>
      </c>
      <c r="F960" s="574" t="s">
        <v>2223</v>
      </c>
      <c r="G960" s="574" t="s">
        <v>2224</v>
      </c>
      <c r="H960" s="574" t="s">
        <v>2225</v>
      </c>
      <c r="I960" s="574" t="s">
        <v>2226</v>
      </c>
      <c r="J960" s="574" t="s">
        <v>2227</v>
      </c>
      <c r="K960" s="574" t="s">
        <v>2228</v>
      </c>
      <c r="L960" s="574" t="s">
        <v>2229</v>
      </c>
      <c r="M960" s="574" t="s">
        <v>2230</v>
      </c>
      <c r="N960" s="574" t="s">
        <v>2231</v>
      </c>
      <c r="O960" s="574" t="s">
        <v>2759</v>
      </c>
      <c r="P960" s="574" t="s">
        <v>2932</v>
      </c>
      <c r="Q960" s="574" t="s">
        <v>2234</v>
      </c>
      <c r="R960" s="574" t="s">
        <v>2225</v>
      </c>
      <c r="S960" s="574" t="s">
        <v>2737</v>
      </c>
      <c r="T960" s="574" t="s">
        <v>2738</v>
      </c>
      <c r="U960" s="574" t="s">
        <v>3574</v>
      </c>
      <c r="V960" s="574" t="s">
        <v>2238</v>
      </c>
      <c r="W960" s="574" t="s">
        <v>2239</v>
      </c>
      <c r="X960" s="574" t="s">
        <v>3399</v>
      </c>
      <c r="Y960" s="575" t="s">
        <v>2543</v>
      </c>
      <c r="Z960" s="575" t="s">
        <v>2562</v>
      </c>
      <c r="AA960" s="574" t="s">
        <v>1693</v>
      </c>
      <c r="AB960" s="574" t="s">
        <v>2319</v>
      </c>
      <c r="AC960" s="574" t="s">
        <v>2320</v>
      </c>
      <c r="AD960" s="574" t="s">
        <v>2321</v>
      </c>
      <c r="AE960" s="574" t="s">
        <v>1446</v>
      </c>
      <c r="AF960" s="574" t="s">
        <v>2321</v>
      </c>
      <c r="AG960" s="576">
        <v>-172870</v>
      </c>
      <c r="AH960" s="576">
        <v>0</v>
      </c>
    </row>
    <row r="961" spans="1:34" customFormat="1" x14ac:dyDescent="0.25">
      <c r="A961" s="574" t="s">
        <v>2219</v>
      </c>
      <c r="B961" s="574" t="s">
        <v>2220</v>
      </c>
      <c r="C961" s="574" t="s">
        <v>2221</v>
      </c>
      <c r="D961" s="574" t="s">
        <v>2220</v>
      </c>
      <c r="E961" s="574" t="s">
        <v>2222</v>
      </c>
      <c r="F961" s="574" t="s">
        <v>2223</v>
      </c>
      <c r="G961" s="574" t="s">
        <v>2224</v>
      </c>
      <c r="H961" s="574" t="s">
        <v>2225</v>
      </c>
      <c r="I961" s="574" t="s">
        <v>2226</v>
      </c>
      <c r="J961" s="574" t="s">
        <v>2227</v>
      </c>
      <c r="K961" s="574" t="s">
        <v>2228</v>
      </c>
      <c r="L961" s="574" t="s">
        <v>2229</v>
      </c>
      <c r="M961" s="574" t="s">
        <v>2230</v>
      </c>
      <c r="N961" s="574" t="s">
        <v>2231</v>
      </c>
      <c r="O961" s="574" t="s">
        <v>2759</v>
      </c>
      <c r="P961" s="574" t="s">
        <v>2932</v>
      </c>
      <c r="Q961" s="574" t="s">
        <v>2234</v>
      </c>
      <c r="R961" s="574" t="s">
        <v>2225</v>
      </c>
      <c r="S961" s="574" t="s">
        <v>2737</v>
      </c>
      <c r="T961" s="574" t="s">
        <v>2738</v>
      </c>
      <c r="U961" s="574" t="s">
        <v>3575</v>
      </c>
      <c r="V961" s="574" t="s">
        <v>2238</v>
      </c>
      <c r="W961" s="574" t="s">
        <v>2239</v>
      </c>
      <c r="X961" s="574" t="s">
        <v>3260</v>
      </c>
      <c r="Y961" s="575" t="s">
        <v>2543</v>
      </c>
      <c r="Z961" s="575" t="s">
        <v>2543</v>
      </c>
      <c r="AA961" s="574" t="s">
        <v>1693</v>
      </c>
      <c r="AB961" s="574" t="s">
        <v>2319</v>
      </c>
      <c r="AC961" s="574" t="s">
        <v>2320</v>
      </c>
      <c r="AD961" s="574" t="s">
        <v>2321</v>
      </c>
      <c r="AE961" s="574" t="s">
        <v>1446</v>
      </c>
      <c r="AF961" s="574" t="s">
        <v>2321</v>
      </c>
      <c r="AG961" s="576">
        <v>22254.799999999999</v>
      </c>
      <c r="AH961" s="576">
        <v>0</v>
      </c>
    </row>
    <row r="962" spans="1:34" customFormat="1" x14ac:dyDescent="0.25">
      <c r="A962" s="574" t="s">
        <v>2219</v>
      </c>
      <c r="B962" s="574" t="s">
        <v>2220</v>
      </c>
      <c r="C962" s="574" t="s">
        <v>2221</v>
      </c>
      <c r="D962" s="574" t="s">
        <v>2220</v>
      </c>
      <c r="E962" s="574" t="s">
        <v>2222</v>
      </c>
      <c r="F962" s="574" t="s">
        <v>2223</v>
      </c>
      <c r="G962" s="574" t="s">
        <v>2224</v>
      </c>
      <c r="H962" s="574" t="s">
        <v>2225</v>
      </c>
      <c r="I962" s="574" t="s">
        <v>2226</v>
      </c>
      <c r="J962" s="574" t="s">
        <v>2227</v>
      </c>
      <c r="K962" s="574" t="s">
        <v>2228</v>
      </c>
      <c r="L962" s="574" t="s">
        <v>2229</v>
      </c>
      <c r="M962" s="574" t="s">
        <v>2230</v>
      </c>
      <c r="N962" s="574" t="s">
        <v>2231</v>
      </c>
      <c r="O962" s="574" t="s">
        <v>2759</v>
      </c>
      <c r="P962" s="574" t="s">
        <v>2932</v>
      </c>
      <c r="Q962" s="574" t="s">
        <v>2234</v>
      </c>
      <c r="R962" s="574" t="s">
        <v>2225</v>
      </c>
      <c r="S962" s="574" t="s">
        <v>2737</v>
      </c>
      <c r="T962" s="574" t="s">
        <v>2738</v>
      </c>
      <c r="U962" s="574" t="s">
        <v>3576</v>
      </c>
      <c r="V962" s="574" t="s">
        <v>2238</v>
      </c>
      <c r="W962" s="574" t="s">
        <v>2239</v>
      </c>
      <c r="X962" s="574" t="s">
        <v>3291</v>
      </c>
      <c r="Y962" s="575" t="s">
        <v>2543</v>
      </c>
      <c r="Z962" s="575" t="s">
        <v>2543</v>
      </c>
      <c r="AA962" s="574" t="s">
        <v>1693</v>
      </c>
      <c r="AB962" s="574" t="s">
        <v>2319</v>
      </c>
      <c r="AC962" s="574" t="s">
        <v>2320</v>
      </c>
      <c r="AD962" s="574" t="s">
        <v>2321</v>
      </c>
      <c r="AE962" s="574" t="s">
        <v>1446</v>
      </c>
      <c r="AF962" s="574" t="s">
        <v>2321</v>
      </c>
      <c r="AG962" s="576">
        <v>88500</v>
      </c>
      <c r="AH962" s="576">
        <v>0</v>
      </c>
    </row>
    <row r="963" spans="1:34" customFormat="1" x14ac:dyDescent="0.25">
      <c r="A963" s="574" t="s">
        <v>2219</v>
      </c>
      <c r="B963" s="574" t="s">
        <v>2220</v>
      </c>
      <c r="C963" s="574" t="s">
        <v>2221</v>
      </c>
      <c r="D963" s="574" t="s">
        <v>2220</v>
      </c>
      <c r="E963" s="574" t="s">
        <v>2222</v>
      </c>
      <c r="F963" s="574" t="s">
        <v>2223</v>
      </c>
      <c r="G963" s="574" t="s">
        <v>2224</v>
      </c>
      <c r="H963" s="574" t="s">
        <v>2225</v>
      </c>
      <c r="I963" s="574" t="s">
        <v>2226</v>
      </c>
      <c r="J963" s="574" t="s">
        <v>2227</v>
      </c>
      <c r="K963" s="574" t="s">
        <v>2228</v>
      </c>
      <c r="L963" s="574" t="s">
        <v>2229</v>
      </c>
      <c r="M963" s="574" t="s">
        <v>2230</v>
      </c>
      <c r="N963" s="574" t="s">
        <v>2231</v>
      </c>
      <c r="O963" s="574" t="s">
        <v>2759</v>
      </c>
      <c r="P963" s="574" t="s">
        <v>2932</v>
      </c>
      <c r="Q963" s="574" t="s">
        <v>2234</v>
      </c>
      <c r="R963" s="574" t="s">
        <v>2225</v>
      </c>
      <c r="S963" s="574" t="s">
        <v>2737</v>
      </c>
      <c r="T963" s="574" t="s">
        <v>2738</v>
      </c>
      <c r="U963" s="574" t="s">
        <v>3577</v>
      </c>
      <c r="V963" s="574" t="s">
        <v>2238</v>
      </c>
      <c r="W963" s="574" t="s">
        <v>2239</v>
      </c>
      <c r="X963" s="574" t="s">
        <v>3262</v>
      </c>
      <c r="Y963" s="575" t="s">
        <v>2543</v>
      </c>
      <c r="Z963" s="575" t="s">
        <v>2543</v>
      </c>
      <c r="AA963" s="574" t="s">
        <v>1693</v>
      </c>
      <c r="AB963" s="574" t="s">
        <v>2319</v>
      </c>
      <c r="AC963" s="574" t="s">
        <v>2320</v>
      </c>
      <c r="AD963" s="574" t="s">
        <v>2321</v>
      </c>
      <c r="AE963" s="574" t="s">
        <v>1446</v>
      </c>
      <c r="AF963" s="574" t="s">
        <v>2321</v>
      </c>
      <c r="AG963" s="576">
        <v>88500</v>
      </c>
      <c r="AH963" s="576">
        <v>0</v>
      </c>
    </row>
    <row r="964" spans="1:34" customFormat="1" x14ac:dyDescent="0.25">
      <c r="A964" s="574" t="s">
        <v>2219</v>
      </c>
      <c r="B964" s="574" t="s">
        <v>2220</v>
      </c>
      <c r="C964" s="574" t="s">
        <v>2221</v>
      </c>
      <c r="D964" s="574" t="s">
        <v>2220</v>
      </c>
      <c r="E964" s="574" t="s">
        <v>2222</v>
      </c>
      <c r="F964" s="574" t="s">
        <v>2223</v>
      </c>
      <c r="G964" s="574" t="s">
        <v>2224</v>
      </c>
      <c r="H964" s="574" t="s">
        <v>2225</v>
      </c>
      <c r="I964" s="574" t="s">
        <v>2226</v>
      </c>
      <c r="J964" s="574" t="s">
        <v>2227</v>
      </c>
      <c r="K964" s="574" t="s">
        <v>2228</v>
      </c>
      <c r="L964" s="574" t="s">
        <v>2229</v>
      </c>
      <c r="M964" s="574" t="s">
        <v>2230</v>
      </c>
      <c r="N964" s="574" t="s">
        <v>2231</v>
      </c>
      <c r="O964" s="574" t="s">
        <v>2759</v>
      </c>
      <c r="P964" s="574" t="s">
        <v>2932</v>
      </c>
      <c r="Q964" s="574" t="s">
        <v>2234</v>
      </c>
      <c r="R964" s="574" t="s">
        <v>2225</v>
      </c>
      <c r="S964" s="574" t="s">
        <v>2737</v>
      </c>
      <c r="T964" s="574" t="s">
        <v>2738</v>
      </c>
      <c r="U964" s="574" t="s">
        <v>3578</v>
      </c>
      <c r="V964" s="574" t="s">
        <v>2238</v>
      </c>
      <c r="W964" s="574" t="s">
        <v>2239</v>
      </c>
      <c r="X964" s="574" t="s">
        <v>3274</v>
      </c>
      <c r="Y964" s="575" t="s">
        <v>2543</v>
      </c>
      <c r="Z964" s="575" t="s">
        <v>2543</v>
      </c>
      <c r="AA964" s="574" t="s">
        <v>1693</v>
      </c>
      <c r="AB964" s="574" t="s">
        <v>2319</v>
      </c>
      <c r="AC964" s="574" t="s">
        <v>2320</v>
      </c>
      <c r="AD964" s="574" t="s">
        <v>2321</v>
      </c>
      <c r="AE964" s="574" t="s">
        <v>1446</v>
      </c>
      <c r="AF964" s="574" t="s">
        <v>2321</v>
      </c>
      <c r="AG964" s="576">
        <v>216382.5</v>
      </c>
      <c r="AH964" s="576">
        <v>0</v>
      </c>
    </row>
    <row r="965" spans="1:34" customFormat="1" x14ac:dyDescent="0.25">
      <c r="A965" s="574" t="s">
        <v>2219</v>
      </c>
      <c r="B965" s="574" t="s">
        <v>2220</v>
      </c>
      <c r="C965" s="574" t="s">
        <v>2221</v>
      </c>
      <c r="D965" s="574" t="s">
        <v>2220</v>
      </c>
      <c r="E965" s="574" t="s">
        <v>2222</v>
      </c>
      <c r="F965" s="574" t="s">
        <v>2223</v>
      </c>
      <c r="G965" s="574" t="s">
        <v>2224</v>
      </c>
      <c r="H965" s="574" t="s">
        <v>2225</v>
      </c>
      <c r="I965" s="574" t="s">
        <v>2226</v>
      </c>
      <c r="J965" s="574" t="s">
        <v>2227</v>
      </c>
      <c r="K965" s="574" t="s">
        <v>2228</v>
      </c>
      <c r="L965" s="574" t="s">
        <v>2229</v>
      </c>
      <c r="M965" s="574" t="s">
        <v>2230</v>
      </c>
      <c r="N965" s="574" t="s">
        <v>2231</v>
      </c>
      <c r="O965" s="574" t="s">
        <v>2759</v>
      </c>
      <c r="P965" s="574" t="s">
        <v>2932</v>
      </c>
      <c r="Q965" s="574" t="s">
        <v>2234</v>
      </c>
      <c r="R965" s="574" t="s">
        <v>2225</v>
      </c>
      <c r="S965" s="574" t="s">
        <v>2737</v>
      </c>
      <c r="T965" s="574" t="s">
        <v>2738</v>
      </c>
      <c r="U965" s="574" t="s">
        <v>3579</v>
      </c>
      <c r="V965" s="574" t="s">
        <v>2238</v>
      </c>
      <c r="W965" s="574" t="s">
        <v>2239</v>
      </c>
      <c r="X965" s="574" t="s">
        <v>3283</v>
      </c>
      <c r="Y965" s="575" t="s">
        <v>2543</v>
      </c>
      <c r="Z965" s="575" t="s">
        <v>2543</v>
      </c>
      <c r="AA965" s="574" t="s">
        <v>1693</v>
      </c>
      <c r="AB965" s="574" t="s">
        <v>2319</v>
      </c>
      <c r="AC965" s="574" t="s">
        <v>2320</v>
      </c>
      <c r="AD965" s="574" t="s">
        <v>2321</v>
      </c>
      <c r="AE965" s="574" t="s">
        <v>1446</v>
      </c>
      <c r="AF965" s="574" t="s">
        <v>2321</v>
      </c>
      <c r="AG965" s="576">
        <v>159300</v>
      </c>
      <c r="AH965" s="576">
        <v>0</v>
      </c>
    </row>
    <row r="966" spans="1:34" customFormat="1" x14ac:dyDescent="0.25">
      <c r="A966" s="574" t="s">
        <v>2219</v>
      </c>
      <c r="B966" s="574" t="s">
        <v>2220</v>
      </c>
      <c r="C966" s="574" t="s">
        <v>2221</v>
      </c>
      <c r="D966" s="574" t="s">
        <v>2220</v>
      </c>
      <c r="E966" s="574" t="s">
        <v>2222</v>
      </c>
      <c r="F966" s="574" t="s">
        <v>2223</v>
      </c>
      <c r="G966" s="574" t="s">
        <v>2224</v>
      </c>
      <c r="H966" s="574" t="s">
        <v>2225</v>
      </c>
      <c r="I966" s="574" t="s">
        <v>2226</v>
      </c>
      <c r="J966" s="574" t="s">
        <v>2227</v>
      </c>
      <c r="K966" s="574" t="s">
        <v>2228</v>
      </c>
      <c r="L966" s="574" t="s">
        <v>2229</v>
      </c>
      <c r="M966" s="574" t="s">
        <v>2230</v>
      </c>
      <c r="N966" s="574" t="s">
        <v>2231</v>
      </c>
      <c r="O966" s="574" t="s">
        <v>2759</v>
      </c>
      <c r="P966" s="574" t="s">
        <v>2932</v>
      </c>
      <c r="Q966" s="574" t="s">
        <v>2234</v>
      </c>
      <c r="R966" s="574" t="s">
        <v>2225</v>
      </c>
      <c r="S966" s="574" t="s">
        <v>2737</v>
      </c>
      <c r="T966" s="574" t="s">
        <v>2738</v>
      </c>
      <c r="U966" s="574" t="s">
        <v>3580</v>
      </c>
      <c r="V966" s="574" t="s">
        <v>2238</v>
      </c>
      <c r="W966" s="574" t="s">
        <v>2239</v>
      </c>
      <c r="X966" s="574" t="s">
        <v>3391</v>
      </c>
      <c r="Y966" s="575" t="s">
        <v>2543</v>
      </c>
      <c r="Z966" s="575" t="s">
        <v>2543</v>
      </c>
      <c r="AA966" s="574" t="s">
        <v>1693</v>
      </c>
      <c r="AB966" s="574" t="s">
        <v>2319</v>
      </c>
      <c r="AC966" s="574" t="s">
        <v>2320</v>
      </c>
      <c r="AD966" s="574" t="s">
        <v>2321</v>
      </c>
      <c r="AE966" s="574" t="s">
        <v>1446</v>
      </c>
      <c r="AF966" s="574" t="s">
        <v>2321</v>
      </c>
      <c r="AG966" s="576">
        <v>136300.71</v>
      </c>
      <c r="AH966" s="576">
        <v>0</v>
      </c>
    </row>
    <row r="967" spans="1:34" customFormat="1" x14ac:dyDescent="0.25">
      <c r="A967" s="574" t="s">
        <v>2219</v>
      </c>
      <c r="B967" s="574" t="s">
        <v>2220</v>
      </c>
      <c r="C967" s="574" t="s">
        <v>2221</v>
      </c>
      <c r="D967" s="574" t="s">
        <v>2220</v>
      </c>
      <c r="E967" s="574" t="s">
        <v>2222</v>
      </c>
      <c r="F967" s="574" t="s">
        <v>2223</v>
      </c>
      <c r="G967" s="574" t="s">
        <v>2224</v>
      </c>
      <c r="H967" s="574" t="s">
        <v>2225</v>
      </c>
      <c r="I967" s="574" t="s">
        <v>2226</v>
      </c>
      <c r="J967" s="574" t="s">
        <v>2227</v>
      </c>
      <c r="K967" s="574" t="s">
        <v>2228</v>
      </c>
      <c r="L967" s="574" t="s">
        <v>2229</v>
      </c>
      <c r="M967" s="574" t="s">
        <v>2230</v>
      </c>
      <c r="N967" s="574" t="s">
        <v>2231</v>
      </c>
      <c r="O967" s="574" t="s">
        <v>2759</v>
      </c>
      <c r="P967" s="574" t="s">
        <v>2932</v>
      </c>
      <c r="Q967" s="574" t="s">
        <v>2234</v>
      </c>
      <c r="R967" s="574" t="s">
        <v>2225</v>
      </c>
      <c r="S967" s="574" t="s">
        <v>2737</v>
      </c>
      <c r="T967" s="574" t="s">
        <v>2738</v>
      </c>
      <c r="U967" s="574" t="s">
        <v>3580</v>
      </c>
      <c r="V967" s="574" t="s">
        <v>2238</v>
      </c>
      <c r="W967" s="574" t="s">
        <v>2239</v>
      </c>
      <c r="X967" s="574" t="s">
        <v>3391</v>
      </c>
      <c r="Y967" s="575" t="s">
        <v>2543</v>
      </c>
      <c r="Z967" s="575" t="s">
        <v>3392</v>
      </c>
      <c r="AA967" s="574" t="s">
        <v>1693</v>
      </c>
      <c r="AB967" s="574" t="s">
        <v>2319</v>
      </c>
      <c r="AC967" s="574" t="s">
        <v>2320</v>
      </c>
      <c r="AD967" s="574" t="s">
        <v>2321</v>
      </c>
      <c r="AE967" s="574" t="s">
        <v>1446</v>
      </c>
      <c r="AF967" s="574" t="s">
        <v>2321</v>
      </c>
      <c r="AG967" s="576">
        <v>-136300.71</v>
      </c>
      <c r="AH967" s="576">
        <v>0</v>
      </c>
    </row>
    <row r="968" spans="1:34" customFormat="1" x14ac:dyDescent="0.25">
      <c r="A968" s="574" t="s">
        <v>2219</v>
      </c>
      <c r="B968" s="574" t="s">
        <v>2220</v>
      </c>
      <c r="C968" s="574" t="s">
        <v>2221</v>
      </c>
      <c r="D968" s="574" t="s">
        <v>2220</v>
      </c>
      <c r="E968" s="574" t="s">
        <v>2222</v>
      </c>
      <c r="F968" s="574" t="s">
        <v>2223</v>
      </c>
      <c r="G968" s="574" t="s">
        <v>2224</v>
      </c>
      <c r="H968" s="574" t="s">
        <v>2225</v>
      </c>
      <c r="I968" s="574" t="s">
        <v>2226</v>
      </c>
      <c r="J968" s="574" t="s">
        <v>2227</v>
      </c>
      <c r="K968" s="574" t="s">
        <v>2228</v>
      </c>
      <c r="L968" s="574" t="s">
        <v>2229</v>
      </c>
      <c r="M968" s="574" t="s">
        <v>2230</v>
      </c>
      <c r="N968" s="574" t="s">
        <v>2231</v>
      </c>
      <c r="O968" s="574" t="s">
        <v>2759</v>
      </c>
      <c r="P968" s="574" t="s">
        <v>2932</v>
      </c>
      <c r="Q968" s="574" t="s">
        <v>2234</v>
      </c>
      <c r="R968" s="574" t="s">
        <v>2225</v>
      </c>
      <c r="S968" s="574" t="s">
        <v>2737</v>
      </c>
      <c r="T968" s="574" t="s">
        <v>2738</v>
      </c>
      <c r="U968" s="574" t="s">
        <v>3581</v>
      </c>
      <c r="V968" s="574" t="s">
        <v>2238</v>
      </c>
      <c r="W968" s="574" t="s">
        <v>2239</v>
      </c>
      <c r="X968" s="574" t="s">
        <v>3287</v>
      </c>
      <c r="Y968" s="575" t="s">
        <v>2543</v>
      </c>
      <c r="Z968" s="575" t="s">
        <v>2543</v>
      </c>
      <c r="AA968" s="574" t="s">
        <v>1693</v>
      </c>
      <c r="AB968" s="574" t="s">
        <v>2319</v>
      </c>
      <c r="AC968" s="574" t="s">
        <v>2320</v>
      </c>
      <c r="AD968" s="574" t="s">
        <v>2321</v>
      </c>
      <c r="AE968" s="574" t="s">
        <v>1446</v>
      </c>
      <c r="AF968" s="574" t="s">
        <v>2321</v>
      </c>
      <c r="AG968" s="576">
        <v>213875</v>
      </c>
      <c r="AH968" s="576">
        <v>0</v>
      </c>
    </row>
    <row r="969" spans="1:34" customFormat="1" x14ac:dyDescent="0.25">
      <c r="A969" s="574" t="s">
        <v>2219</v>
      </c>
      <c r="B969" s="574" t="s">
        <v>2220</v>
      </c>
      <c r="C969" s="574" t="s">
        <v>2221</v>
      </c>
      <c r="D969" s="574" t="s">
        <v>2220</v>
      </c>
      <c r="E969" s="574" t="s">
        <v>2222</v>
      </c>
      <c r="F969" s="574" t="s">
        <v>2223</v>
      </c>
      <c r="G969" s="574" t="s">
        <v>2224</v>
      </c>
      <c r="H969" s="574" t="s">
        <v>2225</v>
      </c>
      <c r="I969" s="574" t="s">
        <v>2226</v>
      </c>
      <c r="J969" s="574" t="s">
        <v>2227</v>
      </c>
      <c r="K969" s="574" t="s">
        <v>2228</v>
      </c>
      <c r="L969" s="574" t="s">
        <v>2229</v>
      </c>
      <c r="M969" s="574" t="s">
        <v>2230</v>
      </c>
      <c r="N969" s="574" t="s">
        <v>2231</v>
      </c>
      <c r="O969" s="574" t="s">
        <v>2759</v>
      </c>
      <c r="P969" s="574" t="s">
        <v>2932</v>
      </c>
      <c r="Q969" s="574" t="s">
        <v>2234</v>
      </c>
      <c r="R969" s="574" t="s">
        <v>2225</v>
      </c>
      <c r="S969" s="574" t="s">
        <v>2737</v>
      </c>
      <c r="T969" s="574" t="s">
        <v>2738</v>
      </c>
      <c r="U969" s="574" t="s">
        <v>3582</v>
      </c>
      <c r="V969" s="574" t="s">
        <v>2238</v>
      </c>
      <c r="W969" s="574" t="s">
        <v>2239</v>
      </c>
      <c r="X969" s="574" t="s">
        <v>3270</v>
      </c>
      <c r="Y969" s="575" t="s">
        <v>2543</v>
      </c>
      <c r="Z969" s="575" t="s">
        <v>2543</v>
      </c>
      <c r="AA969" s="574" t="s">
        <v>1693</v>
      </c>
      <c r="AB969" s="574" t="s">
        <v>2319</v>
      </c>
      <c r="AC969" s="574" t="s">
        <v>2402</v>
      </c>
      <c r="AD969" s="574" t="s">
        <v>2403</v>
      </c>
      <c r="AE969" s="574" t="s">
        <v>1486</v>
      </c>
      <c r="AF969" s="574" t="s">
        <v>2403</v>
      </c>
      <c r="AG969" s="576">
        <v>133038.64000000001</v>
      </c>
      <c r="AH969" s="576">
        <v>0</v>
      </c>
    </row>
    <row r="970" spans="1:34" customFormat="1" x14ac:dyDescent="0.25">
      <c r="A970" s="574" t="s">
        <v>2219</v>
      </c>
      <c r="B970" s="574" t="s">
        <v>2220</v>
      </c>
      <c r="C970" s="574" t="s">
        <v>2221</v>
      </c>
      <c r="D970" s="574" t="s">
        <v>2220</v>
      </c>
      <c r="E970" s="574" t="s">
        <v>2222</v>
      </c>
      <c r="F970" s="574" t="s">
        <v>2223</v>
      </c>
      <c r="G970" s="574" t="s">
        <v>2224</v>
      </c>
      <c r="H970" s="574" t="s">
        <v>2225</v>
      </c>
      <c r="I970" s="574" t="s">
        <v>2226</v>
      </c>
      <c r="J970" s="574" t="s">
        <v>2227</v>
      </c>
      <c r="K970" s="574" t="s">
        <v>2228</v>
      </c>
      <c r="L970" s="574" t="s">
        <v>2229</v>
      </c>
      <c r="M970" s="574" t="s">
        <v>2230</v>
      </c>
      <c r="N970" s="574" t="s">
        <v>2231</v>
      </c>
      <c r="O970" s="574" t="s">
        <v>2759</v>
      </c>
      <c r="P970" s="574" t="s">
        <v>2932</v>
      </c>
      <c r="Q970" s="574" t="s">
        <v>2234</v>
      </c>
      <c r="R970" s="574" t="s">
        <v>2225</v>
      </c>
      <c r="S970" s="574" t="s">
        <v>2737</v>
      </c>
      <c r="T970" s="574" t="s">
        <v>2738</v>
      </c>
      <c r="U970" s="574" t="s">
        <v>3583</v>
      </c>
      <c r="V970" s="574" t="s">
        <v>2238</v>
      </c>
      <c r="W970" s="574" t="s">
        <v>2239</v>
      </c>
      <c r="X970" s="574" t="s">
        <v>3244</v>
      </c>
      <c r="Y970" s="575" t="s">
        <v>2543</v>
      </c>
      <c r="Z970" s="575" t="s">
        <v>2543</v>
      </c>
      <c r="AA970" s="574" t="s">
        <v>1693</v>
      </c>
      <c r="AB970" s="574" t="s">
        <v>2319</v>
      </c>
      <c r="AC970" s="574" t="s">
        <v>2402</v>
      </c>
      <c r="AD970" s="574" t="s">
        <v>2403</v>
      </c>
      <c r="AE970" s="574" t="s">
        <v>1486</v>
      </c>
      <c r="AF970" s="574" t="s">
        <v>2403</v>
      </c>
      <c r="AG970" s="576">
        <v>46798.8</v>
      </c>
      <c r="AH970" s="576">
        <v>0</v>
      </c>
    </row>
    <row r="971" spans="1:34" customFormat="1" x14ac:dyDescent="0.25">
      <c r="A971" s="574" t="s">
        <v>2219</v>
      </c>
      <c r="B971" s="574" t="s">
        <v>2220</v>
      </c>
      <c r="C971" s="574" t="s">
        <v>2221</v>
      </c>
      <c r="D971" s="574" t="s">
        <v>2220</v>
      </c>
      <c r="E971" s="574" t="s">
        <v>2222</v>
      </c>
      <c r="F971" s="574" t="s">
        <v>2223</v>
      </c>
      <c r="G971" s="574" t="s">
        <v>2224</v>
      </c>
      <c r="H971" s="574" t="s">
        <v>2225</v>
      </c>
      <c r="I971" s="574" t="s">
        <v>2226</v>
      </c>
      <c r="J971" s="574" t="s">
        <v>2227</v>
      </c>
      <c r="K971" s="574" t="s">
        <v>2228</v>
      </c>
      <c r="L971" s="574" t="s">
        <v>2229</v>
      </c>
      <c r="M971" s="574" t="s">
        <v>2230</v>
      </c>
      <c r="N971" s="574" t="s">
        <v>2231</v>
      </c>
      <c r="O971" s="574" t="s">
        <v>2759</v>
      </c>
      <c r="P971" s="574" t="s">
        <v>2932</v>
      </c>
      <c r="Q971" s="574" t="s">
        <v>2234</v>
      </c>
      <c r="R971" s="574" t="s">
        <v>2225</v>
      </c>
      <c r="S971" s="574" t="s">
        <v>2737</v>
      </c>
      <c r="T971" s="574" t="s">
        <v>2738</v>
      </c>
      <c r="U971" s="574" t="s">
        <v>3584</v>
      </c>
      <c r="V971" s="574" t="s">
        <v>2238</v>
      </c>
      <c r="W971" s="574" t="s">
        <v>2239</v>
      </c>
      <c r="X971" s="574" t="s">
        <v>3285</v>
      </c>
      <c r="Y971" s="575" t="s">
        <v>2562</v>
      </c>
      <c r="Z971" s="575" t="s">
        <v>2562</v>
      </c>
      <c r="AA971" s="574" t="s">
        <v>1693</v>
      </c>
      <c r="AB971" s="574" t="s">
        <v>2319</v>
      </c>
      <c r="AC971" s="574" t="s">
        <v>2320</v>
      </c>
      <c r="AD971" s="574" t="s">
        <v>2321</v>
      </c>
      <c r="AE971" s="574" t="s">
        <v>1446</v>
      </c>
      <c r="AF971" s="574" t="s">
        <v>2321</v>
      </c>
      <c r="AG971" s="576">
        <v>172870</v>
      </c>
      <c r="AH971" s="576">
        <v>0</v>
      </c>
    </row>
    <row r="972" spans="1:34" customFormat="1" x14ac:dyDescent="0.25">
      <c r="A972" s="574" t="s">
        <v>2219</v>
      </c>
      <c r="B972" s="574" t="s">
        <v>2220</v>
      </c>
      <c r="C972" s="574" t="s">
        <v>2221</v>
      </c>
      <c r="D972" s="574" t="s">
        <v>2220</v>
      </c>
      <c r="E972" s="574" t="s">
        <v>2222</v>
      </c>
      <c r="F972" s="574" t="s">
        <v>2223</v>
      </c>
      <c r="G972" s="574" t="s">
        <v>2224</v>
      </c>
      <c r="H972" s="574" t="s">
        <v>2225</v>
      </c>
      <c r="I972" s="574" t="s">
        <v>2226</v>
      </c>
      <c r="J972" s="574" t="s">
        <v>2227</v>
      </c>
      <c r="K972" s="574" t="s">
        <v>2228</v>
      </c>
      <c r="L972" s="574" t="s">
        <v>2229</v>
      </c>
      <c r="M972" s="574" t="s">
        <v>2230</v>
      </c>
      <c r="N972" s="574" t="s">
        <v>2231</v>
      </c>
      <c r="O972" s="574" t="s">
        <v>2759</v>
      </c>
      <c r="P972" s="574" t="s">
        <v>2932</v>
      </c>
      <c r="Q972" s="574" t="s">
        <v>2234</v>
      </c>
      <c r="R972" s="574" t="s">
        <v>2225</v>
      </c>
      <c r="S972" s="574" t="s">
        <v>2737</v>
      </c>
      <c r="T972" s="574" t="s">
        <v>2738</v>
      </c>
      <c r="U972" s="574" t="s">
        <v>2821</v>
      </c>
      <c r="V972" s="574" t="s">
        <v>2238</v>
      </c>
      <c r="W972" s="574" t="s">
        <v>2239</v>
      </c>
      <c r="X972" s="574" t="s">
        <v>2633</v>
      </c>
      <c r="Y972" s="575" t="s">
        <v>2677</v>
      </c>
      <c r="Z972" s="575" t="s">
        <v>2677</v>
      </c>
      <c r="AA972" s="574" t="s">
        <v>1692</v>
      </c>
      <c r="AB972" s="574" t="s">
        <v>2307</v>
      </c>
      <c r="AC972" s="574" t="s">
        <v>2308</v>
      </c>
      <c r="AD972" s="574" t="s">
        <v>2309</v>
      </c>
      <c r="AE972" s="574" t="s">
        <v>1482</v>
      </c>
      <c r="AF972" s="574" t="s">
        <v>2961</v>
      </c>
      <c r="AG972" s="576">
        <v>8850</v>
      </c>
      <c r="AH972" s="576">
        <v>0</v>
      </c>
    </row>
    <row r="973" spans="1:34" customFormat="1" x14ac:dyDescent="0.25">
      <c r="A973" s="574" t="s">
        <v>2219</v>
      </c>
      <c r="B973" s="574" t="s">
        <v>2220</v>
      </c>
      <c r="C973" s="574" t="s">
        <v>2221</v>
      </c>
      <c r="D973" s="574" t="s">
        <v>2220</v>
      </c>
      <c r="E973" s="574" t="s">
        <v>2222</v>
      </c>
      <c r="F973" s="574" t="s">
        <v>2223</v>
      </c>
      <c r="G973" s="574" t="s">
        <v>2224</v>
      </c>
      <c r="H973" s="574" t="s">
        <v>2225</v>
      </c>
      <c r="I973" s="574" t="s">
        <v>2226</v>
      </c>
      <c r="J973" s="574" t="s">
        <v>2227</v>
      </c>
      <c r="K973" s="574" t="s">
        <v>2228</v>
      </c>
      <c r="L973" s="574" t="s">
        <v>2229</v>
      </c>
      <c r="M973" s="574" t="s">
        <v>2230</v>
      </c>
      <c r="N973" s="574" t="s">
        <v>2231</v>
      </c>
      <c r="O973" s="574" t="s">
        <v>2759</v>
      </c>
      <c r="P973" s="574" t="s">
        <v>2932</v>
      </c>
      <c r="Q973" s="574" t="s">
        <v>2234</v>
      </c>
      <c r="R973" s="574" t="s">
        <v>2225</v>
      </c>
      <c r="S973" s="574" t="s">
        <v>2737</v>
      </c>
      <c r="T973" s="574" t="s">
        <v>2738</v>
      </c>
      <c r="U973" s="574" t="s">
        <v>2821</v>
      </c>
      <c r="V973" s="574" t="s">
        <v>2238</v>
      </c>
      <c r="W973" s="574" t="s">
        <v>2239</v>
      </c>
      <c r="X973" s="574" t="s">
        <v>2633</v>
      </c>
      <c r="Y973" s="575" t="s">
        <v>2677</v>
      </c>
      <c r="Z973" s="575" t="s">
        <v>2677</v>
      </c>
      <c r="AA973" s="574" t="s">
        <v>1693</v>
      </c>
      <c r="AB973" s="574" t="s">
        <v>2319</v>
      </c>
      <c r="AC973" s="574" t="s">
        <v>2320</v>
      </c>
      <c r="AD973" s="574" t="s">
        <v>2321</v>
      </c>
      <c r="AE973" s="574" t="s">
        <v>1446</v>
      </c>
      <c r="AF973" s="574" t="s">
        <v>2321</v>
      </c>
      <c r="AG973" s="576">
        <v>219981.5</v>
      </c>
      <c r="AH973" s="576">
        <v>0</v>
      </c>
    </row>
    <row r="974" spans="1:34" customFormat="1" x14ac:dyDescent="0.25">
      <c r="A974" s="574" t="s">
        <v>2219</v>
      </c>
      <c r="B974" s="574" t="s">
        <v>2220</v>
      </c>
      <c r="C974" s="574" t="s">
        <v>2221</v>
      </c>
      <c r="D974" s="574" t="s">
        <v>2220</v>
      </c>
      <c r="E974" s="574" t="s">
        <v>2222</v>
      </c>
      <c r="F974" s="574" t="s">
        <v>2223</v>
      </c>
      <c r="G974" s="574" t="s">
        <v>2224</v>
      </c>
      <c r="H974" s="574" t="s">
        <v>2225</v>
      </c>
      <c r="I974" s="574" t="s">
        <v>2226</v>
      </c>
      <c r="J974" s="574" t="s">
        <v>2227</v>
      </c>
      <c r="K974" s="574" t="s">
        <v>2228</v>
      </c>
      <c r="L974" s="574" t="s">
        <v>2229</v>
      </c>
      <c r="M974" s="574" t="s">
        <v>2230</v>
      </c>
      <c r="N974" s="574" t="s">
        <v>2231</v>
      </c>
      <c r="O974" s="574" t="s">
        <v>2759</v>
      </c>
      <c r="P974" s="574" t="s">
        <v>2932</v>
      </c>
      <c r="Q974" s="574" t="s">
        <v>2234</v>
      </c>
      <c r="R974" s="574" t="s">
        <v>2225</v>
      </c>
      <c r="S974" s="574" t="s">
        <v>2737</v>
      </c>
      <c r="T974" s="574" t="s">
        <v>2738</v>
      </c>
      <c r="U974" s="574" t="s">
        <v>2823</v>
      </c>
      <c r="V974" s="574" t="s">
        <v>2238</v>
      </c>
      <c r="W974" s="574" t="s">
        <v>2239</v>
      </c>
      <c r="X974" s="574" t="s">
        <v>2631</v>
      </c>
      <c r="Y974" s="575" t="s">
        <v>2677</v>
      </c>
      <c r="Z974" s="575" t="s">
        <v>2677</v>
      </c>
      <c r="AA974" s="574" t="s">
        <v>1693</v>
      </c>
      <c r="AB974" s="574" t="s">
        <v>2319</v>
      </c>
      <c r="AC974" s="574" t="s">
        <v>2402</v>
      </c>
      <c r="AD974" s="574" t="s">
        <v>2403</v>
      </c>
      <c r="AE974" s="574" t="s">
        <v>1486</v>
      </c>
      <c r="AF974" s="574" t="s">
        <v>2403</v>
      </c>
      <c r="AG974" s="576">
        <v>84960</v>
      </c>
      <c r="AH974" s="576">
        <v>0</v>
      </c>
    </row>
    <row r="975" spans="1:34" customFormat="1" x14ac:dyDescent="0.25">
      <c r="A975" s="574" t="s">
        <v>2219</v>
      </c>
      <c r="B975" s="574" t="s">
        <v>2220</v>
      </c>
      <c r="C975" s="574" t="s">
        <v>2221</v>
      </c>
      <c r="D975" s="574" t="s">
        <v>2220</v>
      </c>
      <c r="E975" s="574" t="s">
        <v>2222</v>
      </c>
      <c r="F975" s="574" t="s">
        <v>2223</v>
      </c>
      <c r="G975" s="574" t="s">
        <v>2224</v>
      </c>
      <c r="H975" s="574" t="s">
        <v>2225</v>
      </c>
      <c r="I975" s="574" t="s">
        <v>2226</v>
      </c>
      <c r="J975" s="574" t="s">
        <v>2227</v>
      </c>
      <c r="K975" s="574" t="s">
        <v>2228</v>
      </c>
      <c r="L975" s="574" t="s">
        <v>2229</v>
      </c>
      <c r="M975" s="574" t="s">
        <v>2230</v>
      </c>
      <c r="N975" s="574" t="s">
        <v>2231</v>
      </c>
      <c r="O975" s="574" t="s">
        <v>2759</v>
      </c>
      <c r="P975" s="574" t="s">
        <v>2932</v>
      </c>
      <c r="Q975" s="574" t="s">
        <v>2234</v>
      </c>
      <c r="R975" s="574" t="s">
        <v>2225</v>
      </c>
      <c r="S975" s="574" t="s">
        <v>2737</v>
      </c>
      <c r="T975" s="574" t="s">
        <v>2738</v>
      </c>
      <c r="U975" s="574" t="s">
        <v>2825</v>
      </c>
      <c r="V975" s="574" t="s">
        <v>2238</v>
      </c>
      <c r="W975" s="574" t="s">
        <v>2239</v>
      </c>
      <c r="X975" s="574" t="s">
        <v>2603</v>
      </c>
      <c r="Y975" s="575" t="s">
        <v>2565</v>
      </c>
      <c r="Z975" s="575" t="s">
        <v>2565</v>
      </c>
      <c r="AA975" s="574" t="s">
        <v>1693</v>
      </c>
      <c r="AB975" s="574" t="s">
        <v>2319</v>
      </c>
      <c r="AC975" s="574" t="s">
        <v>2320</v>
      </c>
      <c r="AD975" s="574" t="s">
        <v>2321</v>
      </c>
      <c r="AE975" s="574" t="s">
        <v>1446</v>
      </c>
      <c r="AF975" s="574" t="s">
        <v>2321</v>
      </c>
      <c r="AG975" s="576">
        <v>76800</v>
      </c>
      <c r="AH975" s="576">
        <v>0</v>
      </c>
    </row>
    <row r="976" spans="1:34" customFormat="1" x14ac:dyDescent="0.25">
      <c r="A976" s="574" t="s">
        <v>2219</v>
      </c>
      <c r="B976" s="574" t="s">
        <v>2220</v>
      </c>
      <c r="C976" s="574" t="s">
        <v>2221</v>
      </c>
      <c r="D976" s="574" t="s">
        <v>2220</v>
      </c>
      <c r="E976" s="574" t="s">
        <v>2222</v>
      </c>
      <c r="F976" s="574" t="s">
        <v>2223</v>
      </c>
      <c r="G976" s="574" t="s">
        <v>2224</v>
      </c>
      <c r="H976" s="574" t="s">
        <v>2225</v>
      </c>
      <c r="I976" s="574" t="s">
        <v>2226</v>
      </c>
      <c r="J976" s="574" t="s">
        <v>2227</v>
      </c>
      <c r="K976" s="574" t="s">
        <v>2228</v>
      </c>
      <c r="L976" s="574" t="s">
        <v>2229</v>
      </c>
      <c r="M976" s="574" t="s">
        <v>2230</v>
      </c>
      <c r="N976" s="574" t="s">
        <v>2231</v>
      </c>
      <c r="O976" s="574" t="s">
        <v>2759</v>
      </c>
      <c r="P976" s="574" t="s">
        <v>2932</v>
      </c>
      <c r="Q976" s="574" t="s">
        <v>2234</v>
      </c>
      <c r="R976" s="574" t="s">
        <v>2225</v>
      </c>
      <c r="S976" s="574" t="s">
        <v>2737</v>
      </c>
      <c r="T976" s="574" t="s">
        <v>2738</v>
      </c>
      <c r="U976" s="574" t="s">
        <v>2827</v>
      </c>
      <c r="V976" s="574" t="s">
        <v>2238</v>
      </c>
      <c r="W976" s="574" t="s">
        <v>2239</v>
      </c>
      <c r="X976" s="574" t="s">
        <v>2636</v>
      </c>
      <c r="Y976" s="575" t="s">
        <v>2565</v>
      </c>
      <c r="Z976" s="575" t="s">
        <v>2565</v>
      </c>
      <c r="AA976" s="574" t="s">
        <v>1693</v>
      </c>
      <c r="AB976" s="574" t="s">
        <v>2319</v>
      </c>
      <c r="AC976" s="574" t="s">
        <v>2320</v>
      </c>
      <c r="AD976" s="574" t="s">
        <v>2321</v>
      </c>
      <c r="AE976" s="574" t="s">
        <v>1446</v>
      </c>
      <c r="AF976" s="574" t="s">
        <v>2321</v>
      </c>
      <c r="AG976" s="576">
        <v>21830</v>
      </c>
      <c r="AH976" s="576">
        <v>0</v>
      </c>
    </row>
    <row r="977" spans="1:34" customFormat="1" x14ac:dyDescent="0.25">
      <c r="A977" s="574" t="s">
        <v>2219</v>
      </c>
      <c r="B977" s="574" t="s">
        <v>2220</v>
      </c>
      <c r="C977" s="574" t="s">
        <v>2221</v>
      </c>
      <c r="D977" s="574" t="s">
        <v>2220</v>
      </c>
      <c r="E977" s="574" t="s">
        <v>2222</v>
      </c>
      <c r="F977" s="574" t="s">
        <v>2223</v>
      </c>
      <c r="G977" s="574" t="s">
        <v>2224</v>
      </c>
      <c r="H977" s="574" t="s">
        <v>2225</v>
      </c>
      <c r="I977" s="574" t="s">
        <v>2226</v>
      </c>
      <c r="J977" s="574" t="s">
        <v>2227</v>
      </c>
      <c r="K977" s="574" t="s">
        <v>2228</v>
      </c>
      <c r="L977" s="574" t="s">
        <v>2229</v>
      </c>
      <c r="M977" s="574" t="s">
        <v>2230</v>
      </c>
      <c r="N977" s="574" t="s">
        <v>2231</v>
      </c>
      <c r="O977" s="574" t="s">
        <v>2759</v>
      </c>
      <c r="P977" s="574" t="s">
        <v>2932</v>
      </c>
      <c r="Q977" s="574" t="s">
        <v>2234</v>
      </c>
      <c r="R977" s="574" t="s">
        <v>2225</v>
      </c>
      <c r="S977" s="574" t="s">
        <v>2737</v>
      </c>
      <c r="T977" s="574" t="s">
        <v>2738</v>
      </c>
      <c r="U977" s="574" t="s">
        <v>2828</v>
      </c>
      <c r="V977" s="574" t="s">
        <v>2238</v>
      </c>
      <c r="W977" s="574" t="s">
        <v>2239</v>
      </c>
      <c r="X977" s="574" t="s">
        <v>2605</v>
      </c>
      <c r="Y977" s="575" t="s">
        <v>2565</v>
      </c>
      <c r="Z977" s="575" t="s">
        <v>2565</v>
      </c>
      <c r="AA977" s="574" t="s">
        <v>1693</v>
      </c>
      <c r="AB977" s="574" t="s">
        <v>2319</v>
      </c>
      <c r="AC977" s="574" t="s">
        <v>2320</v>
      </c>
      <c r="AD977" s="574" t="s">
        <v>2321</v>
      </c>
      <c r="AE977" s="574" t="s">
        <v>1446</v>
      </c>
      <c r="AF977" s="574" t="s">
        <v>2321</v>
      </c>
      <c r="AG977" s="576">
        <v>69906.5</v>
      </c>
      <c r="AH977" s="576">
        <v>0</v>
      </c>
    </row>
    <row r="978" spans="1:34" customFormat="1" x14ac:dyDescent="0.25">
      <c r="A978" s="574" t="s">
        <v>2219</v>
      </c>
      <c r="B978" s="574" t="s">
        <v>2220</v>
      </c>
      <c r="C978" s="574" t="s">
        <v>2221</v>
      </c>
      <c r="D978" s="574" t="s">
        <v>2220</v>
      </c>
      <c r="E978" s="574" t="s">
        <v>2222</v>
      </c>
      <c r="F978" s="574" t="s">
        <v>2223</v>
      </c>
      <c r="G978" s="574" t="s">
        <v>2224</v>
      </c>
      <c r="H978" s="574" t="s">
        <v>2225</v>
      </c>
      <c r="I978" s="574" t="s">
        <v>2226</v>
      </c>
      <c r="J978" s="574" t="s">
        <v>2227</v>
      </c>
      <c r="K978" s="574" t="s">
        <v>2228</v>
      </c>
      <c r="L978" s="574" t="s">
        <v>2229</v>
      </c>
      <c r="M978" s="574" t="s">
        <v>2230</v>
      </c>
      <c r="N978" s="574" t="s">
        <v>2231</v>
      </c>
      <c r="O978" s="574" t="s">
        <v>2759</v>
      </c>
      <c r="P978" s="574" t="s">
        <v>2932</v>
      </c>
      <c r="Q978" s="574" t="s">
        <v>2234</v>
      </c>
      <c r="R978" s="574" t="s">
        <v>2225</v>
      </c>
      <c r="S978" s="574" t="s">
        <v>2737</v>
      </c>
      <c r="T978" s="574" t="s">
        <v>2738</v>
      </c>
      <c r="U978" s="574" t="s">
        <v>2829</v>
      </c>
      <c r="V978" s="574" t="s">
        <v>2238</v>
      </c>
      <c r="W978" s="574" t="s">
        <v>2239</v>
      </c>
      <c r="X978" s="574" t="s">
        <v>2645</v>
      </c>
      <c r="Y978" s="575" t="s">
        <v>2565</v>
      </c>
      <c r="Z978" s="575" t="s">
        <v>2565</v>
      </c>
      <c r="AA978" s="574" t="s">
        <v>1693</v>
      </c>
      <c r="AB978" s="574" t="s">
        <v>2319</v>
      </c>
      <c r="AC978" s="574" t="s">
        <v>2402</v>
      </c>
      <c r="AD978" s="574" t="s">
        <v>2403</v>
      </c>
      <c r="AE978" s="574" t="s">
        <v>1486</v>
      </c>
      <c r="AF978" s="574" t="s">
        <v>2403</v>
      </c>
      <c r="AG978" s="576">
        <v>28320</v>
      </c>
      <c r="AH978" s="576">
        <v>0</v>
      </c>
    </row>
    <row r="979" spans="1:34" customFormat="1" x14ac:dyDescent="0.25">
      <c r="A979" s="574" t="s">
        <v>2219</v>
      </c>
      <c r="B979" s="574" t="s">
        <v>2220</v>
      </c>
      <c r="C979" s="574" t="s">
        <v>2221</v>
      </c>
      <c r="D979" s="574" t="s">
        <v>2220</v>
      </c>
      <c r="E979" s="574" t="s">
        <v>2222</v>
      </c>
      <c r="F979" s="574" t="s">
        <v>2223</v>
      </c>
      <c r="G979" s="574" t="s">
        <v>2224</v>
      </c>
      <c r="H979" s="574" t="s">
        <v>2225</v>
      </c>
      <c r="I979" s="574" t="s">
        <v>2226</v>
      </c>
      <c r="J979" s="574" t="s">
        <v>2227</v>
      </c>
      <c r="K979" s="574" t="s">
        <v>2228</v>
      </c>
      <c r="L979" s="574" t="s">
        <v>2229</v>
      </c>
      <c r="M979" s="574" t="s">
        <v>2230</v>
      </c>
      <c r="N979" s="574" t="s">
        <v>2231</v>
      </c>
      <c r="O979" s="574" t="s">
        <v>2759</v>
      </c>
      <c r="P979" s="574" t="s">
        <v>2932</v>
      </c>
      <c r="Q979" s="574" t="s">
        <v>2234</v>
      </c>
      <c r="R979" s="574" t="s">
        <v>2225</v>
      </c>
      <c r="S979" s="574" t="s">
        <v>2737</v>
      </c>
      <c r="T979" s="574" t="s">
        <v>2738</v>
      </c>
      <c r="U979" s="574" t="s">
        <v>3585</v>
      </c>
      <c r="V979" s="574" t="s">
        <v>2238</v>
      </c>
      <c r="W979" s="574" t="s">
        <v>2239</v>
      </c>
      <c r="X979" s="574" t="s">
        <v>3295</v>
      </c>
      <c r="Y979" s="575" t="s">
        <v>2568</v>
      </c>
      <c r="Z979" s="575" t="s">
        <v>2568</v>
      </c>
      <c r="AA979" s="574" t="s">
        <v>1693</v>
      </c>
      <c r="AB979" s="574" t="s">
        <v>2319</v>
      </c>
      <c r="AC979" s="574" t="s">
        <v>2320</v>
      </c>
      <c r="AD979" s="574" t="s">
        <v>2321</v>
      </c>
      <c r="AE979" s="574" t="s">
        <v>1446</v>
      </c>
      <c r="AF979" s="574" t="s">
        <v>2321</v>
      </c>
      <c r="AG979" s="576">
        <v>1267200</v>
      </c>
      <c r="AH979" s="576">
        <v>0</v>
      </c>
    </row>
    <row r="980" spans="1:34" customFormat="1" x14ac:dyDescent="0.25">
      <c r="A980" s="574" t="s">
        <v>2219</v>
      </c>
      <c r="B980" s="574" t="s">
        <v>2220</v>
      </c>
      <c r="C980" s="574" t="s">
        <v>2221</v>
      </c>
      <c r="D980" s="574" t="s">
        <v>2220</v>
      </c>
      <c r="E980" s="574" t="s">
        <v>2222</v>
      </c>
      <c r="F980" s="574" t="s">
        <v>2223</v>
      </c>
      <c r="G980" s="574" t="s">
        <v>2224</v>
      </c>
      <c r="H980" s="574" t="s">
        <v>2225</v>
      </c>
      <c r="I980" s="574" t="s">
        <v>2226</v>
      </c>
      <c r="J980" s="574" t="s">
        <v>2227</v>
      </c>
      <c r="K980" s="574" t="s">
        <v>2228</v>
      </c>
      <c r="L980" s="574" t="s">
        <v>2229</v>
      </c>
      <c r="M980" s="574" t="s">
        <v>2230</v>
      </c>
      <c r="N980" s="574" t="s">
        <v>2231</v>
      </c>
      <c r="O980" s="574" t="s">
        <v>2759</v>
      </c>
      <c r="P980" s="574" t="s">
        <v>2932</v>
      </c>
      <c r="Q980" s="574" t="s">
        <v>2234</v>
      </c>
      <c r="R980" s="574" t="s">
        <v>2225</v>
      </c>
      <c r="S980" s="574" t="s">
        <v>2737</v>
      </c>
      <c r="T980" s="574" t="s">
        <v>2738</v>
      </c>
      <c r="U980" s="574" t="s">
        <v>3586</v>
      </c>
      <c r="V980" s="574" t="s">
        <v>2238</v>
      </c>
      <c r="W980" s="574" t="s">
        <v>2239</v>
      </c>
      <c r="X980" s="574" t="s">
        <v>3311</v>
      </c>
      <c r="Y980" s="575" t="s">
        <v>2568</v>
      </c>
      <c r="Z980" s="575" t="s">
        <v>2568</v>
      </c>
      <c r="AA980" s="574" t="s">
        <v>1693</v>
      </c>
      <c r="AB980" s="574" t="s">
        <v>2319</v>
      </c>
      <c r="AC980" s="574" t="s">
        <v>2320</v>
      </c>
      <c r="AD980" s="574" t="s">
        <v>2321</v>
      </c>
      <c r="AE980" s="574" t="s">
        <v>1446</v>
      </c>
      <c r="AF980" s="574" t="s">
        <v>2321</v>
      </c>
      <c r="AG980" s="576">
        <v>141600</v>
      </c>
      <c r="AH980" s="576">
        <v>0</v>
      </c>
    </row>
    <row r="981" spans="1:34" customFormat="1" x14ac:dyDescent="0.25">
      <c r="A981" s="574" t="s">
        <v>2219</v>
      </c>
      <c r="B981" s="574" t="s">
        <v>2220</v>
      </c>
      <c r="C981" s="574" t="s">
        <v>2221</v>
      </c>
      <c r="D981" s="574" t="s">
        <v>2220</v>
      </c>
      <c r="E981" s="574" t="s">
        <v>2222</v>
      </c>
      <c r="F981" s="574" t="s">
        <v>2223</v>
      </c>
      <c r="G981" s="574" t="s">
        <v>2224</v>
      </c>
      <c r="H981" s="574" t="s">
        <v>2225</v>
      </c>
      <c r="I981" s="574" t="s">
        <v>2226</v>
      </c>
      <c r="J981" s="574" t="s">
        <v>2227</v>
      </c>
      <c r="K981" s="574" t="s">
        <v>2228</v>
      </c>
      <c r="L981" s="574" t="s">
        <v>2229</v>
      </c>
      <c r="M981" s="574" t="s">
        <v>2230</v>
      </c>
      <c r="N981" s="574" t="s">
        <v>2231</v>
      </c>
      <c r="O981" s="574" t="s">
        <v>2759</v>
      </c>
      <c r="P981" s="574" t="s">
        <v>2932</v>
      </c>
      <c r="Q981" s="574" t="s">
        <v>2234</v>
      </c>
      <c r="R981" s="574" t="s">
        <v>2225</v>
      </c>
      <c r="S981" s="574" t="s">
        <v>2737</v>
      </c>
      <c r="T981" s="574" t="s">
        <v>2738</v>
      </c>
      <c r="U981" s="574" t="s">
        <v>3587</v>
      </c>
      <c r="V981" s="574" t="s">
        <v>2238</v>
      </c>
      <c r="W981" s="574" t="s">
        <v>2239</v>
      </c>
      <c r="X981" s="574" t="s">
        <v>3332</v>
      </c>
      <c r="Y981" s="575" t="s">
        <v>2568</v>
      </c>
      <c r="Z981" s="575" t="s">
        <v>2568</v>
      </c>
      <c r="AA981" s="574" t="s">
        <v>1693</v>
      </c>
      <c r="AB981" s="574" t="s">
        <v>2319</v>
      </c>
      <c r="AC981" s="574" t="s">
        <v>2320</v>
      </c>
      <c r="AD981" s="574" t="s">
        <v>2321</v>
      </c>
      <c r="AE981" s="574" t="s">
        <v>1446</v>
      </c>
      <c r="AF981" s="574" t="s">
        <v>2321</v>
      </c>
      <c r="AG981" s="576">
        <v>257565.68</v>
      </c>
      <c r="AH981" s="576">
        <v>0</v>
      </c>
    </row>
    <row r="982" spans="1:34" customFormat="1" x14ac:dyDescent="0.25">
      <c r="A982" s="574" t="s">
        <v>2219</v>
      </c>
      <c r="B982" s="574" t="s">
        <v>2220</v>
      </c>
      <c r="C982" s="574" t="s">
        <v>2221</v>
      </c>
      <c r="D982" s="574" t="s">
        <v>2220</v>
      </c>
      <c r="E982" s="574" t="s">
        <v>2222</v>
      </c>
      <c r="F982" s="574" t="s">
        <v>2223</v>
      </c>
      <c r="G982" s="574" t="s">
        <v>2224</v>
      </c>
      <c r="H982" s="574" t="s">
        <v>2225</v>
      </c>
      <c r="I982" s="574" t="s">
        <v>2226</v>
      </c>
      <c r="J982" s="574" t="s">
        <v>2227</v>
      </c>
      <c r="K982" s="574" t="s">
        <v>2228</v>
      </c>
      <c r="L982" s="574" t="s">
        <v>2229</v>
      </c>
      <c r="M982" s="574" t="s">
        <v>2230</v>
      </c>
      <c r="N982" s="574" t="s">
        <v>2231</v>
      </c>
      <c r="O982" s="574" t="s">
        <v>2759</v>
      </c>
      <c r="P982" s="574" t="s">
        <v>2932</v>
      </c>
      <c r="Q982" s="574" t="s">
        <v>2234</v>
      </c>
      <c r="R982" s="574" t="s">
        <v>2225</v>
      </c>
      <c r="S982" s="574" t="s">
        <v>2737</v>
      </c>
      <c r="T982" s="574" t="s">
        <v>2738</v>
      </c>
      <c r="U982" s="574" t="s">
        <v>3588</v>
      </c>
      <c r="V982" s="574" t="s">
        <v>2238</v>
      </c>
      <c r="W982" s="574" t="s">
        <v>2239</v>
      </c>
      <c r="X982" s="574" t="s">
        <v>3297</v>
      </c>
      <c r="Y982" s="575" t="s">
        <v>2568</v>
      </c>
      <c r="Z982" s="575" t="s">
        <v>2568</v>
      </c>
      <c r="AA982" s="574" t="s">
        <v>1693</v>
      </c>
      <c r="AB982" s="574" t="s">
        <v>2319</v>
      </c>
      <c r="AC982" s="574" t="s">
        <v>2962</v>
      </c>
      <c r="AD982" s="574" t="s">
        <v>126</v>
      </c>
      <c r="AE982" s="574" t="s">
        <v>1522</v>
      </c>
      <c r="AF982" s="574" t="s">
        <v>126</v>
      </c>
      <c r="AG982" s="576">
        <v>11894.4</v>
      </c>
      <c r="AH982" s="576">
        <v>0</v>
      </c>
    </row>
    <row r="983" spans="1:34" customFormat="1" x14ac:dyDescent="0.25">
      <c r="A983" s="574" t="s">
        <v>2219</v>
      </c>
      <c r="B983" s="574" t="s">
        <v>2220</v>
      </c>
      <c r="C983" s="574" t="s">
        <v>2221</v>
      </c>
      <c r="D983" s="574" t="s">
        <v>2220</v>
      </c>
      <c r="E983" s="574" t="s">
        <v>2222</v>
      </c>
      <c r="F983" s="574" t="s">
        <v>2223</v>
      </c>
      <c r="G983" s="574" t="s">
        <v>2224</v>
      </c>
      <c r="H983" s="574" t="s">
        <v>2225</v>
      </c>
      <c r="I983" s="574" t="s">
        <v>2226</v>
      </c>
      <c r="J983" s="574" t="s">
        <v>2227</v>
      </c>
      <c r="K983" s="574" t="s">
        <v>2228</v>
      </c>
      <c r="L983" s="574" t="s">
        <v>2229</v>
      </c>
      <c r="M983" s="574" t="s">
        <v>2230</v>
      </c>
      <c r="N983" s="574" t="s">
        <v>2231</v>
      </c>
      <c r="O983" s="574" t="s">
        <v>2759</v>
      </c>
      <c r="P983" s="574" t="s">
        <v>2932</v>
      </c>
      <c r="Q983" s="574" t="s">
        <v>2234</v>
      </c>
      <c r="R983" s="574" t="s">
        <v>2225</v>
      </c>
      <c r="S983" s="574" t="s">
        <v>2737</v>
      </c>
      <c r="T983" s="574" t="s">
        <v>2738</v>
      </c>
      <c r="U983" s="574" t="s">
        <v>3589</v>
      </c>
      <c r="V983" s="574" t="s">
        <v>2238</v>
      </c>
      <c r="W983" s="574" t="s">
        <v>2239</v>
      </c>
      <c r="X983" s="574" t="s">
        <v>3313</v>
      </c>
      <c r="Y983" s="575" t="s">
        <v>2571</v>
      </c>
      <c r="Z983" s="575" t="s">
        <v>2571</v>
      </c>
      <c r="AA983" s="574" t="s">
        <v>1688</v>
      </c>
      <c r="AB983" s="574" t="s">
        <v>2430</v>
      </c>
      <c r="AC983" s="574" t="s">
        <v>2431</v>
      </c>
      <c r="AD983" s="574" t="s">
        <v>99</v>
      </c>
      <c r="AE983" s="574" t="s">
        <v>1531</v>
      </c>
      <c r="AF983" s="574" t="s">
        <v>99</v>
      </c>
      <c r="AG983" s="576">
        <v>193945</v>
      </c>
      <c r="AH983" s="576">
        <v>0</v>
      </c>
    </row>
    <row r="984" spans="1:34" customFormat="1" x14ac:dyDescent="0.25">
      <c r="A984" s="574" t="s">
        <v>2219</v>
      </c>
      <c r="B984" s="574" t="s">
        <v>2220</v>
      </c>
      <c r="C984" s="574" t="s">
        <v>2221</v>
      </c>
      <c r="D984" s="574" t="s">
        <v>2220</v>
      </c>
      <c r="E984" s="574" t="s">
        <v>2222</v>
      </c>
      <c r="F984" s="574" t="s">
        <v>2223</v>
      </c>
      <c r="G984" s="574" t="s">
        <v>2224</v>
      </c>
      <c r="H984" s="574" t="s">
        <v>2225</v>
      </c>
      <c r="I984" s="574" t="s">
        <v>2226</v>
      </c>
      <c r="J984" s="574" t="s">
        <v>2227</v>
      </c>
      <c r="K984" s="574" t="s">
        <v>2228</v>
      </c>
      <c r="L984" s="574" t="s">
        <v>2229</v>
      </c>
      <c r="M984" s="574" t="s">
        <v>2230</v>
      </c>
      <c r="N984" s="574" t="s">
        <v>2231</v>
      </c>
      <c r="O984" s="574" t="s">
        <v>2759</v>
      </c>
      <c r="P984" s="574" t="s">
        <v>2932</v>
      </c>
      <c r="Q984" s="574" t="s">
        <v>2234</v>
      </c>
      <c r="R984" s="574" t="s">
        <v>2225</v>
      </c>
      <c r="S984" s="574" t="s">
        <v>2737</v>
      </c>
      <c r="T984" s="574" t="s">
        <v>2738</v>
      </c>
      <c r="U984" s="574" t="s">
        <v>3590</v>
      </c>
      <c r="V984" s="574" t="s">
        <v>2238</v>
      </c>
      <c r="W984" s="574" t="s">
        <v>2239</v>
      </c>
      <c r="X984" s="574" t="s">
        <v>3299</v>
      </c>
      <c r="Y984" s="575" t="s">
        <v>2680</v>
      </c>
      <c r="Z984" s="575" t="s">
        <v>2680</v>
      </c>
      <c r="AA984" s="574" t="s">
        <v>1686</v>
      </c>
      <c r="AB984" s="574" t="s">
        <v>2965</v>
      </c>
      <c r="AC984" s="574" t="s">
        <v>3300</v>
      </c>
      <c r="AD984" s="574" t="s">
        <v>3301</v>
      </c>
      <c r="AE984" s="574" t="s">
        <v>3302</v>
      </c>
      <c r="AF984" s="574" t="s">
        <v>3303</v>
      </c>
      <c r="AG984" s="576">
        <v>1180000</v>
      </c>
      <c r="AH984" s="576">
        <v>0</v>
      </c>
    </row>
    <row r="985" spans="1:34" customFormat="1" x14ac:dyDescent="0.25">
      <c r="A985" s="574" t="s">
        <v>2219</v>
      </c>
      <c r="B985" s="574" t="s">
        <v>2220</v>
      </c>
      <c r="C985" s="574" t="s">
        <v>2221</v>
      </c>
      <c r="D985" s="574" t="s">
        <v>2220</v>
      </c>
      <c r="E985" s="574" t="s">
        <v>2222</v>
      </c>
      <c r="F985" s="574" t="s">
        <v>2223</v>
      </c>
      <c r="G985" s="574" t="s">
        <v>2224</v>
      </c>
      <c r="H985" s="574" t="s">
        <v>2225</v>
      </c>
      <c r="I985" s="574" t="s">
        <v>2226</v>
      </c>
      <c r="J985" s="574" t="s">
        <v>2227</v>
      </c>
      <c r="K985" s="574" t="s">
        <v>2228</v>
      </c>
      <c r="L985" s="574" t="s">
        <v>2229</v>
      </c>
      <c r="M985" s="574" t="s">
        <v>2230</v>
      </c>
      <c r="N985" s="574" t="s">
        <v>2231</v>
      </c>
      <c r="O985" s="574" t="s">
        <v>2759</v>
      </c>
      <c r="P985" s="574" t="s">
        <v>2932</v>
      </c>
      <c r="Q985" s="574" t="s">
        <v>2234</v>
      </c>
      <c r="R985" s="574" t="s">
        <v>2225</v>
      </c>
      <c r="S985" s="574" t="s">
        <v>2737</v>
      </c>
      <c r="T985" s="574" t="s">
        <v>2738</v>
      </c>
      <c r="U985" s="574" t="s">
        <v>3591</v>
      </c>
      <c r="V985" s="574" t="s">
        <v>2238</v>
      </c>
      <c r="W985" s="574" t="s">
        <v>2239</v>
      </c>
      <c r="X985" s="574" t="s">
        <v>3305</v>
      </c>
      <c r="Y985" s="575" t="s">
        <v>2680</v>
      </c>
      <c r="Z985" s="575" t="s">
        <v>2680</v>
      </c>
      <c r="AA985" s="574" t="s">
        <v>1692</v>
      </c>
      <c r="AB985" s="574" t="s">
        <v>2307</v>
      </c>
      <c r="AC985" s="574" t="s">
        <v>2308</v>
      </c>
      <c r="AD985" s="574" t="s">
        <v>2309</v>
      </c>
      <c r="AE985" s="574" t="s">
        <v>1482</v>
      </c>
      <c r="AF985" s="574" t="s">
        <v>2961</v>
      </c>
      <c r="AG985" s="576">
        <v>15458</v>
      </c>
      <c r="AH985" s="576">
        <v>0</v>
      </c>
    </row>
    <row r="986" spans="1:34" customFormat="1" x14ac:dyDescent="0.25">
      <c r="A986" s="574" t="s">
        <v>2219</v>
      </c>
      <c r="B986" s="574" t="s">
        <v>2220</v>
      </c>
      <c r="C986" s="574" t="s">
        <v>2221</v>
      </c>
      <c r="D986" s="574" t="s">
        <v>2220</v>
      </c>
      <c r="E986" s="574" t="s">
        <v>2222</v>
      </c>
      <c r="F986" s="574" t="s">
        <v>2223</v>
      </c>
      <c r="G986" s="574" t="s">
        <v>2224</v>
      </c>
      <c r="H986" s="574" t="s">
        <v>2225</v>
      </c>
      <c r="I986" s="574" t="s">
        <v>2226</v>
      </c>
      <c r="J986" s="574" t="s">
        <v>2227</v>
      </c>
      <c r="K986" s="574" t="s">
        <v>2228</v>
      </c>
      <c r="L986" s="574" t="s">
        <v>2229</v>
      </c>
      <c r="M986" s="574" t="s">
        <v>2230</v>
      </c>
      <c r="N986" s="574" t="s">
        <v>2231</v>
      </c>
      <c r="O986" s="574" t="s">
        <v>2759</v>
      </c>
      <c r="P986" s="574" t="s">
        <v>2932</v>
      </c>
      <c r="Q986" s="574" t="s">
        <v>2234</v>
      </c>
      <c r="R986" s="574" t="s">
        <v>2225</v>
      </c>
      <c r="S986" s="574" t="s">
        <v>2737</v>
      </c>
      <c r="T986" s="574" t="s">
        <v>2738</v>
      </c>
      <c r="U986" s="574" t="s">
        <v>3591</v>
      </c>
      <c r="V986" s="574" t="s">
        <v>2238</v>
      </c>
      <c r="W986" s="574" t="s">
        <v>2239</v>
      </c>
      <c r="X986" s="574" t="s">
        <v>3305</v>
      </c>
      <c r="Y986" s="575" t="s">
        <v>2680</v>
      </c>
      <c r="Z986" s="575" t="s">
        <v>2680</v>
      </c>
      <c r="AA986" s="574" t="s">
        <v>1693</v>
      </c>
      <c r="AB986" s="574" t="s">
        <v>2319</v>
      </c>
      <c r="AC986" s="574" t="s">
        <v>3306</v>
      </c>
      <c r="AD986" s="574" t="s">
        <v>3307</v>
      </c>
      <c r="AE986" s="574" t="s">
        <v>3308</v>
      </c>
      <c r="AF986" s="574" t="s">
        <v>3309</v>
      </c>
      <c r="AG986" s="576">
        <v>241835.1</v>
      </c>
      <c r="AH986" s="576">
        <v>0</v>
      </c>
    </row>
    <row r="987" spans="1:34" customFormat="1" x14ac:dyDescent="0.25">
      <c r="A987" s="574" t="s">
        <v>2219</v>
      </c>
      <c r="B987" s="574" t="s">
        <v>2220</v>
      </c>
      <c r="C987" s="574" t="s">
        <v>2221</v>
      </c>
      <c r="D987" s="574" t="s">
        <v>2220</v>
      </c>
      <c r="E987" s="574" t="s">
        <v>2222</v>
      </c>
      <c r="F987" s="574" t="s">
        <v>2223</v>
      </c>
      <c r="G987" s="574" t="s">
        <v>2224</v>
      </c>
      <c r="H987" s="574" t="s">
        <v>2225</v>
      </c>
      <c r="I987" s="574" t="s">
        <v>2226</v>
      </c>
      <c r="J987" s="574" t="s">
        <v>2227</v>
      </c>
      <c r="K987" s="574" t="s">
        <v>2228</v>
      </c>
      <c r="L987" s="574" t="s">
        <v>2229</v>
      </c>
      <c r="M987" s="574" t="s">
        <v>2230</v>
      </c>
      <c r="N987" s="574" t="s">
        <v>2231</v>
      </c>
      <c r="O987" s="574" t="s">
        <v>2759</v>
      </c>
      <c r="P987" s="574" t="s">
        <v>2932</v>
      </c>
      <c r="Q987" s="574" t="s">
        <v>2234</v>
      </c>
      <c r="R987" s="574" t="s">
        <v>2225</v>
      </c>
      <c r="S987" s="574" t="s">
        <v>2737</v>
      </c>
      <c r="T987" s="574" t="s">
        <v>2738</v>
      </c>
      <c r="U987" s="574" t="s">
        <v>3592</v>
      </c>
      <c r="V987" s="574" t="s">
        <v>2238</v>
      </c>
      <c r="W987" s="574" t="s">
        <v>2239</v>
      </c>
      <c r="X987" s="574" t="s">
        <v>3333</v>
      </c>
      <c r="Y987" s="575" t="s">
        <v>2680</v>
      </c>
      <c r="Z987" s="575" t="s">
        <v>2680</v>
      </c>
      <c r="AA987" s="574" t="s">
        <v>1693</v>
      </c>
      <c r="AB987" s="574" t="s">
        <v>2319</v>
      </c>
      <c r="AC987" s="574" t="s">
        <v>2402</v>
      </c>
      <c r="AD987" s="574" t="s">
        <v>2403</v>
      </c>
      <c r="AE987" s="574" t="s">
        <v>1486</v>
      </c>
      <c r="AF987" s="574" t="s">
        <v>2403</v>
      </c>
      <c r="AG987" s="576">
        <v>360490</v>
      </c>
      <c r="AH987" s="576">
        <v>0</v>
      </c>
    </row>
    <row r="988" spans="1:34" customFormat="1" x14ac:dyDescent="0.25">
      <c r="A988" s="574" t="s">
        <v>2219</v>
      </c>
      <c r="B988" s="574" t="s">
        <v>2220</v>
      </c>
      <c r="C988" s="574" t="s">
        <v>2221</v>
      </c>
      <c r="D988" s="574" t="s">
        <v>2220</v>
      </c>
      <c r="E988" s="574" t="s">
        <v>2222</v>
      </c>
      <c r="F988" s="574" t="s">
        <v>2223</v>
      </c>
      <c r="G988" s="574" t="s">
        <v>2224</v>
      </c>
      <c r="H988" s="574" t="s">
        <v>2225</v>
      </c>
      <c r="I988" s="574" t="s">
        <v>2226</v>
      </c>
      <c r="J988" s="574" t="s">
        <v>2227</v>
      </c>
      <c r="K988" s="574" t="s">
        <v>2228</v>
      </c>
      <c r="L988" s="574" t="s">
        <v>2229</v>
      </c>
      <c r="M988" s="574" t="s">
        <v>2230</v>
      </c>
      <c r="N988" s="574" t="s">
        <v>2231</v>
      </c>
      <c r="O988" s="574" t="s">
        <v>2759</v>
      </c>
      <c r="P988" s="574" t="s">
        <v>2932</v>
      </c>
      <c r="Q988" s="574" t="s">
        <v>2234</v>
      </c>
      <c r="R988" s="574" t="s">
        <v>2225</v>
      </c>
      <c r="S988" s="574" t="s">
        <v>2737</v>
      </c>
      <c r="T988" s="574" t="s">
        <v>2738</v>
      </c>
      <c r="U988" s="574" t="s">
        <v>3593</v>
      </c>
      <c r="V988" s="574" t="s">
        <v>2238</v>
      </c>
      <c r="W988" s="574" t="s">
        <v>2239</v>
      </c>
      <c r="X988" s="574" t="s">
        <v>3334</v>
      </c>
      <c r="Y988" s="575" t="s">
        <v>2596</v>
      </c>
      <c r="Z988" s="575" t="s">
        <v>2596</v>
      </c>
      <c r="AA988" s="574" t="s">
        <v>1692</v>
      </c>
      <c r="AB988" s="574" t="s">
        <v>2307</v>
      </c>
      <c r="AC988" s="574" t="s">
        <v>2308</v>
      </c>
      <c r="AD988" s="574" t="s">
        <v>2309</v>
      </c>
      <c r="AE988" s="574" t="s">
        <v>1490</v>
      </c>
      <c r="AF988" s="574" t="s">
        <v>176</v>
      </c>
      <c r="AG988" s="576">
        <v>33007</v>
      </c>
      <c r="AH988" s="576">
        <v>0</v>
      </c>
    </row>
    <row r="989" spans="1:34" customFormat="1" x14ac:dyDescent="0.25">
      <c r="A989" s="574" t="s">
        <v>2219</v>
      </c>
      <c r="B989" s="574" t="s">
        <v>2220</v>
      </c>
      <c r="C989" s="574" t="s">
        <v>2221</v>
      </c>
      <c r="D989" s="574" t="s">
        <v>2220</v>
      </c>
      <c r="E989" s="574" t="s">
        <v>2222</v>
      </c>
      <c r="F989" s="574" t="s">
        <v>2223</v>
      </c>
      <c r="G989" s="574" t="s">
        <v>2224</v>
      </c>
      <c r="H989" s="574" t="s">
        <v>2225</v>
      </c>
      <c r="I989" s="574" t="s">
        <v>2226</v>
      </c>
      <c r="J989" s="574" t="s">
        <v>2227</v>
      </c>
      <c r="K989" s="574" t="s">
        <v>2228</v>
      </c>
      <c r="L989" s="574" t="s">
        <v>2229</v>
      </c>
      <c r="M989" s="574" t="s">
        <v>2230</v>
      </c>
      <c r="N989" s="574" t="s">
        <v>2231</v>
      </c>
      <c r="O989" s="574" t="s">
        <v>2759</v>
      </c>
      <c r="P989" s="574" t="s">
        <v>2932</v>
      </c>
      <c r="Q989" s="574" t="s">
        <v>2234</v>
      </c>
      <c r="R989" s="574" t="s">
        <v>2225</v>
      </c>
      <c r="S989" s="574" t="s">
        <v>2737</v>
      </c>
      <c r="T989" s="574" t="s">
        <v>2738</v>
      </c>
      <c r="U989" s="574" t="s">
        <v>3594</v>
      </c>
      <c r="V989" s="574" t="s">
        <v>2238</v>
      </c>
      <c r="W989" s="574" t="s">
        <v>2239</v>
      </c>
      <c r="X989" s="574" t="s">
        <v>3393</v>
      </c>
      <c r="Y989" s="575" t="s">
        <v>2596</v>
      </c>
      <c r="Z989" s="575" t="s">
        <v>2596</v>
      </c>
      <c r="AA989" s="574" t="s">
        <v>1693</v>
      </c>
      <c r="AB989" s="574" t="s">
        <v>2319</v>
      </c>
      <c r="AC989" s="574" t="s">
        <v>2320</v>
      </c>
      <c r="AD989" s="574" t="s">
        <v>2321</v>
      </c>
      <c r="AE989" s="574" t="s">
        <v>1446</v>
      </c>
      <c r="AF989" s="574" t="s">
        <v>2321</v>
      </c>
      <c r="AG989" s="576">
        <v>106200</v>
      </c>
      <c r="AH989" s="576">
        <v>0</v>
      </c>
    </row>
    <row r="990" spans="1:34" customFormat="1" x14ac:dyDescent="0.25">
      <c r="A990" s="574" t="s">
        <v>2219</v>
      </c>
      <c r="B990" s="574" t="s">
        <v>2220</v>
      </c>
      <c r="C990" s="574" t="s">
        <v>2221</v>
      </c>
      <c r="D990" s="574" t="s">
        <v>2220</v>
      </c>
      <c r="E990" s="574" t="s">
        <v>2222</v>
      </c>
      <c r="F990" s="574" t="s">
        <v>2223</v>
      </c>
      <c r="G990" s="574" t="s">
        <v>2224</v>
      </c>
      <c r="H990" s="574" t="s">
        <v>2225</v>
      </c>
      <c r="I990" s="574" t="s">
        <v>2226</v>
      </c>
      <c r="J990" s="574" t="s">
        <v>2227</v>
      </c>
      <c r="K990" s="574" t="s">
        <v>2228</v>
      </c>
      <c r="L990" s="574" t="s">
        <v>2229</v>
      </c>
      <c r="M990" s="574" t="s">
        <v>2230</v>
      </c>
      <c r="N990" s="574" t="s">
        <v>2231</v>
      </c>
      <c r="O990" s="574" t="s">
        <v>2759</v>
      </c>
      <c r="P990" s="574" t="s">
        <v>2932</v>
      </c>
      <c r="Q990" s="574" t="s">
        <v>2234</v>
      </c>
      <c r="R990" s="574" t="s">
        <v>2225</v>
      </c>
      <c r="S990" s="574" t="s">
        <v>2737</v>
      </c>
      <c r="T990" s="574" t="s">
        <v>2738</v>
      </c>
      <c r="U990" s="574" t="s">
        <v>3595</v>
      </c>
      <c r="V990" s="574" t="s">
        <v>2238</v>
      </c>
      <c r="W990" s="574" t="s">
        <v>2239</v>
      </c>
      <c r="X990" s="574" t="s">
        <v>3335</v>
      </c>
      <c r="Y990" s="575" t="s">
        <v>2596</v>
      </c>
      <c r="Z990" s="575" t="s">
        <v>2596</v>
      </c>
      <c r="AA990" s="574" t="s">
        <v>1693</v>
      </c>
      <c r="AB990" s="574" t="s">
        <v>2319</v>
      </c>
      <c r="AC990" s="574" t="s">
        <v>2962</v>
      </c>
      <c r="AD990" s="574" t="s">
        <v>126</v>
      </c>
      <c r="AE990" s="574" t="s">
        <v>1522</v>
      </c>
      <c r="AF990" s="574" t="s">
        <v>126</v>
      </c>
      <c r="AG990" s="576">
        <v>32164.44</v>
      </c>
      <c r="AH990" s="576">
        <v>0</v>
      </c>
    </row>
    <row r="991" spans="1:34" customFormat="1" x14ac:dyDescent="0.25">
      <c r="A991" s="574" t="s">
        <v>2219</v>
      </c>
      <c r="B991" s="574" t="s">
        <v>2220</v>
      </c>
      <c r="C991" s="574" t="s">
        <v>2221</v>
      </c>
      <c r="D991" s="574" t="s">
        <v>2220</v>
      </c>
      <c r="E991" s="574" t="s">
        <v>2222</v>
      </c>
      <c r="F991" s="574" t="s">
        <v>2223</v>
      </c>
      <c r="G991" s="574" t="s">
        <v>2224</v>
      </c>
      <c r="H991" s="574" t="s">
        <v>2225</v>
      </c>
      <c r="I991" s="574" t="s">
        <v>2226</v>
      </c>
      <c r="J991" s="574" t="s">
        <v>2227</v>
      </c>
      <c r="K991" s="574" t="s">
        <v>2228</v>
      </c>
      <c r="L991" s="574" t="s">
        <v>2229</v>
      </c>
      <c r="M991" s="574" t="s">
        <v>2230</v>
      </c>
      <c r="N991" s="574" t="s">
        <v>2231</v>
      </c>
      <c r="O991" s="574" t="s">
        <v>2759</v>
      </c>
      <c r="P991" s="574" t="s">
        <v>2932</v>
      </c>
      <c r="Q991" s="574" t="s">
        <v>2234</v>
      </c>
      <c r="R991" s="574" t="s">
        <v>2225</v>
      </c>
      <c r="S991" s="574" t="s">
        <v>2737</v>
      </c>
      <c r="T991" s="574" t="s">
        <v>2738</v>
      </c>
      <c r="U991" s="574" t="s">
        <v>3596</v>
      </c>
      <c r="V991" s="574" t="s">
        <v>2238</v>
      </c>
      <c r="W991" s="574" t="s">
        <v>2239</v>
      </c>
      <c r="X991" s="574" t="s">
        <v>3336</v>
      </c>
      <c r="Y991" s="575" t="s">
        <v>2596</v>
      </c>
      <c r="Z991" s="575" t="s">
        <v>2596</v>
      </c>
      <c r="AA991" s="574" t="s">
        <v>1693</v>
      </c>
      <c r="AB991" s="574" t="s">
        <v>2319</v>
      </c>
      <c r="AC991" s="574" t="s">
        <v>2320</v>
      </c>
      <c r="AD991" s="574" t="s">
        <v>2321</v>
      </c>
      <c r="AE991" s="574" t="s">
        <v>1446</v>
      </c>
      <c r="AF991" s="574" t="s">
        <v>2321</v>
      </c>
      <c r="AG991" s="576">
        <v>11321.45</v>
      </c>
      <c r="AH991" s="576">
        <v>0</v>
      </c>
    </row>
    <row r="992" spans="1:34" customFormat="1" x14ac:dyDescent="0.25">
      <c r="A992" s="574" t="s">
        <v>2219</v>
      </c>
      <c r="B992" s="574" t="s">
        <v>2220</v>
      </c>
      <c r="C992" s="574" t="s">
        <v>2221</v>
      </c>
      <c r="D992" s="574" t="s">
        <v>2220</v>
      </c>
      <c r="E992" s="574" t="s">
        <v>2222</v>
      </c>
      <c r="F992" s="574" t="s">
        <v>2223</v>
      </c>
      <c r="G992" s="574" t="s">
        <v>2224</v>
      </c>
      <c r="H992" s="574" t="s">
        <v>2225</v>
      </c>
      <c r="I992" s="574" t="s">
        <v>2226</v>
      </c>
      <c r="J992" s="574" t="s">
        <v>2227</v>
      </c>
      <c r="K992" s="574" t="s">
        <v>2228</v>
      </c>
      <c r="L992" s="574" t="s">
        <v>2229</v>
      </c>
      <c r="M992" s="574" t="s">
        <v>2230</v>
      </c>
      <c r="N992" s="574" t="s">
        <v>2231</v>
      </c>
      <c r="O992" s="574" t="s">
        <v>2759</v>
      </c>
      <c r="P992" s="574" t="s">
        <v>2932</v>
      </c>
      <c r="Q992" s="574" t="s">
        <v>2234</v>
      </c>
      <c r="R992" s="574" t="s">
        <v>2225</v>
      </c>
      <c r="S992" s="574" t="s">
        <v>2737</v>
      </c>
      <c r="T992" s="574" t="s">
        <v>2738</v>
      </c>
      <c r="U992" s="574" t="s">
        <v>3597</v>
      </c>
      <c r="V992" s="574" t="s">
        <v>2238</v>
      </c>
      <c r="W992" s="574" t="s">
        <v>2239</v>
      </c>
      <c r="X992" s="574" t="s">
        <v>3337</v>
      </c>
      <c r="Y992" s="575" t="s">
        <v>2596</v>
      </c>
      <c r="Z992" s="575" t="s">
        <v>2596</v>
      </c>
      <c r="AA992" s="574" t="s">
        <v>1692</v>
      </c>
      <c r="AB992" s="574" t="s">
        <v>2307</v>
      </c>
      <c r="AC992" s="574" t="s">
        <v>2308</v>
      </c>
      <c r="AD992" s="574" t="s">
        <v>2309</v>
      </c>
      <c r="AE992" s="574" t="s">
        <v>1490</v>
      </c>
      <c r="AF992" s="574" t="s">
        <v>176</v>
      </c>
      <c r="AG992" s="576">
        <v>43070</v>
      </c>
      <c r="AH992" s="576">
        <v>0</v>
      </c>
    </row>
    <row r="993" spans="1:34" customFormat="1" x14ac:dyDescent="0.25">
      <c r="A993" s="574" t="s">
        <v>2219</v>
      </c>
      <c r="B993" s="574" t="s">
        <v>2220</v>
      </c>
      <c r="C993" s="574" t="s">
        <v>2221</v>
      </c>
      <c r="D993" s="574" t="s">
        <v>2220</v>
      </c>
      <c r="E993" s="574" t="s">
        <v>2222</v>
      </c>
      <c r="F993" s="574" t="s">
        <v>2223</v>
      </c>
      <c r="G993" s="574" t="s">
        <v>2224</v>
      </c>
      <c r="H993" s="574" t="s">
        <v>2225</v>
      </c>
      <c r="I993" s="574" t="s">
        <v>2226</v>
      </c>
      <c r="J993" s="574" t="s">
        <v>2227</v>
      </c>
      <c r="K993" s="574" t="s">
        <v>2228</v>
      </c>
      <c r="L993" s="574" t="s">
        <v>2229</v>
      </c>
      <c r="M993" s="574" t="s">
        <v>2230</v>
      </c>
      <c r="N993" s="574" t="s">
        <v>2231</v>
      </c>
      <c r="O993" s="574" t="s">
        <v>2759</v>
      </c>
      <c r="P993" s="574" t="s">
        <v>2932</v>
      </c>
      <c r="Q993" s="574" t="s">
        <v>2234</v>
      </c>
      <c r="R993" s="574" t="s">
        <v>2225</v>
      </c>
      <c r="S993" s="574" t="s">
        <v>2737</v>
      </c>
      <c r="T993" s="574" t="s">
        <v>2738</v>
      </c>
      <c r="U993" s="574" t="s">
        <v>3598</v>
      </c>
      <c r="V993" s="574" t="s">
        <v>2238</v>
      </c>
      <c r="W993" s="574" t="s">
        <v>2239</v>
      </c>
      <c r="X993" s="574" t="s">
        <v>3338</v>
      </c>
      <c r="Y993" s="575" t="s">
        <v>2596</v>
      </c>
      <c r="Z993" s="575" t="s">
        <v>2596</v>
      </c>
      <c r="AA993" s="574" t="s">
        <v>1691</v>
      </c>
      <c r="AB993" s="574" t="s">
        <v>2297</v>
      </c>
      <c r="AC993" s="574" t="s">
        <v>2298</v>
      </c>
      <c r="AD993" s="574" t="s">
        <v>2299</v>
      </c>
      <c r="AE993" s="574" t="s">
        <v>1468</v>
      </c>
      <c r="AF993" s="574" t="s">
        <v>2299</v>
      </c>
      <c r="AG993" s="576">
        <v>97500</v>
      </c>
      <c r="AH993" s="576">
        <v>0</v>
      </c>
    </row>
    <row r="994" spans="1:34" customFormat="1" x14ac:dyDescent="0.25">
      <c r="A994" s="574" t="s">
        <v>2219</v>
      </c>
      <c r="B994" s="574" t="s">
        <v>2220</v>
      </c>
      <c r="C994" s="574" t="s">
        <v>2221</v>
      </c>
      <c r="D994" s="574" t="s">
        <v>2220</v>
      </c>
      <c r="E994" s="574" t="s">
        <v>2222</v>
      </c>
      <c r="F994" s="574" t="s">
        <v>2223</v>
      </c>
      <c r="G994" s="574" t="s">
        <v>2224</v>
      </c>
      <c r="H994" s="574" t="s">
        <v>2225</v>
      </c>
      <c r="I994" s="574" t="s">
        <v>2226</v>
      </c>
      <c r="J994" s="574" t="s">
        <v>2227</v>
      </c>
      <c r="K994" s="574" t="s">
        <v>2228</v>
      </c>
      <c r="L994" s="574" t="s">
        <v>2229</v>
      </c>
      <c r="M994" s="574" t="s">
        <v>2230</v>
      </c>
      <c r="N994" s="574" t="s">
        <v>2231</v>
      </c>
      <c r="O994" s="574" t="s">
        <v>2759</v>
      </c>
      <c r="P994" s="574" t="s">
        <v>2932</v>
      </c>
      <c r="Q994" s="574" t="s">
        <v>2234</v>
      </c>
      <c r="R994" s="574" t="s">
        <v>2225</v>
      </c>
      <c r="S994" s="574" t="s">
        <v>2737</v>
      </c>
      <c r="T994" s="574" t="s">
        <v>2738</v>
      </c>
      <c r="U994" s="574" t="s">
        <v>3599</v>
      </c>
      <c r="V994" s="574" t="s">
        <v>2238</v>
      </c>
      <c r="W994" s="574" t="s">
        <v>2239</v>
      </c>
      <c r="X994" s="574" t="s">
        <v>3339</v>
      </c>
      <c r="Y994" s="575" t="s">
        <v>2596</v>
      </c>
      <c r="Z994" s="575" t="s">
        <v>2596</v>
      </c>
      <c r="AA994" s="574" t="s">
        <v>1693</v>
      </c>
      <c r="AB994" s="574" t="s">
        <v>2319</v>
      </c>
      <c r="AC994" s="574" t="s">
        <v>2402</v>
      </c>
      <c r="AD994" s="574" t="s">
        <v>2403</v>
      </c>
      <c r="AE994" s="574" t="s">
        <v>1486</v>
      </c>
      <c r="AF994" s="574" t="s">
        <v>2403</v>
      </c>
      <c r="AG994" s="576">
        <v>113740.2</v>
      </c>
      <c r="AH994" s="576">
        <v>0</v>
      </c>
    </row>
    <row r="995" spans="1:34" customFormat="1" x14ac:dyDescent="0.25">
      <c r="A995" s="574" t="s">
        <v>2219</v>
      </c>
      <c r="B995" s="574" t="s">
        <v>2220</v>
      </c>
      <c r="C995" s="574" t="s">
        <v>2221</v>
      </c>
      <c r="D995" s="574" t="s">
        <v>2220</v>
      </c>
      <c r="E995" s="574" t="s">
        <v>2222</v>
      </c>
      <c r="F995" s="574" t="s">
        <v>2223</v>
      </c>
      <c r="G995" s="574" t="s">
        <v>2224</v>
      </c>
      <c r="H995" s="574" t="s">
        <v>2225</v>
      </c>
      <c r="I995" s="574" t="s">
        <v>2226</v>
      </c>
      <c r="J995" s="574" t="s">
        <v>2227</v>
      </c>
      <c r="K995" s="574" t="s">
        <v>2228</v>
      </c>
      <c r="L995" s="574" t="s">
        <v>2229</v>
      </c>
      <c r="M995" s="574" t="s">
        <v>2230</v>
      </c>
      <c r="N995" s="574" t="s">
        <v>2231</v>
      </c>
      <c r="O995" s="574" t="s">
        <v>2759</v>
      </c>
      <c r="P995" s="574" t="s">
        <v>2932</v>
      </c>
      <c r="Q995" s="574" t="s">
        <v>2234</v>
      </c>
      <c r="R995" s="574" t="s">
        <v>2225</v>
      </c>
      <c r="S995" s="574" t="s">
        <v>2737</v>
      </c>
      <c r="T995" s="574" t="s">
        <v>2738</v>
      </c>
      <c r="U995" s="574" t="s">
        <v>3600</v>
      </c>
      <c r="V995" s="574" t="s">
        <v>2238</v>
      </c>
      <c r="W995" s="574" t="s">
        <v>2239</v>
      </c>
      <c r="X995" s="574" t="s">
        <v>3340</v>
      </c>
      <c r="Y995" s="575" t="s">
        <v>2596</v>
      </c>
      <c r="Z995" s="575" t="s">
        <v>2596</v>
      </c>
      <c r="AA995" s="574" t="s">
        <v>1687</v>
      </c>
      <c r="AB995" s="574" t="s">
        <v>3341</v>
      </c>
      <c r="AC995" s="574" t="s">
        <v>3342</v>
      </c>
      <c r="AD995" s="574" t="s">
        <v>3343</v>
      </c>
      <c r="AE995" s="574" t="s">
        <v>3344</v>
      </c>
      <c r="AF995" s="574" t="s">
        <v>3343</v>
      </c>
      <c r="AG995" s="576">
        <v>36439.699999999997</v>
      </c>
      <c r="AH995" s="576">
        <v>0</v>
      </c>
    </row>
    <row r="996" spans="1:34" customFormat="1" x14ac:dyDescent="0.25">
      <c r="A996" s="574" t="s">
        <v>2219</v>
      </c>
      <c r="B996" s="574" t="s">
        <v>2220</v>
      </c>
      <c r="C996" s="574" t="s">
        <v>2221</v>
      </c>
      <c r="D996" s="574" t="s">
        <v>2220</v>
      </c>
      <c r="E996" s="574" t="s">
        <v>2222</v>
      </c>
      <c r="F996" s="574" t="s">
        <v>2223</v>
      </c>
      <c r="G996" s="574" t="s">
        <v>2224</v>
      </c>
      <c r="H996" s="574" t="s">
        <v>2225</v>
      </c>
      <c r="I996" s="574" t="s">
        <v>2226</v>
      </c>
      <c r="J996" s="574" t="s">
        <v>2227</v>
      </c>
      <c r="K996" s="574" t="s">
        <v>2228</v>
      </c>
      <c r="L996" s="574" t="s">
        <v>2229</v>
      </c>
      <c r="M996" s="574" t="s">
        <v>2230</v>
      </c>
      <c r="N996" s="574" t="s">
        <v>2231</v>
      </c>
      <c r="O996" s="574" t="s">
        <v>2759</v>
      </c>
      <c r="P996" s="574" t="s">
        <v>2932</v>
      </c>
      <c r="Q996" s="574" t="s">
        <v>2234</v>
      </c>
      <c r="R996" s="574" t="s">
        <v>2225</v>
      </c>
      <c r="S996" s="574" t="s">
        <v>2737</v>
      </c>
      <c r="T996" s="574" t="s">
        <v>2738</v>
      </c>
      <c r="U996" s="574" t="s">
        <v>3601</v>
      </c>
      <c r="V996" s="574" t="s">
        <v>2238</v>
      </c>
      <c r="W996" s="574" t="s">
        <v>2239</v>
      </c>
      <c r="X996" s="574" t="s">
        <v>3345</v>
      </c>
      <c r="Y996" s="575" t="s">
        <v>2596</v>
      </c>
      <c r="Z996" s="575" t="s">
        <v>2596</v>
      </c>
      <c r="AA996" s="574" t="s">
        <v>1692</v>
      </c>
      <c r="AB996" s="574" t="s">
        <v>2307</v>
      </c>
      <c r="AC996" s="574" t="s">
        <v>2308</v>
      </c>
      <c r="AD996" s="574" t="s">
        <v>2309</v>
      </c>
      <c r="AE996" s="574" t="s">
        <v>1482</v>
      </c>
      <c r="AF996" s="574" t="s">
        <v>2961</v>
      </c>
      <c r="AG996" s="576">
        <v>42300</v>
      </c>
      <c r="AH996" s="576">
        <v>0</v>
      </c>
    </row>
    <row r="997" spans="1:34" customFormat="1" x14ac:dyDescent="0.25">
      <c r="A997" s="574" t="s">
        <v>2219</v>
      </c>
      <c r="B997" s="574" t="s">
        <v>2220</v>
      </c>
      <c r="C997" s="574" t="s">
        <v>2221</v>
      </c>
      <c r="D997" s="574" t="s">
        <v>2220</v>
      </c>
      <c r="E997" s="574" t="s">
        <v>2222</v>
      </c>
      <c r="F997" s="574" t="s">
        <v>2223</v>
      </c>
      <c r="G997" s="574" t="s">
        <v>2224</v>
      </c>
      <c r="H997" s="574" t="s">
        <v>2225</v>
      </c>
      <c r="I997" s="574" t="s">
        <v>2226</v>
      </c>
      <c r="J997" s="574" t="s">
        <v>2227</v>
      </c>
      <c r="K997" s="574" t="s">
        <v>2228</v>
      </c>
      <c r="L997" s="574" t="s">
        <v>2229</v>
      </c>
      <c r="M997" s="574" t="s">
        <v>2230</v>
      </c>
      <c r="N997" s="574" t="s">
        <v>2231</v>
      </c>
      <c r="O997" s="574" t="s">
        <v>2759</v>
      </c>
      <c r="P997" s="574" t="s">
        <v>2932</v>
      </c>
      <c r="Q997" s="574" t="s">
        <v>2234</v>
      </c>
      <c r="R997" s="574" t="s">
        <v>2225</v>
      </c>
      <c r="S997" s="574" t="s">
        <v>2737</v>
      </c>
      <c r="T997" s="574" t="s">
        <v>2738</v>
      </c>
      <c r="U997" s="574" t="s">
        <v>3601</v>
      </c>
      <c r="V997" s="574" t="s">
        <v>2238</v>
      </c>
      <c r="W997" s="574" t="s">
        <v>2239</v>
      </c>
      <c r="X997" s="574" t="s">
        <v>3345</v>
      </c>
      <c r="Y997" s="575" t="s">
        <v>2596</v>
      </c>
      <c r="Z997" s="575" t="s">
        <v>2596</v>
      </c>
      <c r="AA997" s="574" t="s">
        <v>1693</v>
      </c>
      <c r="AB997" s="574" t="s">
        <v>2319</v>
      </c>
      <c r="AC997" s="574" t="s">
        <v>2320</v>
      </c>
      <c r="AD997" s="574" t="s">
        <v>2321</v>
      </c>
      <c r="AE997" s="574" t="s">
        <v>1446</v>
      </c>
      <c r="AF997" s="574" t="s">
        <v>2321</v>
      </c>
      <c r="AG997" s="576">
        <v>14160</v>
      </c>
      <c r="AH997" s="576">
        <v>0</v>
      </c>
    </row>
    <row r="998" spans="1:34" customFormat="1" x14ac:dyDescent="0.25">
      <c r="A998" s="574" t="s">
        <v>2219</v>
      </c>
      <c r="B998" s="574" t="s">
        <v>2220</v>
      </c>
      <c r="C998" s="574" t="s">
        <v>2221</v>
      </c>
      <c r="D998" s="574" t="s">
        <v>2220</v>
      </c>
      <c r="E998" s="574" t="s">
        <v>2222</v>
      </c>
      <c r="F998" s="574" t="s">
        <v>2223</v>
      </c>
      <c r="G998" s="574" t="s">
        <v>2224</v>
      </c>
      <c r="H998" s="574" t="s">
        <v>2225</v>
      </c>
      <c r="I998" s="574" t="s">
        <v>2226</v>
      </c>
      <c r="J998" s="574" t="s">
        <v>2227</v>
      </c>
      <c r="K998" s="574" t="s">
        <v>2228</v>
      </c>
      <c r="L998" s="574" t="s">
        <v>2229</v>
      </c>
      <c r="M998" s="574" t="s">
        <v>2230</v>
      </c>
      <c r="N998" s="574" t="s">
        <v>2231</v>
      </c>
      <c r="O998" s="574" t="s">
        <v>2759</v>
      </c>
      <c r="P998" s="574" t="s">
        <v>2932</v>
      </c>
      <c r="Q998" s="574" t="s">
        <v>2234</v>
      </c>
      <c r="R998" s="574" t="s">
        <v>2225</v>
      </c>
      <c r="S998" s="574" t="s">
        <v>2737</v>
      </c>
      <c r="T998" s="574" t="s">
        <v>2738</v>
      </c>
      <c r="U998" s="574" t="s">
        <v>3602</v>
      </c>
      <c r="V998" s="574" t="s">
        <v>2238</v>
      </c>
      <c r="W998" s="574" t="s">
        <v>2239</v>
      </c>
      <c r="X998" s="574" t="s">
        <v>3346</v>
      </c>
      <c r="Y998" s="575" t="s">
        <v>2596</v>
      </c>
      <c r="Z998" s="575" t="s">
        <v>2596</v>
      </c>
      <c r="AA998" s="574" t="s">
        <v>1693</v>
      </c>
      <c r="AB998" s="574" t="s">
        <v>2319</v>
      </c>
      <c r="AC998" s="574" t="s">
        <v>2962</v>
      </c>
      <c r="AD998" s="574" t="s">
        <v>126</v>
      </c>
      <c r="AE998" s="574" t="s">
        <v>1522</v>
      </c>
      <c r="AF998" s="574" t="s">
        <v>126</v>
      </c>
      <c r="AG998" s="576">
        <v>129918</v>
      </c>
      <c r="AH998" s="576">
        <v>0</v>
      </c>
    </row>
    <row r="999" spans="1:34" customFormat="1" x14ac:dyDescent="0.25">
      <c r="A999" s="574" t="s">
        <v>2219</v>
      </c>
      <c r="B999" s="574" t="s">
        <v>2220</v>
      </c>
      <c r="C999" s="574" t="s">
        <v>2221</v>
      </c>
      <c r="D999" s="574" t="s">
        <v>2220</v>
      </c>
      <c r="E999" s="574" t="s">
        <v>2222</v>
      </c>
      <c r="F999" s="574" t="s">
        <v>2223</v>
      </c>
      <c r="G999" s="574" t="s">
        <v>2224</v>
      </c>
      <c r="H999" s="574" t="s">
        <v>2225</v>
      </c>
      <c r="I999" s="574" t="s">
        <v>2226</v>
      </c>
      <c r="J999" s="574" t="s">
        <v>2227</v>
      </c>
      <c r="K999" s="574" t="s">
        <v>2228</v>
      </c>
      <c r="L999" s="574" t="s">
        <v>2229</v>
      </c>
      <c r="M999" s="574" t="s">
        <v>2230</v>
      </c>
      <c r="N999" s="574" t="s">
        <v>2231</v>
      </c>
      <c r="O999" s="574" t="s">
        <v>2759</v>
      </c>
      <c r="P999" s="574" t="s">
        <v>2932</v>
      </c>
      <c r="Q999" s="574" t="s">
        <v>2234</v>
      </c>
      <c r="R999" s="574" t="s">
        <v>2225</v>
      </c>
      <c r="S999" s="574" t="s">
        <v>2737</v>
      </c>
      <c r="T999" s="574" t="s">
        <v>2738</v>
      </c>
      <c r="U999" s="574" t="s">
        <v>3603</v>
      </c>
      <c r="V999" s="574" t="s">
        <v>2238</v>
      </c>
      <c r="W999" s="574" t="s">
        <v>2239</v>
      </c>
      <c r="X999" s="574" t="s">
        <v>3347</v>
      </c>
      <c r="Y999" s="575" t="s">
        <v>2596</v>
      </c>
      <c r="Z999" s="575" t="s">
        <v>2596</v>
      </c>
      <c r="AA999" s="574" t="s">
        <v>1693</v>
      </c>
      <c r="AB999" s="574" t="s">
        <v>2319</v>
      </c>
      <c r="AC999" s="574" t="s">
        <v>2320</v>
      </c>
      <c r="AD999" s="574" t="s">
        <v>2321</v>
      </c>
      <c r="AE999" s="574" t="s">
        <v>1446</v>
      </c>
      <c r="AF999" s="574" t="s">
        <v>2321</v>
      </c>
      <c r="AG999" s="576">
        <v>77610.960000000006</v>
      </c>
      <c r="AH999" s="576">
        <v>0</v>
      </c>
    </row>
    <row r="1000" spans="1:34" customFormat="1" x14ac:dyDescent="0.25">
      <c r="A1000" s="574" t="s">
        <v>2219</v>
      </c>
      <c r="B1000" s="574" t="s">
        <v>2220</v>
      </c>
      <c r="C1000" s="574" t="s">
        <v>2221</v>
      </c>
      <c r="D1000" s="574" t="s">
        <v>2220</v>
      </c>
      <c r="E1000" s="574" t="s">
        <v>2222</v>
      </c>
      <c r="F1000" s="574" t="s">
        <v>2223</v>
      </c>
      <c r="G1000" s="574" t="s">
        <v>2224</v>
      </c>
      <c r="H1000" s="574" t="s">
        <v>2225</v>
      </c>
      <c r="I1000" s="574" t="s">
        <v>2226</v>
      </c>
      <c r="J1000" s="574" t="s">
        <v>2227</v>
      </c>
      <c r="K1000" s="574" t="s">
        <v>2228</v>
      </c>
      <c r="L1000" s="574" t="s">
        <v>2229</v>
      </c>
      <c r="M1000" s="574" t="s">
        <v>2230</v>
      </c>
      <c r="N1000" s="574" t="s">
        <v>2231</v>
      </c>
      <c r="O1000" s="574" t="s">
        <v>2759</v>
      </c>
      <c r="P1000" s="574" t="s">
        <v>2932</v>
      </c>
      <c r="Q1000" s="574" t="s">
        <v>2234</v>
      </c>
      <c r="R1000" s="574" t="s">
        <v>2225</v>
      </c>
      <c r="S1000" s="574" t="s">
        <v>2737</v>
      </c>
      <c r="T1000" s="574" t="s">
        <v>2738</v>
      </c>
      <c r="U1000" s="574" t="s">
        <v>3604</v>
      </c>
      <c r="V1000" s="574" t="s">
        <v>2238</v>
      </c>
      <c r="W1000" s="574" t="s">
        <v>2239</v>
      </c>
      <c r="X1000" s="574" t="s">
        <v>3348</v>
      </c>
      <c r="Y1000" s="575" t="s">
        <v>2596</v>
      </c>
      <c r="Z1000" s="575" t="s">
        <v>2596</v>
      </c>
      <c r="AA1000" s="574" t="s">
        <v>1686</v>
      </c>
      <c r="AB1000" s="574" t="s">
        <v>2965</v>
      </c>
      <c r="AC1000" s="574" t="s">
        <v>2966</v>
      </c>
      <c r="AD1000" s="574" t="s">
        <v>2967</v>
      </c>
      <c r="AE1000" s="574" t="s">
        <v>3000</v>
      </c>
      <c r="AF1000" s="574" t="s">
        <v>3001</v>
      </c>
      <c r="AG1000" s="576">
        <v>33630</v>
      </c>
      <c r="AH1000" s="576">
        <v>0</v>
      </c>
    </row>
    <row r="1001" spans="1:34" customFormat="1" x14ac:dyDescent="0.25">
      <c r="A1001" s="574" t="s">
        <v>2219</v>
      </c>
      <c r="B1001" s="574" t="s">
        <v>2220</v>
      </c>
      <c r="C1001" s="574" t="s">
        <v>2221</v>
      </c>
      <c r="D1001" s="574" t="s">
        <v>2220</v>
      </c>
      <c r="E1001" s="574" t="s">
        <v>2222</v>
      </c>
      <c r="F1001" s="574" t="s">
        <v>2223</v>
      </c>
      <c r="G1001" s="574" t="s">
        <v>2224</v>
      </c>
      <c r="H1001" s="574" t="s">
        <v>2225</v>
      </c>
      <c r="I1001" s="574" t="s">
        <v>2226</v>
      </c>
      <c r="J1001" s="574" t="s">
        <v>2227</v>
      </c>
      <c r="K1001" s="574" t="s">
        <v>2228</v>
      </c>
      <c r="L1001" s="574" t="s">
        <v>2229</v>
      </c>
      <c r="M1001" s="574" t="s">
        <v>2230</v>
      </c>
      <c r="N1001" s="574" t="s">
        <v>2231</v>
      </c>
      <c r="O1001" s="574" t="s">
        <v>2759</v>
      </c>
      <c r="P1001" s="574" t="s">
        <v>2932</v>
      </c>
      <c r="Q1001" s="574" t="s">
        <v>2234</v>
      </c>
      <c r="R1001" s="574" t="s">
        <v>2225</v>
      </c>
      <c r="S1001" s="574" t="s">
        <v>2737</v>
      </c>
      <c r="T1001" s="574" t="s">
        <v>2738</v>
      </c>
      <c r="U1001" s="574" t="s">
        <v>3605</v>
      </c>
      <c r="V1001" s="574" t="s">
        <v>2238</v>
      </c>
      <c r="W1001" s="574" t="s">
        <v>2239</v>
      </c>
      <c r="X1001" s="574" t="s">
        <v>3349</v>
      </c>
      <c r="Y1001" s="575" t="s">
        <v>2596</v>
      </c>
      <c r="Z1001" s="575" t="s">
        <v>2596</v>
      </c>
      <c r="AA1001" s="574" t="s">
        <v>1693</v>
      </c>
      <c r="AB1001" s="574" t="s">
        <v>2319</v>
      </c>
      <c r="AC1001" s="574" t="s">
        <v>2320</v>
      </c>
      <c r="AD1001" s="574" t="s">
        <v>2321</v>
      </c>
      <c r="AE1001" s="574" t="s">
        <v>1446</v>
      </c>
      <c r="AF1001" s="574" t="s">
        <v>2321</v>
      </c>
      <c r="AG1001" s="576">
        <v>202960</v>
      </c>
      <c r="AH1001" s="576">
        <v>0</v>
      </c>
    </row>
    <row r="1002" spans="1:34" customFormat="1" x14ac:dyDescent="0.25">
      <c r="A1002" s="574" t="s">
        <v>2219</v>
      </c>
      <c r="B1002" s="574" t="s">
        <v>2220</v>
      </c>
      <c r="C1002" s="574" t="s">
        <v>2221</v>
      </c>
      <c r="D1002" s="574" t="s">
        <v>2220</v>
      </c>
      <c r="E1002" s="574" t="s">
        <v>2222</v>
      </c>
      <c r="F1002" s="574" t="s">
        <v>2223</v>
      </c>
      <c r="G1002" s="574" t="s">
        <v>2224</v>
      </c>
      <c r="H1002" s="574" t="s">
        <v>2225</v>
      </c>
      <c r="I1002" s="574" t="s">
        <v>2226</v>
      </c>
      <c r="J1002" s="574" t="s">
        <v>2227</v>
      </c>
      <c r="K1002" s="574" t="s">
        <v>2228</v>
      </c>
      <c r="L1002" s="574" t="s">
        <v>2229</v>
      </c>
      <c r="M1002" s="574" t="s">
        <v>2230</v>
      </c>
      <c r="N1002" s="574" t="s">
        <v>2231</v>
      </c>
      <c r="O1002" s="574" t="s">
        <v>2759</v>
      </c>
      <c r="P1002" s="574" t="s">
        <v>2932</v>
      </c>
      <c r="Q1002" s="574" t="s">
        <v>2234</v>
      </c>
      <c r="R1002" s="574" t="s">
        <v>2225</v>
      </c>
      <c r="S1002" s="574" t="s">
        <v>2737</v>
      </c>
      <c r="T1002" s="574" t="s">
        <v>2738</v>
      </c>
      <c r="U1002" s="574" t="s">
        <v>3606</v>
      </c>
      <c r="V1002" s="574" t="s">
        <v>2238</v>
      </c>
      <c r="W1002" s="574" t="s">
        <v>2239</v>
      </c>
      <c r="X1002" s="574" t="s">
        <v>3350</v>
      </c>
      <c r="Y1002" s="575" t="s">
        <v>2596</v>
      </c>
      <c r="Z1002" s="575" t="s">
        <v>2596</v>
      </c>
      <c r="AA1002" s="574" t="s">
        <v>1693</v>
      </c>
      <c r="AB1002" s="574" t="s">
        <v>2319</v>
      </c>
      <c r="AC1002" s="574" t="s">
        <v>2320</v>
      </c>
      <c r="AD1002" s="574" t="s">
        <v>2321</v>
      </c>
      <c r="AE1002" s="574" t="s">
        <v>1446</v>
      </c>
      <c r="AF1002" s="574" t="s">
        <v>2321</v>
      </c>
      <c r="AG1002" s="576">
        <v>36550.5</v>
      </c>
      <c r="AH1002" s="576">
        <v>0</v>
      </c>
    </row>
    <row r="1003" spans="1:34" customFormat="1" x14ac:dyDescent="0.25">
      <c r="A1003" s="574" t="s">
        <v>2219</v>
      </c>
      <c r="B1003" s="574" t="s">
        <v>2220</v>
      </c>
      <c r="C1003" s="574" t="s">
        <v>2221</v>
      </c>
      <c r="D1003" s="574" t="s">
        <v>2220</v>
      </c>
      <c r="E1003" s="574" t="s">
        <v>2222</v>
      </c>
      <c r="F1003" s="574" t="s">
        <v>2223</v>
      </c>
      <c r="G1003" s="574" t="s">
        <v>2224</v>
      </c>
      <c r="H1003" s="574" t="s">
        <v>2225</v>
      </c>
      <c r="I1003" s="574" t="s">
        <v>2226</v>
      </c>
      <c r="J1003" s="574" t="s">
        <v>2227</v>
      </c>
      <c r="K1003" s="574" t="s">
        <v>2228</v>
      </c>
      <c r="L1003" s="574" t="s">
        <v>2229</v>
      </c>
      <c r="M1003" s="574" t="s">
        <v>2230</v>
      </c>
      <c r="N1003" s="574" t="s">
        <v>2231</v>
      </c>
      <c r="O1003" s="574" t="s">
        <v>2759</v>
      </c>
      <c r="P1003" s="574" t="s">
        <v>2932</v>
      </c>
      <c r="Q1003" s="574" t="s">
        <v>2234</v>
      </c>
      <c r="R1003" s="574" t="s">
        <v>2225</v>
      </c>
      <c r="S1003" s="574" t="s">
        <v>2737</v>
      </c>
      <c r="T1003" s="574" t="s">
        <v>2738</v>
      </c>
      <c r="U1003" s="574" t="s">
        <v>3607</v>
      </c>
      <c r="V1003" s="574" t="s">
        <v>2238</v>
      </c>
      <c r="W1003" s="574" t="s">
        <v>2239</v>
      </c>
      <c r="X1003" s="574" t="s">
        <v>3351</v>
      </c>
      <c r="Y1003" s="575" t="s">
        <v>2596</v>
      </c>
      <c r="Z1003" s="575" t="s">
        <v>2596</v>
      </c>
      <c r="AA1003" s="574" t="s">
        <v>1693</v>
      </c>
      <c r="AB1003" s="574" t="s">
        <v>2319</v>
      </c>
      <c r="AC1003" s="574" t="s">
        <v>2320</v>
      </c>
      <c r="AD1003" s="574" t="s">
        <v>2321</v>
      </c>
      <c r="AE1003" s="574" t="s">
        <v>1446</v>
      </c>
      <c r="AF1003" s="574" t="s">
        <v>2321</v>
      </c>
      <c r="AG1003" s="576">
        <v>202960</v>
      </c>
      <c r="AH1003" s="576">
        <v>0</v>
      </c>
    </row>
    <row r="1004" spans="1:34" customFormat="1" x14ac:dyDescent="0.25">
      <c r="A1004" s="574" t="s">
        <v>2219</v>
      </c>
      <c r="B1004" s="574" t="s">
        <v>2220</v>
      </c>
      <c r="C1004" s="574" t="s">
        <v>2221</v>
      </c>
      <c r="D1004" s="574" t="s">
        <v>2220</v>
      </c>
      <c r="E1004" s="574" t="s">
        <v>2222</v>
      </c>
      <c r="F1004" s="574" t="s">
        <v>2223</v>
      </c>
      <c r="G1004" s="574" t="s">
        <v>2224</v>
      </c>
      <c r="H1004" s="574" t="s">
        <v>2225</v>
      </c>
      <c r="I1004" s="574" t="s">
        <v>2226</v>
      </c>
      <c r="J1004" s="574" t="s">
        <v>2227</v>
      </c>
      <c r="K1004" s="574" t="s">
        <v>2228</v>
      </c>
      <c r="L1004" s="574" t="s">
        <v>2229</v>
      </c>
      <c r="M1004" s="574" t="s">
        <v>2230</v>
      </c>
      <c r="N1004" s="574" t="s">
        <v>2231</v>
      </c>
      <c r="O1004" s="574" t="s">
        <v>2759</v>
      </c>
      <c r="P1004" s="574" t="s">
        <v>2932</v>
      </c>
      <c r="Q1004" s="574" t="s">
        <v>2234</v>
      </c>
      <c r="R1004" s="574" t="s">
        <v>2225</v>
      </c>
      <c r="S1004" s="574" t="s">
        <v>2737</v>
      </c>
      <c r="T1004" s="574" t="s">
        <v>2738</v>
      </c>
      <c r="U1004" s="574" t="s">
        <v>3608</v>
      </c>
      <c r="V1004" s="574" t="s">
        <v>2238</v>
      </c>
      <c r="W1004" s="574" t="s">
        <v>2239</v>
      </c>
      <c r="X1004" s="574" t="s">
        <v>3352</v>
      </c>
      <c r="Y1004" s="575" t="s">
        <v>2599</v>
      </c>
      <c r="Z1004" s="575" t="s">
        <v>2599</v>
      </c>
      <c r="AA1004" s="574" t="s">
        <v>1693</v>
      </c>
      <c r="AB1004" s="574" t="s">
        <v>2319</v>
      </c>
      <c r="AC1004" s="574" t="s">
        <v>2962</v>
      </c>
      <c r="AD1004" s="574" t="s">
        <v>126</v>
      </c>
      <c r="AE1004" s="574" t="s">
        <v>1522</v>
      </c>
      <c r="AF1004" s="574" t="s">
        <v>126</v>
      </c>
      <c r="AG1004" s="576">
        <v>48246.66</v>
      </c>
      <c r="AH1004" s="576">
        <v>0</v>
      </c>
    </row>
    <row r="1005" spans="1:34" customFormat="1" x14ac:dyDescent="0.25">
      <c r="A1005" s="574" t="s">
        <v>2219</v>
      </c>
      <c r="B1005" s="574" t="s">
        <v>2220</v>
      </c>
      <c r="C1005" s="574" t="s">
        <v>2221</v>
      </c>
      <c r="D1005" s="574" t="s">
        <v>2220</v>
      </c>
      <c r="E1005" s="574" t="s">
        <v>2222</v>
      </c>
      <c r="F1005" s="574" t="s">
        <v>2223</v>
      </c>
      <c r="G1005" s="574" t="s">
        <v>2224</v>
      </c>
      <c r="H1005" s="574" t="s">
        <v>2225</v>
      </c>
      <c r="I1005" s="574" t="s">
        <v>2226</v>
      </c>
      <c r="J1005" s="574" t="s">
        <v>2227</v>
      </c>
      <c r="K1005" s="574" t="s">
        <v>2228</v>
      </c>
      <c r="L1005" s="574" t="s">
        <v>2229</v>
      </c>
      <c r="M1005" s="574" t="s">
        <v>2230</v>
      </c>
      <c r="N1005" s="574" t="s">
        <v>2231</v>
      </c>
      <c r="O1005" s="574" t="s">
        <v>2759</v>
      </c>
      <c r="P1005" s="574" t="s">
        <v>2932</v>
      </c>
      <c r="Q1005" s="574" t="s">
        <v>2234</v>
      </c>
      <c r="R1005" s="574" t="s">
        <v>2225</v>
      </c>
      <c r="S1005" s="574" t="s">
        <v>2737</v>
      </c>
      <c r="T1005" s="574" t="s">
        <v>2738</v>
      </c>
      <c r="U1005" s="574" t="s">
        <v>3609</v>
      </c>
      <c r="V1005" s="574" t="s">
        <v>2238</v>
      </c>
      <c r="W1005" s="574" t="s">
        <v>2239</v>
      </c>
      <c r="X1005" s="574" t="s">
        <v>3353</v>
      </c>
      <c r="Y1005" s="575" t="s">
        <v>2599</v>
      </c>
      <c r="Z1005" s="575" t="s">
        <v>2599</v>
      </c>
      <c r="AA1005" s="574" t="s">
        <v>1693</v>
      </c>
      <c r="AB1005" s="574" t="s">
        <v>2319</v>
      </c>
      <c r="AC1005" s="574" t="s">
        <v>2320</v>
      </c>
      <c r="AD1005" s="574" t="s">
        <v>2321</v>
      </c>
      <c r="AE1005" s="574" t="s">
        <v>1446</v>
      </c>
      <c r="AF1005" s="574" t="s">
        <v>2321</v>
      </c>
      <c r="AG1005" s="576">
        <v>46964</v>
      </c>
      <c r="AH1005" s="576">
        <v>0</v>
      </c>
    </row>
    <row r="1006" spans="1:34" customFormat="1" x14ac:dyDescent="0.25">
      <c r="A1006" s="574" t="s">
        <v>2219</v>
      </c>
      <c r="B1006" s="574" t="s">
        <v>2220</v>
      </c>
      <c r="C1006" s="574" t="s">
        <v>2221</v>
      </c>
      <c r="D1006" s="574" t="s">
        <v>2220</v>
      </c>
      <c r="E1006" s="574" t="s">
        <v>2222</v>
      </c>
      <c r="F1006" s="574" t="s">
        <v>2223</v>
      </c>
      <c r="G1006" s="574" t="s">
        <v>2224</v>
      </c>
      <c r="H1006" s="574" t="s">
        <v>2225</v>
      </c>
      <c r="I1006" s="574" t="s">
        <v>2226</v>
      </c>
      <c r="J1006" s="574" t="s">
        <v>2227</v>
      </c>
      <c r="K1006" s="574" t="s">
        <v>2228</v>
      </c>
      <c r="L1006" s="574" t="s">
        <v>2229</v>
      </c>
      <c r="M1006" s="574" t="s">
        <v>2230</v>
      </c>
      <c r="N1006" s="574" t="s">
        <v>2231</v>
      </c>
      <c r="O1006" s="574" t="s">
        <v>2759</v>
      </c>
      <c r="P1006" s="574" t="s">
        <v>2932</v>
      </c>
      <c r="Q1006" s="574" t="s">
        <v>2234</v>
      </c>
      <c r="R1006" s="574" t="s">
        <v>2225</v>
      </c>
      <c r="S1006" s="574" t="s">
        <v>2737</v>
      </c>
      <c r="T1006" s="574" t="s">
        <v>2738</v>
      </c>
      <c r="U1006" s="574" t="s">
        <v>3610</v>
      </c>
      <c r="V1006" s="574" t="s">
        <v>2238</v>
      </c>
      <c r="W1006" s="574" t="s">
        <v>2239</v>
      </c>
      <c r="X1006" s="574" t="s">
        <v>3354</v>
      </c>
      <c r="Y1006" s="575" t="s">
        <v>2599</v>
      </c>
      <c r="Z1006" s="575" t="s">
        <v>2599</v>
      </c>
      <c r="AA1006" s="574" t="s">
        <v>1693</v>
      </c>
      <c r="AB1006" s="574" t="s">
        <v>2319</v>
      </c>
      <c r="AC1006" s="574" t="s">
        <v>2320</v>
      </c>
      <c r="AD1006" s="574" t="s">
        <v>2321</v>
      </c>
      <c r="AE1006" s="574" t="s">
        <v>1446</v>
      </c>
      <c r="AF1006" s="574" t="s">
        <v>2321</v>
      </c>
      <c r="AG1006" s="576">
        <v>90000</v>
      </c>
      <c r="AH1006" s="576">
        <v>0</v>
      </c>
    </row>
    <row r="1007" spans="1:34" customFormat="1" x14ac:dyDescent="0.25">
      <c r="A1007" s="574" t="s">
        <v>2219</v>
      </c>
      <c r="B1007" s="574" t="s">
        <v>2220</v>
      </c>
      <c r="C1007" s="574" t="s">
        <v>2221</v>
      </c>
      <c r="D1007" s="574" t="s">
        <v>2220</v>
      </c>
      <c r="E1007" s="574" t="s">
        <v>2222</v>
      </c>
      <c r="F1007" s="574" t="s">
        <v>2223</v>
      </c>
      <c r="G1007" s="574" t="s">
        <v>2224</v>
      </c>
      <c r="H1007" s="574" t="s">
        <v>2225</v>
      </c>
      <c r="I1007" s="574" t="s">
        <v>2226</v>
      </c>
      <c r="J1007" s="574" t="s">
        <v>2227</v>
      </c>
      <c r="K1007" s="574" t="s">
        <v>2228</v>
      </c>
      <c r="L1007" s="574" t="s">
        <v>2229</v>
      </c>
      <c r="M1007" s="574" t="s">
        <v>2230</v>
      </c>
      <c r="N1007" s="574" t="s">
        <v>2231</v>
      </c>
      <c r="O1007" s="574" t="s">
        <v>2759</v>
      </c>
      <c r="P1007" s="574" t="s">
        <v>2932</v>
      </c>
      <c r="Q1007" s="574" t="s">
        <v>2234</v>
      </c>
      <c r="R1007" s="574" t="s">
        <v>2225</v>
      </c>
      <c r="S1007" s="574" t="s">
        <v>2737</v>
      </c>
      <c r="T1007" s="574" t="s">
        <v>2738</v>
      </c>
      <c r="U1007" s="574" t="s">
        <v>3611</v>
      </c>
      <c r="V1007" s="574" t="s">
        <v>2238</v>
      </c>
      <c r="W1007" s="574" t="s">
        <v>2239</v>
      </c>
      <c r="X1007" s="574" t="s">
        <v>3355</v>
      </c>
      <c r="Y1007" s="575" t="s">
        <v>2634</v>
      </c>
      <c r="Z1007" s="575" t="s">
        <v>2634</v>
      </c>
      <c r="AA1007" s="574" t="s">
        <v>1692</v>
      </c>
      <c r="AB1007" s="574" t="s">
        <v>2307</v>
      </c>
      <c r="AC1007" s="574" t="s">
        <v>2308</v>
      </c>
      <c r="AD1007" s="574" t="s">
        <v>2309</v>
      </c>
      <c r="AE1007" s="574" t="s">
        <v>1490</v>
      </c>
      <c r="AF1007" s="574" t="s">
        <v>176</v>
      </c>
      <c r="AG1007" s="576">
        <v>225000</v>
      </c>
      <c r="AH1007" s="576">
        <v>0</v>
      </c>
    </row>
    <row r="1008" spans="1:34" customFormat="1" x14ac:dyDescent="0.25">
      <c r="A1008" s="574" t="s">
        <v>2219</v>
      </c>
      <c r="B1008" s="574" t="s">
        <v>2220</v>
      </c>
      <c r="C1008" s="574" t="s">
        <v>2221</v>
      </c>
      <c r="D1008" s="574" t="s">
        <v>2220</v>
      </c>
      <c r="E1008" s="574" t="s">
        <v>2222</v>
      </c>
      <c r="F1008" s="574" t="s">
        <v>2223</v>
      </c>
      <c r="G1008" s="574" t="s">
        <v>2224</v>
      </c>
      <c r="H1008" s="574" t="s">
        <v>2225</v>
      </c>
      <c r="I1008" s="574" t="s">
        <v>2226</v>
      </c>
      <c r="J1008" s="574" t="s">
        <v>2227</v>
      </c>
      <c r="K1008" s="574" t="s">
        <v>2228</v>
      </c>
      <c r="L1008" s="574" t="s">
        <v>2229</v>
      </c>
      <c r="M1008" s="574" t="s">
        <v>2230</v>
      </c>
      <c r="N1008" s="574" t="s">
        <v>2231</v>
      </c>
      <c r="O1008" s="574" t="s">
        <v>2759</v>
      </c>
      <c r="P1008" s="574" t="s">
        <v>2932</v>
      </c>
      <c r="Q1008" s="574" t="s">
        <v>2234</v>
      </c>
      <c r="R1008" s="574" t="s">
        <v>2225</v>
      </c>
      <c r="S1008" s="574" t="s">
        <v>2737</v>
      </c>
      <c r="T1008" s="574" t="s">
        <v>2738</v>
      </c>
      <c r="U1008" s="574" t="s">
        <v>3612</v>
      </c>
      <c r="V1008" s="574" t="s">
        <v>2238</v>
      </c>
      <c r="W1008" s="574" t="s">
        <v>2239</v>
      </c>
      <c r="X1008" s="574" t="s">
        <v>3356</v>
      </c>
      <c r="Y1008" s="575" t="s">
        <v>2634</v>
      </c>
      <c r="Z1008" s="575" t="s">
        <v>2634</v>
      </c>
      <c r="AA1008" s="574" t="s">
        <v>1691</v>
      </c>
      <c r="AB1008" s="574" t="s">
        <v>2297</v>
      </c>
      <c r="AC1008" s="574" t="s">
        <v>2298</v>
      </c>
      <c r="AD1008" s="574" t="s">
        <v>2299</v>
      </c>
      <c r="AE1008" s="574" t="s">
        <v>1468</v>
      </c>
      <c r="AF1008" s="574" t="s">
        <v>2299</v>
      </c>
      <c r="AG1008" s="576">
        <v>157500</v>
      </c>
      <c r="AH1008" s="576">
        <v>0</v>
      </c>
    </row>
    <row r="1009" spans="1:34" customFormat="1" x14ac:dyDescent="0.25">
      <c r="A1009" s="574" t="s">
        <v>2219</v>
      </c>
      <c r="B1009" s="574" t="s">
        <v>2220</v>
      </c>
      <c r="C1009" s="574" t="s">
        <v>2221</v>
      </c>
      <c r="D1009" s="574" t="s">
        <v>2220</v>
      </c>
      <c r="E1009" s="574" t="s">
        <v>2222</v>
      </c>
      <c r="F1009" s="574" t="s">
        <v>2223</v>
      </c>
      <c r="G1009" s="574" t="s">
        <v>2224</v>
      </c>
      <c r="H1009" s="574" t="s">
        <v>2225</v>
      </c>
      <c r="I1009" s="574" t="s">
        <v>2226</v>
      </c>
      <c r="J1009" s="574" t="s">
        <v>2227</v>
      </c>
      <c r="K1009" s="574" t="s">
        <v>2228</v>
      </c>
      <c r="L1009" s="574" t="s">
        <v>2229</v>
      </c>
      <c r="M1009" s="574" t="s">
        <v>2230</v>
      </c>
      <c r="N1009" s="574" t="s">
        <v>2231</v>
      </c>
      <c r="O1009" s="574" t="s">
        <v>2759</v>
      </c>
      <c r="P1009" s="574" t="s">
        <v>2932</v>
      </c>
      <c r="Q1009" s="574" t="s">
        <v>2234</v>
      </c>
      <c r="R1009" s="574" t="s">
        <v>2225</v>
      </c>
      <c r="S1009" s="574" t="s">
        <v>2737</v>
      </c>
      <c r="T1009" s="574" t="s">
        <v>2738</v>
      </c>
      <c r="U1009" s="574" t="s">
        <v>3613</v>
      </c>
      <c r="V1009" s="574" t="s">
        <v>2238</v>
      </c>
      <c r="W1009" s="574" t="s">
        <v>2239</v>
      </c>
      <c r="X1009" s="574" t="s">
        <v>3357</v>
      </c>
      <c r="Y1009" s="575" t="s">
        <v>2634</v>
      </c>
      <c r="Z1009" s="575" t="s">
        <v>2634</v>
      </c>
      <c r="AA1009" s="574" t="s">
        <v>1691</v>
      </c>
      <c r="AB1009" s="574" t="s">
        <v>2297</v>
      </c>
      <c r="AC1009" s="574" t="s">
        <v>2298</v>
      </c>
      <c r="AD1009" s="574" t="s">
        <v>2299</v>
      </c>
      <c r="AE1009" s="574" t="s">
        <v>1468</v>
      </c>
      <c r="AF1009" s="574" t="s">
        <v>2299</v>
      </c>
      <c r="AG1009" s="576">
        <v>119000</v>
      </c>
      <c r="AH1009" s="576">
        <v>0</v>
      </c>
    </row>
    <row r="1010" spans="1:34" customFormat="1" x14ac:dyDescent="0.25">
      <c r="A1010" s="574" t="s">
        <v>2219</v>
      </c>
      <c r="B1010" s="574" t="s">
        <v>2220</v>
      </c>
      <c r="C1010" s="574" t="s">
        <v>2221</v>
      </c>
      <c r="D1010" s="574" t="s">
        <v>2220</v>
      </c>
      <c r="E1010" s="574" t="s">
        <v>2222</v>
      </c>
      <c r="F1010" s="574" t="s">
        <v>2223</v>
      </c>
      <c r="G1010" s="574" t="s">
        <v>2224</v>
      </c>
      <c r="H1010" s="574" t="s">
        <v>2225</v>
      </c>
      <c r="I1010" s="574" t="s">
        <v>2226</v>
      </c>
      <c r="J1010" s="574" t="s">
        <v>2227</v>
      </c>
      <c r="K1010" s="574" t="s">
        <v>2228</v>
      </c>
      <c r="L1010" s="574" t="s">
        <v>2229</v>
      </c>
      <c r="M1010" s="574" t="s">
        <v>2230</v>
      </c>
      <c r="N1010" s="574" t="s">
        <v>2231</v>
      </c>
      <c r="O1010" s="574" t="s">
        <v>2759</v>
      </c>
      <c r="P1010" s="574" t="s">
        <v>2932</v>
      </c>
      <c r="Q1010" s="574" t="s">
        <v>2234</v>
      </c>
      <c r="R1010" s="574" t="s">
        <v>2225</v>
      </c>
      <c r="S1010" s="574" t="s">
        <v>2737</v>
      </c>
      <c r="T1010" s="574" t="s">
        <v>2738</v>
      </c>
      <c r="U1010" s="574" t="s">
        <v>3614</v>
      </c>
      <c r="V1010" s="574" t="s">
        <v>2238</v>
      </c>
      <c r="W1010" s="574" t="s">
        <v>2239</v>
      </c>
      <c r="X1010" s="574" t="s">
        <v>3358</v>
      </c>
      <c r="Y1010" s="575" t="s">
        <v>2634</v>
      </c>
      <c r="Z1010" s="575" t="s">
        <v>2634</v>
      </c>
      <c r="AA1010" s="574" t="s">
        <v>1692</v>
      </c>
      <c r="AB1010" s="574" t="s">
        <v>2307</v>
      </c>
      <c r="AC1010" s="574" t="s">
        <v>2308</v>
      </c>
      <c r="AD1010" s="574" t="s">
        <v>2309</v>
      </c>
      <c r="AE1010" s="574" t="s">
        <v>1482</v>
      </c>
      <c r="AF1010" s="574" t="s">
        <v>2961</v>
      </c>
      <c r="AG1010" s="576">
        <v>20930.25</v>
      </c>
      <c r="AH1010" s="576">
        <v>0</v>
      </c>
    </row>
    <row r="1011" spans="1:34" customFormat="1" x14ac:dyDescent="0.25">
      <c r="A1011" s="574" t="s">
        <v>2219</v>
      </c>
      <c r="B1011" s="574" t="s">
        <v>2220</v>
      </c>
      <c r="C1011" s="574" t="s">
        <v>2221</v>
      </c>
      <c r="D1011" s="574" t="s">
        <v>2220</v>
      </c>
      <c r="E1011" s="574" t="s">
        <v>2222</v>
      </c>
      <c r="F1011" s="574" t="s">
        <v>2223</v>
      </c>
      <c r="G1011" s="574" t="s">
        <v>2224</v>
      </c>
      <c r="H1011" s="574" t="s">
        <v>2225</v>
      </c>
      <c r="I1011" s="574" t="s">
        <v>2226</v>
      </c>
      <c r="J1011" s="574" t="s">
        <v>2227</v>
      </c>
      <c r="K1011" s="574" t="s">
        <v>2228</v>
      </c>
      <c r="L1011" s="574" t="s">
        <v>2229</v>
      </c>
      <c r="M1011" s="574" t="s">
        <v>2230</v>
      </c>
      <c r="N1011" s="574" t="s">
        <v>2231</v>
      </c>
      <c r="O1011" s="574" t="s">
        <v>2759</v>
      </c>
      <c r="P1011" s="574" t="s">
        <v>2932</v>
      </c>
      <c r="Q1011" s="574" t="s">
        <v>2234</v>
      </c>
      <c r="R1011" s="574" t="s">
        <v>2225</v>
      </c>
      <c r="S1011" s="574" t="s">
        <v>2737</v>
      </c>
      <c r="T1011" s="574" t="s">
        <v>2738</v>
      </c>
      <c r="U1011" s="574" t="s">
        <v>3615</v>
      </c>
      <c r="V1011" s="574" t="s">
        <v>2238</v>
      </c>
      <c r="W1011" s="574" t="s">
        <v>2239</v>
      </c>
      <c r="X1011" s="574" t="s">
        <v>3359</v>
      </c>
      <c r="Y1011" s="575" t="s">
        <v>2634</v>
      </c>
      <c r="Z1011" s="575" t="s">
        <v>2634</v>
      </c>
      <c r="AA1011" s="574" t="s">
        <v>1693</v>
      </c>
      <c r="AB1011" s="574" t="s">
        <v>2319</v>
      </c>
      <c r="AC1011" s="574" t="s">
        <v>2320</v>
      </c>
      <c r="AD1011" s="574" t="s">
        <v>2321</v>
      </c>
      <c r="AE1011" s="574" t="s">
        <v>1446</v>
      </c>
      <c r="AF1011" s="574" t="s">
        <v>2321</v>
      </c>
      <c r="AG1011" s="576">
        <v>165542</v>
      </c>
      <c r="AH1011" s="576">
        <v>0</v>
      </c>
    </row>
    <row r="1012" spans="1:34" customFormat="1" x14ac:dyDescent="0.25">
      <c r="A1012" s="574" t="s">
        <v>2219</v>
      </c>
      <c r="B1012" s="574" t="s">
        <v>2220</v>
      </c>
      <c r="C1012" s="574" t="s">
        <v>2221</v>
      </c>
      <c r="D1012" s="574" t="s">
        <v>2220</v>
      </c>
      <c r="E1012" s="574" t="s">
        <v>2222</v>
      </c>
      <c r="F1012" s="574" t="s">
        <v>2223</v>
      </c>
      <c r="G1012" s="574" t="s">
        <v>2224</v>
      </c>
      <c r="H1012" s="574" t="s">
        <v>2225</v>
      </c>
      <c r="I1012" s="574" t="s">
        <v>2226</v>
      </c>
      <c r="J1012" s="574" t="s">
        <v>2227</v>
      </c>
      <c r="K1012" s="574" t="s">
        <v>2228</v>
      </c>
      <c r="L1012" s="574" t="s">
        <v>2229</v>
      </c>
      <c r="M1012" s="574" t="s">
        <v>2230</v>
      </c>
      <c r="N1012" s="574" t="s">
        <v>2231</v>
      </c>
      <c r="O1012" s="574" t="s">
        <v>2759</v>
      </c>
      <c r="P1012" s="574" t="s">
        <v>2932</v>
      </c>
      <c r="Q1012" s="574" t="s">
        <v>2234</v>
      </c>
      <c r="R1012" s="574" t="s">
        <v>2225</v>
      </c>
      <c r="S1012" s="574" t="s">
        <v>2737</v>
      </c>
      <c r="T1012" s="574" t="s">
        <v>2738</v>
      </c>
      <c r="U1012" s="574" t="s">
        <v>3616</v>
      </c>
      <c r="V1012" s="574" t="s">
        <v>2238</v>
      </c>
      <c r="W1012" s="574" t="s">
        <v>2239</v>
      </c>
      <c r="X1012" s="574" t="s">
        <v>3360</v>
      </c>
      <c r="Y1012" s="575" t="s">
        <v>2634</v>
      </c>
      <c r="Z1012" s="575" t="s">
        <v>2634</v>
      </c>
      <c r="AA1012" s="574" t="s">
        <v>1692</v>
      </c>
      <c r="AB1012" s="574" t="s">
        <v>2307</v>
      </c>
      <c r="AC1012" s="574" t="s">
        <v>2308</v>
      </c>
      <c r="AD1012" s="574" t="s">
        <v>2309</v>
      </c>
      <c r="AE1012" s="574" t="s">
        <v>1490</v>
      </c>
      <c r="AF1012" s="574" t="s">
        <v>176</v>
      </c>
      <c r="AG1012" s="576">
        <v>75651</v>
      </c>
      <c r="AH1012" s="576">
        <v>0</v>
      </c>
    </row>
    <row r="1013" spans="1:34" customFormat="1" x14ac:dyDescent="0.25">
      <c r="A1013" s="574" t="s">
        <v>2219</v>
      </c>
      <c r="B1013" s="574" t="s">
        <v>2220</v>
      </c>
      <c r="C1013" s="574" t="s">
        <v>2221</v>
      </c>
      <c r="D1013" s="574" t="s">
        <v>2220</v>
      </c>
      <c r="E1013" s="574" t="s">
        <v>2222</v>
      </c>
      <c r="F1013" s="574" t="s">
        <v>2223</v>
      </c>
      <c r="G1013" s="574" t="s">
        <v>2224</v>
      </c>
      <c r="H1013" s="574" t="s">
        <v>2225</v>
      </c>
      <c r="I1013" s="574" t="s">
        <v>2226</v>
      </c>
      <c r="J1013" s="574" t="s">
        <v>2227</v>
      </c>
      <c r="K1013" s="574" t="s">
        <v>2228</v>
      </c>
      <c r="L1013" s="574" t="s">
        <v>2229</v>
      </c>
      <c r="M1013" s="574" t="s">
        <v>2230</v>
      </c>
      <c r="N1013" s="574" t="s">
        <v>2231</v>
      </c>
      <c r="O1013" s="574" t="s">
        <v>2759</v>
      </c>
      <c r="P1013" s="574" t="s">
        <v>2932</v>
      </c>
      <c r="Q1013" s="574" t="s">
        <v>2234</v>
      </c>
      <c r="R1013" s="574" t="s">
        <v>2225</v>
      </c>
      <c r="S1013" s="574" t="s">
        <v>2737</v>
      </c>
      <c r="T1013" s="574" t="s">
        <v>2738</v>
      </c>
      <c r="U1013" s="574" t="s">
        <v>3616</v>
      </c>
      <c r="V1013" s="574" t="s">
        <v>2238</v>
      </c>
      <c r="W1013" s="574" t="s">
        <v>2239</v>
      </c>
      <c r="X1013" s="574" t="s">
        <v>3360</v>
      </c>
      <c r="Y1013" s="575" t="s">
        <v>2634</v>
      </c>
      <c r="Z1013" s="575" t="s">
        <v>2634</v>
      </c>
      <c r="AA1013" s="574" t="s">
        <v>1693</v>
      </c>
      <c r="AB1013" s="574" t="s">
        <v>2319</v>
      </c>
      <c r="AC1013" s="574" t="s">
        <v>2320</v>
      </c>
      <c r="AD1013" s="574" t="s">
        <v>2321</v>
      </c>
      <c r="AE1013" s="574" t="s">
        <v>1446</v>
      </c>
      <c r="AF1013" s="574" t="s">
        <v>2321</v>
      </c>
      <c r="AG1013" s="576">
        <v>8850</v>
      </c>
      <c r="AH1013" s="576">
        <v>0</v>
      </c>
    </row>
    <row r="1014" spans="1:34" customFormat="1" x14ac:dyDescent="0.25">
      <c r="A1014" s="574" t="s">
        <v>2219</v>
      </c>
      <c r="B1014" s="574" t="s">
        <v>2220</v>
      </c>
      <c r="C1014" s="574" t="s">
        <v>2221</v>
      </c>
      <c r="D1014" s="574" t="s">
        <v>2220</v>
      </c>
      <c r="E1014" s="574" t="s">
        <v>2222</v>
      </c>
      <c r="F1014" s="574" t="s">
        <v>2223</v>
      </c>
      <c r="G1014" s="574" t="s">
        <v>2224</v>
      </c>
      <c r="H1014" s="574" t="s">
        <v>2225</v>
      </c>
      <c r="I1014" s="574" t="s">
        <v>2226</v>
      </c>
      <c r="J1014" s="574" t="s">
        <v>2227</v>
      </c>
      <c r="K1014" s="574" t="s">
        <v>2228</v>
      </c>
      <c r="L1014" s="574" t="s">
        <v>2229</v>
      </c>
      <c r="M1014" s="574" t="s">
        <v>2230</v>
      </c>
      <c r="N1014" s="574" t="s">
        <v>2231</v>
      </c>
      <c r="O1014" s="574" t="s">
        <v>2759</v>
      </c>
      <c r="P1014" s="574" t="s">
        <v>2932</v>
      </c>
      <c r="Q1014" s="574" t="s">
        <v>2234</v>
      </c>
      <c r="R1014" s="574" t="s">
        <v>2225</v>
      </c>
      <c r="S1014" s="574" t="s">
        <v>2737</v>
      </c>
      <c r="T1014" s="574" t="s">
        <v>2738</v>
      </c>
      <c r="U1014" s="574" t="s">
        <v>3617</v>
      </c>
      <c r="V1014" s="574" t="s">
        <v>2238</v>
      </c>
      <c r="W1014" s="574" t="s">
        <v>2239</v>
      </c>
      <c r="X1014" s="574" t="s">
        <v>3361</v>
      </c>
      <c r="Y1014" s="575" t="s">
        <v>2634</v>
      </c>
      <c r="Z1014" s="575" t="s">
        <v>2634</v>
      </c>
      <c r="AA1014" s="574" t="s">
        <v>1693</v>
      </c>
      <c r="AB1014" s="574" t="s">
        <v>2319</v>
      </c>
      <c r="AC1014" s="574" t="s">
        <v>3306</v>
      </c>
      <c r="AD1014" s="574" t="s">
        <v>3307</v>
      </c>
      <c r="AE1014" s="574" t="s">
        <v>1474</v>
      </c>
      <c r="AF1014" s="574" t="s">
        <v>3362</v>
      </c>
      <c r="AG1014" s="576">
        <v>10150.01</v>
      </c>
      <c r="AH1014" s="576">
        <v>0</v>
      </c>
    </row>
    <row r="1015" spans="1:34" customFormat="1" x14ac:dyDescent="0.25">
      <c r="A1015" s="574" t="s">
        <v>2219</v>
      </c>
      <c r="B1015" s="574" t="s">
        <v>2220</v>
      </c>
      <c r="C1015" s="574" t="s">
        <v>2221</v>
      </c>
      <c r="D1015" s="574" t="s">
        <v>2220</v>
      </c>
      <c r="E1015" s="574" t="s">
        <v>2222</v>
      </c>
      <c r="F1015" s="574" t="s">
        <v>2223</v>
      </c>
      <c r="G1015" s="574" t="s">
        <v>2224</v>
      </c>
      <c r="H1015" s="574" t="s">
        <v>2225</v>
      </c>
      <c r="I1015" s="574" t="s">
        <v>2226</v>
      </c>
      <c r="J1015" s="574" t="s">
        <v>2227</v>
      </c>
      <c r="K1015" s="574" t="s">
        <v>2228</v>
      </c>
      <c r="L1015" s="574" t="s">
        <v>2229</v>
      </c>
      <c r="M1015" s="574" t="s">
        <v>2230</v>
      </c>
      <c r="N1015" s="574" t="s">
        <v>2231</v>
      </c>
      <c r="O1015" s="574" t="s">
        <v>2759</v>
      </c>
      <c r="P1015" s="574" t="s">
        <v>2932</v>
      </c>
      <c r="Q1015" s="574" t="s">
        <v>2234</v>
      </c>
      <c r="R1015" s="574" t="s">
        <v>2225</v>
      </c>
      <c r="S1015" s="574" t="s">
        <v>2737</v>
      </c>
      <c r="T1015" s="574" t="s">
        <v>2738</v>
      </c>
      <c r="U1015" s="574" t="s">
        <v>3618</v>
      </c>
      <c r="V1015" s="574" t="s">
        <v>2238</v>
      </c>
      <c r="W1015" s="574" t="s">
        <v>2239</v>
      </c>
      <c r="X1015" s="574" t="s">
        <v>3363</v>
      </c>
      <c r="Y1015" s="575" t="s">
        <v>2634</v>
      </c>
      <c r="Z1015" s="575" t="s">
        <v>2634</v>
      </c>
      <c r="AA1015" s="574" t="s">
        <v>1691</v>
      </c>
      <c r="AB1015" s="574" t="s">
        <v>2297</v>
      </c>
      <c r="AC1015" s="574" t="s">
        <v>2298</v>
      </c>
      <c r="AD1015" s="574" t="s">
        <v>2299</v>
      </c>
      <c r="AE1015" s="574" t="s">
        <v>1468</v>
      </c>
      <c r="AF1015" s="574" t="s">
        <v>2299</v>
      </c>
      <c r="AG1015" s="576">
        <v>3120</v>
      </c>
      <c r="AH1015" s="576">
        <v>0</v>
      </c>
    </row>
    <row r="1016" spans="1:34" customFormat="1" x14ac:dyDescent="0.25">
      <c r="A1016" s="574" t="s">
        <v>2219</v>
      </c>
      <c r="B1016" s="574" t="s">
        <v>2220</v>
      </c>
      <c r="C1016" s="574" t="s">
        <v>2221</v>
      </c>
      <c r="D1016" s="574" t="s">
        <v>2220</v>
      </c>
      <c r="E1016" s="574" t="s">
        <v>2222</v>
      </c>
      <c r="F1016" s="574" t="s">
        <v>2223</v>
      </c>
      <c r="G1016" s="574" t="s">
        <v>2224</v>
      </c>
      <c r="H1016" s="574" t="s">
        <v>2225</v>
      </c>
      <c r="I1016" s="574" t="s">
        <v>2226</v>
      </c>
      <c r="J1016" s="574" t="s">
        <v>2227</v>
      </c>
      <c r="K1016" s="574" t="s">
        <v>2228</v>
      </c>
      <c r="L1016" s="574" t="s">
        <v>2229</v>
      </c>
      <c r="M1016" s="574" t="s">
        <v>2230</v>
      </c>
      <c r="N1016" s="574" t="s">
        <v>2231</v>
      </c>
      <c r="O1016" s="574" t="s">
        <v>2759</v>
      </c>
      <c r="P1016" s="574" t="s">
        <v>2932</v>
      </c>
      <c r="Q1016" s="574" t="s">
        <v>2234</v>
      </c>
      <c r="R1016" s="574" t="s">
        <v>2225</v>
      </c>
      <c r="S1016" s="574" t="s">
        <v>2737</v>
      </c>
      <c r="T1016" s="574" t="s">
        <v>2738</v>
      </c>
      <c r="U1016" s="574" t="s">
        <v>3618</v>
      </c>
      <c r="V1016" s="574" t="s">
        <v>2238</v>
      </c>
      <c r="W1016" s="574" t="s">
        <v>2239</v>
      </c>
      <c r="X1016" s="574" t="s">
        <v>3363</v>
      </c>
      <c r="Y1016" s="575" t="s">
        <v>2634</v>
      </c>
      <c r="Z1016" s="575" t="s">
        <v>2634</v>
      </c>
      <c r="AA1016" s="574" t="s">
        <v>1692</v>
      </c>
      <c r="AB1016" s="574" t="s">
        <v>2307</v>
      </c>
      <c r="AC1016" s="574" t="s">
        <v>2308</v>
      </c>
      <c r="AD1016" s="574" t="s">
        <v>2309</v>
      </c>
      <c r="AE1016" s="574" t="s">
        <v>1490</v>
      </c>
      <c r="AF1016" s="574" t="s">
        <v>176</v>
      </c>
      <c r="AG1016" s="576">
        <v>10080</v>
      </c>
      <c r="AH1016" s="576">
        <v>0</v>
      </c>
    </row>
    <row r="1017" spans="1:34" customFormat="1" x14ac:dyDescent="0.25">
      <c r="A1017" s="574" t="s">
        <v>2219</v>
      </c>
      <c r="B1017" s="574" t="s">
        <v>2220</v>
      </c>
      <c r="C1017" s="574" t="s">
        <v>2221</v>
      </c>
      <c r="D1017" s="574" t="s">
        <v>2220</v>
      </c>
      <c r="E1017" s="574" t="s">
        <v>2222</v>
      </c>
      <c r="F1017" s="574" t="s">
        <v>2223</v>
      </c>
      <c r="G1017" s="574" t="s">
        <v>2224</v>
      </c>
      <c r="H1017" s="574" t="s">
        <v>2225</v>
      </c>
      <c r="I1017" s="574" t="s">
        <v>2226</v>
      </c>
      <c r="J1017" s="574" t="s">
        <v>2227</v>
      </c>
      <c r="K1017" s="574" t="s">
        <v>2228</v>
      </c>
      <c r="L1017" s="574" t="s">
        <v>2229</v>
      </c>
      <c r="M1017" s="574" t="s">
        <v>2230</v>
      </c>
      <c r="N1017" s="574" t="s">
        <v>2231</v>
      </c>
      <c r="O1017" s="574" t="s">
        <v>2759</v>
      </c>
      <c r="P1017" s="574" t="s">
        <v>2932</v>
      </c>
      <c r="Q1017" s="574" t="s">
        <v>2234</v>
      </c>
      <c r="R1017" s="574" t="s">
        <v>2225</v>
      </c>
      <c r="S1017" s="574" t="s">
        <v>2737</v>
      </c>
      <c r="T1017" s="574" t="s">
        <v>2738</v>
      </c>
      <c r="U1017" s="574" t="s">
        <v>3618</v>
      </c>
      <c r="V1017" s="574" t="s">
        <v>2238</v>
      </c>
      <c r="W1017" s="574" t="s">
        <v>2239</v>
      </c>
      <c r="X1017" s="574" t="s">
        <v>3363</v>
      </c>
      <c r="Y1017" s="575" t="s">
        <v>2634</v>
      </c>
      <c r="Z1017" s="575" t="s">
        <v>2634</v>
      </c>
      <c r="AA1017" s="574" t="s">
        <v>1692</v>
      </c>
      <c r="AB1017" s="574" t="s">
        <v>2307</v>
      </c>
      <c r="AC1017" s="574" t="s">
        <v>2308</v>
      </c>
      <c r="AD1017" s="574" t="s">
        <v>2309</v>
      </c>
      <c r="AE1017" s="574" t="s">
        <v>1482</v>
      </c>
      <c r="AF1017" s="574" t="s">
        <v>2961</v>
      </c>
      <c r="AG1017" s="576">
        <v>8850</v>
      </c>
      <c r="AH1017" s="576">
        <v>0</v>
      </c>
    </row>
    <row r="1018" spans="1:34" customFormat="1" x14ac:dyDescent="0.25">
      <c r="A1018" s="574" t="s">
        <v>2219</v>
      </c>
      <c r="B1018" s="574" t="s">
        <v>2220</v>
      </c>
      <c r="C1018" s="574" t="s">
        <v>2221</v>
      </c>
      <c r="D1018" s="574" t="s">
        <v>2220</v>
      </c>
      <c r="E1018" s="574" t="s">
        <v>2222</v>
      </c>
      <c r="F1018" s="574" t="s">
        <v>2223</v>
      </c>
      <c r="G1018" s="574" t="s">
        <v>2224</v>
      </c>
      <c r="H1018" s="574" t="s">
        <v>2225</v>
      </c>
      <c r="I1018" s="574" t="s">
        <v>2226</v>
      </c>
      <c r="J1018" s="574" t="s">
        <v>2227</v>
      </c>
      <c r="K1018" s="574" t="s">
        <v>2228</v>
      </c>
      <c r="L1018" s="574" t="s">
        <v>2229</v>
      </c>
      <c r="M1018" s="574" t="s">
        <v>2230</v>
      </c>
      <c r="N1018" s="574" t="s">
        <v>2231</v>
      </c>
      <c r="O1018" s="574" t="s">
        <v>2759</v>
      </c>
      <c r="P1018" s="574" t="s">
        <v>2932</v>
      </c>
      <c r="Q1018" s="574" t="s">
        <v>2234</v>
      </c>
      <c r="R1018" s="574" t="s">
        <v>2225</v>
      </c>
      <c r="S1018" s="574" t="s">
        <v>2737</v>
      </c>
      <c r="T1018" s="574" t="s">
        <v>2738</v>
      </c>
      <c r="U1018" s="574" t="s">
        <v>3619</v>
      </c>
      <c r="V1018" s="574" t="s">
        <v>2238</v>
      </c>
      <c r="W1018" s="574" t="s">
        <v>2239</v>
      </c>
      <c r="X1018" s="574" t="s">
        <v>3364</v>
      </c>
      <c r="Y1018" s="575" t="s">
        <v>2634</v>
      </c>
      <c r="Z1018" s="575" t="s">
        <v>2634</v>
      </c>
      <c r="AA1018" s="574" t="s">
        <v>1692</v>
      </c>
      <c r="AB1018" s="574" t="s">
        <v>2307</v>
      </c>
      <c r="AC1018" s="574" t="s">
        <v>2308</v>
      </c>
      <c r="AD1018" s="574" t="s">
        <v>2309</v>
      </c>
      <c r="AE1018" s="574" t="s">
        <v>1490</v>
      </c>
      <c r="AF1018" s="574" t="s">
        <v>176</v>
      </c>
      <c r="AG1018" s="576">
        <v>1495</v>
      </c>
      <c r="AH1018" s="576">
        <v>0</v>
      </c>
    </row>
    <row r="1019" spans="1:34" customFormat="1" x14ac:dyDescent="0.25">
      <c r="A1019" s="574" t="s">
        <v>2219</v>
      </c>
      <c r="B1019" s="574" t="s">
        <v>2220</v>
      </c>
      <c r="C1019" s="574" t="s">
        <v>2221</v>
      </c>
      <c r="D1019" s="574" t="s">
        <v>2220</v>
      </c>
      <c r="E1019" s="574" t="s">
        <v>2222</v>
      </c>
      <c r="F1019" s="574" t="s">
        <v>2223</v>
      </c>
      <c r="G1019" s="574" t="s">
        <v>2224</v>
      </c>
      <c r="H1019" s="574" t="s">
        <v>2225</v>
      </c>
      <c r="I1019" s="574" t="s">
        <v>2226</v>
      </c>
      <c r="J1019" s="574" t="s">
        <v>2227</v>
      </c>
      <c r="K1019" s="574" t="s">
        <v>2228</v>
      </c>
      <c r="L1019" s="574" t="s">
        <v>2229</v>
      </c>
      <c r="M1019" s="574" t="s">
        <v>2230</v>
      </c>
      <c r="N1019" s="574" t="s">
        <v>2231</v>
      </c>
      <c r="O1019" s="574" t="s">
        <v>2759</v>
      </c>
      <c r="P1019" s="574" t="s">
        <v>2932</v>
      </c>
      <c r="Q1019" s="574" t="s">
        <v>2234</v>
      </c>
      <c r="R1019" s="574" t="s">
        <v>2225</v>
      </c>
      <c r="S1019" s="574" t="s">
        <v>2737</v>
      </c>
      <c r="T1019" s="574" t="s">
        <v>2738</v>
      </c>
      <c r="U1019" s="574" t="s">
        <v>3619</v>
      </c>
      <c r="V1019" s="574" t="s">
        <v>2238</v>
      </c>
      <c r="W1019" s="574" t="s">
        <v>2239</v>
      </c>
      <c r="X1019" s="574" t="s">
        <v>3364</v>
      </c>
      <c r="Y1019" s="575" t="s">
        <v>2634</v>
      </c>
      <c r="Z1019" s="575" t="s">
        <v>2634</v>
      </c>
      <c r="AA1019" s="574" t="s">
        <v>1693</v>
      </c>
      <c r="AB1019" s="574" t="s">
        <v>2319</v>
      </c>
      <c r="AC1019" s="574" t="s">
        <v>2320</v>
      </c>
      <c r="AD1019" s="574" t="s">
        <v>2321</v>
      </c>
      <c r="AE1019" s="574" t="s">
        <v>1446</v>
      </c>
      <c r="AF1019" s="574" t="s">
        <v>2321</v>
      </c>
      <c r="AG1019" s="576">
        <v>29000</v>
      </c>
      <c r="AH1019" s="576">
        <v>0</v>
      </c>
    </row>
    <row r="1020" spans="1:34" customFormat="1" x14ac:dyDescent="0.25">
      <c r="A1020" s="574" t="s">
        <v>2219</v>
      </c>
      <c r="B1020" s="574" t="s">
        <v>2220</v>
      </c>
      <c r="C1020" s="574" t="s">
        <v>2221</v>
      </c>
      <c r="D1020" s="574" t="s">
        <v>2220</v>
      </c>
      <c r="E1020" s="574" t="s">
        <v>2222</v>
      </c>
      <c r="F1020" s="574" t="s">
        <v>2223</v>
      </c>
      <c r="G1020" s="574" t="s">
        <v>2224</v>
      </c>
      <c r="H1020" s="574" t="s">
        <v>2225</v>
      </c>
      <c r="I1020" s="574" t="s">
        <v>2226</v>
      </c>
      <c r="J1020" s="574" t="s">
        <v>2227</v>
      </c>
      <c r="K1020" s="574" t="s">
        <v>2228</v>
      </c>
      <c r="L1020" s="574" t="s">
        <v>2229</v>
      </c>
      <c r="M1020" s="574" t="s">
        <v>2230</v>
      </c>
      <c r="N1020" s="574" t="s">
        <v>2231</v>
      </c>
      <c r="O1020" s="574" t="s">
        <v>2759</v>
      </c>
      <c r="P1020" s="574" t="s">
        <v>2932</v>
      </c>
      <c r="Q1020" s="574" t="s">
        <v>2234</v>
      </c>
      <c r="R1020" s="574" t="s">
        <v>2225</v>
      </c>
      <c r="S1020" s="574" t="s">
        <v>2737</v>
      </c>
      <c r="T1020" s="574" t="s">
        <v>2738</v>
      </c>
      <c r="U1020" s="574" t="s">
        <v>3620</v>
      </c>
      <c r="V1020" s="574" t="s">
        <v>2238</v>
      </c>
      <c r="W1020" s="574" t="s">
        <v>2239</v>
      </c>
      <c r="X1020" s="574" t="s">
        <v>2731</v>
      </c>
      <c r="Y1020" s="575" t="s">
        <v>2634</v>
      </c>
      <c r="Z1020" s="575" t="s">
        <v>2634</v>
      </c>
      <c r="AA1020" s="574" t="s">
        <v>1691</v>
      </c>
      <c r="AB1020" s="574" t="s">
        <v>2297</v>
      </c>
      <c r="AC1020" s="574" t="s">
        <v>2298</v>
      </c>
      <c r="AD1020" s="574" t="s">
        <v>2299</v>
      </c>
      <c r="AE1020" s="574" t="s">
        <v>1468</v>
      </c>
      <c r="AF1020" s="574" t="s">
        <v>2299</v>
      </c>
      <c r="AG1020" s="576">
        <v>250000</v>
      </c>
      <c r="AH1020" s="576">
        <v>0</v>
      </c>
    </row>
    <row r="1021" spans="1:34" customFormat="1" x14ac:dyDescent="0.25">
      <c r="A1021" s="574" t="s">
        <v>2219</v>
      </c>
      <c r="B1021" s="574" t="s">
        <v>2220</v>
      </c>
      <c r="C1021" s="574" t="s">
        <v>2221</v>
      </c>
      <c r="D1021" s="574" t="s">
        <v>2220</v>
      </c>
      <c r="E1021" s="574" t="s">
        <v>2222</v>
      </c>
      <c r="F1021" s="574" t="s">
        <v>2223</v>
      </c>
      <c r="G1021" s="574" t="s">
        <v>2224</v>
      </c>
      <c r="H1021" s="574" t="s">
        <v>2225</v>
      </c>
      <c r="I1021" s="574" t="s">
        <v>2226</v>
      </c>
      <c r="J1021" s="574" t="s">
        <v>2227</v>
      </c>
      <c r="K1021" s="574" t="s">
        <v>2228</v>
      </c>
      <c r="L1021" s="574" t="s">
        <v>2229</v>
      </c>
      <c r="M1021" s="574" t="s">
        <v>2230</v>
      </c>
      <c r="N1021" s="574" t="s">
        <v>2231</v>
      </c>
      <c r="O1021" s="574" t="s">
        <v>2759</v>
      </c>
      <c r="P1021" s="574" t="s">
        <v>2932</v>
      </c>
      <c r="Q1021" s="574" t="s">
        <v>2234</v>
      </c>
      <c r="R1021" s="574" t="s">
        <v>2225</v>
      </c>
      <c r="S1021" s="574" t="s">
        <v>2737</v>
      </c>
      <c r="T1021" s="574" t="s">
        <v>2738</v>
      </c>
      <c r="U1021" s="574" t="s">
        <v>3621</v>
      </c>
      <c r="V1021" s="574" t="s">
        <v>2238</v>
      </c>
      <c r="W1021" s="574" t="s">
        <v>2239</v>
      </c>
      <c r="X1021" s="574" t="s">
        <v>3365</v>
      </c>
      <c r="Y1021" s="575" t="s">
        <v>2634</v>
      </c>
      <c r="Z1021" s="575" t="s">
        <v>2634</v>
      </c>
      <c r="AA1021" s="574" t="s">
        <v>2942</v>
      </c>
      <c r="AB1021" s="574" t="s">
        <v>2943</v>
      </c>
      <c r="AC1021" s="574" t="s">
        <v>2944</v>
      </c>
      <c r="AD1021" s="574" t="s">
        <v>2945</v>
      </c>
      <c r="AE1021" s="574" t="s">
        <v>3366</v>
      </c>
      <c r="AF1021" s="574" t="s">
        <v>3367</v>
      </c>
      <c r="AG1021" s="576">
        <v>35105</v>
      </c>
      <c r="AH1021" s="576">
        <v>0</v>
      </c>
    </row>
    <row r="1022" spans="1:34" customFormat="1" x14ac:dyDescent="0.25">
      <c r="A1022" s="574" t="s">
        <v>2219</v>
      </c>
      <c r="B1022" s="574" t="s">
        <v>2220</v>
      </c>
      <c r="C1022" s="574" t="s">
        <v>2221</v>
      </c>
      <c r="D1022" s="574" t="s">
        <v>2220</v>
      </c>
      <c r="E1022" s="574" t="s">
        <v>2222</v>
      </c>
      <c r="F1022" s="574" t="s">
        <v>2223</v>
      </c>
      <c r="G1022" s="574" t="s">
        <v>2224</v>
      </c>
      <c r="H1022" s="574" t="s">
        <v>2225</v>
      </c>
      <c r="I1022" s="574" t="s">
        <v>2226</v>
      </c>
      <c r="J1022" s="574" t="s">
        <v>2227</v>
      </c>
      <c r="K1022" s="574" t="s">
        <v>2228</v>
      </c>
      <c r="L1022" s="574" t="s">
        <v>2229</v>
      </c>
      <c r="M1022" s="574" t="s">
        <v>2230</v>
      </c>
      <c r="N1022" s="574" t="s">
        <v>2231</v>
      </c>
      <c r="O1022" s="574" t="s">
        <v>2759</v>
      </c>
      <c r="P1022" s="574" t="s">
        <v>2932</v>
      </c>
      <c r="Q1022" s="574" t="s">
        <v>2234</v>
      </c>
      <c r="R1022" s="574" t="s">
        <v>2225</v>
      </c>
      <c r="S1022" s="574" t="s">
        <v>2737</v>
      </c>
      <c r="T1022" s="574" t="s">
        <v>2738</v>
      </c>
      <c r="U1022" s="574" t="s">
        <v>3622</v>
      </c>
      <c r="V1022" s="574" t="s">
        <v>2238</v>
      </c>
      <c r="W1022" s="574" t="s">
        <v>2239</v>
      </c>
      <c r="X1022" s="574" t="s">
        <v>3368</v>
      </c>
      <c r="Y1022" s="575" t="s">
        <v>2634</v>
      </c>
      <c r="Z1022" s="575" t="s">
        <v>2634</v>
      </c>
      <c r="AA1022" s="574" t="s">
        <v>2942</v>
      </c>
      <c r="AB1022" s="574" t="s">
        <v>2943</v>
      </c>
      <c r="AC1022" s="574" t="s">
        <v>3369</v>
      </c>
      <c r="AD1022" s="574" t="s">
        <v>3370</v>
      </c>
      <c r="AE1022" s="574" t="s">
        <v>3371</v>
      </c>
      <c r="AF1022" s="574" t="s">
        <v>3370</v>
      </c>
      <c r="AG1022" s="576">
        <v>220483.05</v>
      </c>
      <c r="AH1022" s="576">
        <v>0</v>
      </c>
    </row>
    <row r="1023" spans="1:34" customFormat="1" x14ac:dyDescent="0.25">
      <c r="A1023" s="574" t="s">
        <v>2219</v>
      </c>
      <c r="B1023" s="574" t="s">
        <v>2220</v>
      </c>
      <c r="C1023" s="574" t="s">
        <v>2221</v>
      </c>
      <c r="D1023" s="574" t="s">
        <v>2220</v>
      </c>
      <c r="E1023" s="574" t="s">
        <v>2222</v>
      </c>
      <c r="F1023" s="574" t="s">
        <v>2223</v>
      </c>
      <c r="G1023" s="574" t="s">
        <v>2224</v>
      </c>
      <c r="H1023" s="574" t="s">
        <v>2225</v>
      </c>
      <c r="I1023" s="574" t="s">
        <v>2226</v>
      </c>
      <c r="J1023" s="574" t="s">
        <v>2227</v>
      </c>
      <c r="K1023" s="574" t="s">
        <v>2228</v>
      </c>
      <c r="L1023" s="574" t="s">
        <v>2229</v>
      </c>
      <c r="M1023" s="574" t="s">
        <v>2230</v>
      </c>
      <c r="N1023" s="574" t="s">
        <v>2231</v>
      </c>
      <c r="O1023" s="574" t="s">
        <v>2759</v>
      </c>
      <c r="P1023" s="574" t="s">
        <v>2932</v>
      </c>
      <c r="Q1023" s="574" t="s">
        <v>2234</v>
      </c>
      <c r="R1023" s="574" t="s">
        <v>2225</v>
      </c>
      <c r="S1023" s="574" t="s">
        <v>2737</v>
      </c>
      <c r="T1023" s="574" t="s">
        <v>2738</v>
      </c>
      <c r="U1023" s="574" t="s">
        <v>3623</v>
      </c>
      <c r="V1023" s="574" t="s">
        <v>2238</v>
      </c>
      <c r="W1023" s="574" t="s">
        <v>2239</v>
      </c>
      <c r="X1023" s="574" t="s">
        <v>3372</v>
      </c>
      <c r="Y1023" s="575" t="s">
        <v>2634</v>
      </c>
      <c r="Z1023" s="575" t="s">
        <v>2634</v>
      </c>
      <c r="AA1023" s="574" t="s">
        <v>1693</v>
      </c>
      <c r="AB1023" s="574" t="s">
        <v>2319</v>
      </c>
      <c r="AC1023" s="574" t="s">
        <v>2320</v>
      </c>
      <c r="AD1023" s="574" t="s">
        <v>2321</v>
      </c>
      <c r="AE1023" s="574" t="s">
        <v>1446</v>
      </c>
      <c r="AF1023" s="574" t="s">
        <v>2321</v>
      </c>
      <c r="AG1023" s="576">
        <v>94400</v>
      </c>
      <c r="AH1023" s="576">
        <v>0</v>
      </c>
    </row>
    <row r="1024" spans="1:34" customFormat="1" x14ac:dyDescent="0.25">
      <c r="A1024" s="574" t="s">
        <v>2219</v>
      </c>
      <c r="B1024" s="574" t="s">
        <v>2220</v>
      </c>
      <c r="C1024" s="574" t="s">
        <v>2221</v>
      </c>
      <c r="D1024" s="574" t="s">
        <v>2220</v>
      </c>
      <c r="E1024" s="574" t="s">
        <v>2222</v>
      </c>
      <c r="F1024" s="574" t="s">
        <v>2223</v>
      </c>
      <c r="G1024" s="574" t="s">
        <v>2224</v>
      </c>
      <c r="H1024" s="574" t="s">
        <v>2225</v>
      </c>
      <c r="I1024" s="574" t="s">
        <v>2226</v>
      </c>
      <c r="J1024" s="574" t="s">
        <v>2227</v>
      </c>
      <c r="K1024" s="574" t="s">
        <v>2228</v>
      </c>
      <c r="L1024" s="574" t="s">
        <v>2229</v>
      </c>
      <c r="M1024" s="574" t="s">
        <v>2230</v>
      </c>
      <c r="N1024" s="574" t="s">
        <v>2231</v>
      </c>
      <c r="O1024" s="574" t="s">
        <v>2759</v>
      </c>
      <c r="P1024" s="574" t="s">
        <v>2932</v>
      </c>
      <c r="Q1024" s="574" t="s">
        <v>2234</v>
      </c>
      <c r="R1024" s="574" t="s">
        <v>2225</v>
      </c>
      <c r="S1024" s="574" t="s">
        <v>2737</v>
      </c>
      <c r="T1024" s="574" t="s">
        <v>2738</v>
      </c>
      <c r="U1024" s="574" t="s">
        <v>3624</v>
      </c>
      <c r="V1024" s="574" t="s">
        <v>2238</v>
      </c>
      <c r="W1024" s="574" t="s">
        <v>2239</v>
      </c>
      <c r="X1024" s="574" t="s">
        <v>3373</v>
      </c>
      <c r="Y1024" s="575" t="s">
        <v>2634</v>
      </c>
      <c r="Z1024" s="575" t="s">
        <v>2634</v>
      </c>
      <c r="AA1024" s="574" t="s">
        <v>1693</v>
      </c>
      <c r="AB1024" s="574" t="s">
        <v>2319</v>
      </c>
      <c r="AC1024" s="574" t="s">
        <v>2320</v>
      </c>
      <c r="AD1024" s="574" t="s">
        <v>2321</v>
      </c>
      <c r="AE1024" s="574" t="s">
        <v>1446</v>
      </c>
      <c r="AF1024" s="574" t="s">
        <v>2321</v>
      </c>
      <c r="AG1024" s="576">
        <v>208270</v>
      </c>
      <c r="AH1024" s="576">
        <v>0</v>
      </c>
    </row>
    <row r="1025" spans="1:34" customFormat="1" x14ac:dyDescent="0.25">
      <c r="A1025" s="574" t="s">
        <v>2219</v>
      </c>
      <c r="B1025" s="574" t="s">
        <v>2220</v>
      </c>
      <c r="C1025" s="574" t="s">
        <v>2221</v>
      </c>
      <c r="D1025" s="574" t="s">
        <v>2220</v>
      </c>
      <c r="E1025" s="574" t="s">
        <v>2222</v>
      </c>
      <c r="F1025" s="574" t="s">
        <v>2223</v>
      </c>
      <c r="G1025" s="574" t="s">
        <v>2224</v>
      </c>
      <c r="H1025" s="574" t="s">
        <v>2225</v>
      </c>
      <c r="I1025" s="574" t="s">
        <v>2226</v>
      </c>
      <c r="J1025" s="574" t="s">
        <v>2227</v>
      </c>
      <c r="K1025" s="574" t="s">
        <v>2228</v>
      </c>
      <c r="L1025" s="574" t="s">
        <v>2229</v>
      </c>
      <c r="M1025" s="574" t="s">
        <v>2230</v>
      </c>
      <c r="N1025" s="574" t="s">
        <v>2231</v>
      </c>
      <c r="O1025" s="574" t="s">
        <v>2759</v>
      </c>
      <c r="P1025" s="574" t="s">
        <v>2932</v>
      </c>
      <c r="Q1025" s="574" t="s">
        <v>2234</v>
      </c>
      <c r="R1025" s="574" t="s">
        <v>2225</v>
      </c>
      <c r="S1025" s="574" t="s">
        <v>2737</v>
      </c>
      <c r="T1025" s="574" t="s">
        <v>2738</v>
      </c>
      <c r="U1025" s="574" t="s">
        <v>3625</v>
      </c>
      <c r="V1025" s="574" t="s">
        <v>2238</v>
      </c>
      <c r="W1025" s="574" t="s">
        <v>2239</v>
      </c>
      <c r="X1025" s="574" t="s">
        <v>3374</v>
      </c>
      <c r="Y1025" s="575" t="s">
        <v>2634</v>
      </c>
      <c r="Z1025" s="575" t="s">
        <v>2634</v>
      </c>
      <c r="AA1025" s="574" t="s">
        <v>1693</v>
      </c>
      <c r="AB1025" s="574" t="s">
        <v>2319</v>
      </c>
      <c r="AC1025" s="574" t="s">
        <v>2320</v>
      </c>
      <c r="AD1025" s="574" t="s">
        <v>2321</v>
      </c>
      <c r="AE1025" s="574" t="s">
        <v>1446</v>
      </c>
      <c r="AF1025" s="574" t="s">
        <v>2321</v>
      </c>
      <c r="AG1025" s="576">
        <v>9027</v>
      </c>
      <c r="AH1025" s="576">
        <v>0</v>
      </c>
    </row>
    <row r="1026" spans="1:34" customFormat="1" x14ac:dyDescent="0.25">
      <c r="A1026" s="574" t="s">
        <v>2219</v>
      </c>
      <c r="B1026" s="574" t="s">
        <v>2220</v>
      </c>
      <c r="C1026" s="574" t="s">
        <v>2221</v>
      </c>
      <c r="D1026" s="574" t="s">
        <v>2220</v>
      </c>
      <c r="E1026" s="574" t="s">
        <v>2222</v>
      </c>
      <c r="F1026" s="574" t="s">
        <v>2223</v>
      </c>
      <c r="G1026" s="574" t="s">
        <v>2224</v>
      </c>
      <c r="H1026" s="574" t="s">
        <v>2225</v>
      </c>
      <c r="I1026" s="574" t="s">
        <v>2226</v>
      </c>
      <c r="J1026" s="574" t="s">
        <v>2227</v>
      </c>
      <c r="K1026" s="574" t="s">
        <v>2228</v>
      </c>
      <c r="L1026" s="574" t="s">
        <v>2229</v>
      </c>
      <c r="M1026" s="574" t="s">
        <v>2230</v>
      </c>
      <c r="N1026" s="574" t="s">
        <v>2231</v>
      </c>
      <c r="O1026" s="574" t="s">
        <v>2759</v>
      </c>
      <c r="P1026" s="574" t="s">
        <v>2932</v>
      </c>
      <c r="Q1026" s="574" t="s">
        <v>2234</v>
      </c>
      <c r="R1026" s="574" t="s">
        <v>2225</v>
      </c>
      <c r="S1026" s="574" t="s">
        <v>2737</v>
      </c>
      <c r="T1026" s="574" t="s">
        <v>2738</v>
      </c>
      <c r="U1026" s="574" t="s">
        <v>3626</v>
      </c>
      <c r="V1026" s="574" t="s">
        <v>2238</v>
      </c>
      <c r="W1026" s="574" t="s">
        <v>2239</v>
      </c>
      <c r="X1026" s="574" t="s">
        <v>3375</v>
      </c>
      <c r="Y1026" s="575" t="s">
        <v>2634</v>
      </c>
      <c r="Z1026" s="575" t="s">
        <v>2634</v>
      </c>
      <c r="AA1026" s="574" t="s">
        <v>1693</v>
      </c>
      <c r="AB1026" s="574" t="s">
        <v>2319</v>
      </c>
      <c r="AC1026" s="574" t="s">
        <v>2320</v>
      </c>
      <c r="AD1026" s="574" t="s">
        <v>2321</v>
      </c>
      <c r="AE1026" s="574" t="s">
        <v>1446</v>
      </c>
      <c r="AF1026" s="574" t="s">
        <v>2321</v>
      </c>
      <c r="AG1026" s="576">
        <v>88500</v>
      </c>
      <c r="AH1026" s="576">
        <v>0</v>
      </c>
    </row>
    <row r="1027" spans="1:34" customFormat="1" x14ac:dyDescent="0.25">
      <c r="A1027" s="574" t="s">
        <v>2219</v>
      </c>
      <c r="B1027" s="574" t="s">
        <v>2220</v>
      </c>
      <c r="C1027" s="574" t="s">
        <v>2221</v>
      </c>
      <c r="D1027" s="574" t="s">
        <v>2220</v>
      </c>
      <c r="E1027" s="574" t="s">
        <v>2222</v>
      </c>
      <c r="F1027" s="574" t="s">
        <v>2223</v>
      </c>
      <c r="G1027" s="574" t="s">
        <v>2224</v>
      </c>
      <c r="H1027" s="574" t="s">
        <v>2225</v>
      </c>
      <c r="I1027" s="574" t="s">
        <v>2226</v>
      </c>
      <c r="J1027" s="574" t="s">
        <v>2227</v>
      </c>
      <c r="K1027" s="574" t="s">
        <v>2228</v>
      </c>
      <c r="L1027" s="574" t="s">
        <v>2229</v>
      </c>
      <c r="M1027" s="574" t="s">
        <v>2230</v>
      </c>
      <c r="N1027" s="574" t="s">
        <v>2231</v>
      </c>
      <c r="O1027" s="574" t="s">
        <v>2759</v>
      </c>
      <c r="P1027" s="574" t="s">
        <v>2932</v>
      </c>
      <c r="Q1027" s="574" t="s">
        <v>2234</v>
      </c>
      <c r="R1027" s="574" t="s">
        <v>2225</v>
      </c>
      <c r="S1027" s="574" t="s">
        <v>2737</v>
      </c>
      <c r="T1027" s="574" t="s">
        <v>2738</v>
      </c>
      <c r="U1027" s="574" t="s">
        <v>3627</v>
      </c>
      <c r="V1027" s="574" t="s">
        <v>2238</v>
      </c>
      <c r="W1027" s="574" t="s">
        <v>2239</v>
      </c>
      <c r="X1027" s="574" t="s">
        <v>3376</v>
      </c>
      <c r="Y1027" s="575" t="s">
        <v>2634</v>
      </c>
      <c r="Z1027" s="575" t="s">
        <v>2634</v>
      </c>
      <c r="AA1027" s="574" t="s">
        <v>1693</v>
      </c>
      <c r="AB1027" s="574" t="s">
        <v>2319</v>
      </c>
      <c r="AC1027" s="574" t="s">
        <v>2320</v>
      </c>
      <c r="AD1027" s="574" t="s">
        <v>2321</v>
      </c>
      <c r="AE1027" s="574" t="s">
        <v>1446</v>
      </c>
      <c r="AF1027" s="574" t="s">
        <v>2321</v>
      </c>
      <c r="AG1027" s="576">
        <v>33630</v>
      </c>
      <c r="AH1027" s="576">
        <v>0</v>
      </c>
    </row>
    <row r="1028" spans="1:34" customFormat="1" x14ac:dyDescent="0.25">
      <c r="A1028" s="574" t="s">
        <v>2219</v>
      </c>
      <c r="B1028" s="574" t="s">
        <v>2220</v>
      </c>
      <c r="C1028" s="574" t="s">
        <v>2221</v>
      </c>
      <c r="D1028" s="574" t="s">
        <v>2220</v>
      </c>
      <c r="E1028" s="574" t="s">
        <v>2222</v>
      </c>
      <c r="F1028" s="574" t="s">
        <v>2223</v>
      </c>
      <c r="G1028" s="574" t="s">
        <v>2224</v>
      </c>
      <c r="H1028" s="574" t="s">
        <v>2225</v>
      </c>
      <c r="I1028" s="574" t="s">
        <v>2226</v>
      </c>
      <c r="J1028" s="574" t="s">
        <v>2227</v>
      </c>
      <c r="K1028" s="574" t="s">
        <v>2228</v>
      </c>
      <c r="L1028" s="574" t="s">
        <v>2229</v>
      </c>
      <c r="M1028" s="574" t="s">
        <v>2230</v>
      </c>
      <c r="N1028" s="574" t="s">
        <v>2231</v>
      </c>
      <c r="O1028" s="574" t="s">
        <v>2759</v>
      </c>
      <c r="P1028" s="574" t="s">
        <v>2932</v>
      </c>
      <c r="Q1028" s="574" t="s">
        <v>2234</v>
      </c>
      <c r="R1028" s="574" t="s">
        <v>2225</v>
      </c>
      <c r="S1028" s="574" t="s">
        <v>2737</v>
      </c>
      <c r="T1028" s="574" t="s">
        <v>2738</v>
      </c>
      <c r="U1028" s="574" t="s">
        <v>3628</v>
      </c>
      <c r="V1028" s="574" t="s">
        <v>2238</v>
      </c>
      <c r="W1028" s="574" t="s">
        <v>2239</v>
      </c>
      <c r="X1028" s="574" t="s">
        <v>3377</v>
      </c>
      <c r="Y1028" s="575" t="s">
        <v>2634</v>
      </c>
      <c r="Z1028" s="575" t="s">
        <v>2634</v>
      </c>
      <c r="AA1028" s="574" t="s">
        <v>1693</v>
      </c>
      <c r="AB1028" s="574" t="s">
        <v>2319</v>
      </c>
      <c r="AC1028" s="574" t="s">
        <v>2320</v>
      </c>
      <c r="AD1028" s="574" t="s">
        <v>2321</v>
      </c>
      <c r="AE1028" s="574" t="s">
        <v>1446</v>
      </c>
      <c r="AF1028" s="574" t="s">
        <v>2321</v>
      </c>
      <c r="AG1028" s="576">
        <v>92040</v>
      </c>
      <c r="AH1028" s="576">
        <v>0</v>
      </c>
    </row>
    <row r="1029" spans="1:34" customFormat="1" x14ac:dyDescent="0.25">
      <c r="A1029" s="574" t="s">
        <v>2219</v>
      </c>
      <c r="B1029" s="574" t="s">
        <v>2220</v>
      </c>
      <c r="C1029" s="574" t="s">
        <v>2221</v>
      </c>
      <c r="D1029" s="574" t="s">
        <v>2220</v>
      </c>
      <c r="E1029" s="574" t="s">
        <v>2222</v>
      </c>
      <c r="F1029" s="574" t="s">
        <v>2223</v>
      </c>
      <c r="G1029" s="574" t="s">
        <v>2224</v>
      </c>
      <c r="H1029" s="574" t="s">
        <v>2225</v>
      </c>
      <c r="I1029" s="574" t="s">
        <v>2226</v>
      </c>
      <c r="J1029" s="574" t="s">
        <v>2227</v>
      </c>
      <c r="K1029" s="574" t="s">
        <v>2228</v>
      </c>
      <c r="L1029" s="574" t="s">
        <v>2229</v>
      </c>
      <c r="M1029" s="574" t="s">
        <v>2230</v>
      </c>
      <c r="N1029" s="574" t="s">
        <v>2231</v>
      </c>
      <c r="O1029" s="574" t="s">
        <v>2759</v>
      </c>
      <c r="P1029" s="574" t="s">
        <v>2932</v>
      </c>
      <c r="Q1029" s="574" t="s">
        <v>2234</v>
      </c>
      <c r="R1029" s="574" t="s">
        <v>2225</v>
      </c>
      <c r="S1029" s="574" t="s">
        <v>2737</v>
      </c>
      <c r="T1029" s="574" t="s">
        <v>2738</v>
      </c>
      <c r="U1029" s="574" t="s">
        <v>3629</v>
      </c>
      <c r="V1029" s="574" t="s">
        <v>2238</v>
      </c>
      <c r="W1029" s="574" t="s">
        <v>2239</v>
      </c>
      <c r="X1029" s="574" t="s">
        <v>3394</v>
      </c>
      <c r="Y1029" s="575" t="s">
        <v>2634</v>
      </c>
      <c r="Z1029" s="575" t="s">
        <v>2634</v>
      </c>
      <c r="AA1029" s="574" t="s">
        <v>1684</v>
      </c>
      <c r="AB1029" s="574" t="s">
        <v>2933</v>
      </c>
      <c r="AC1029" s="574" t="s">
        <v>2934</v>
      </c>
      <c r="AD1029" s="574" t="s">
        <v>137</v>
      </c>
      <c r="AE1029" s="574" t="s">
        <v>1461</v>
      </c>
      <c r="AF1029" s="574" t="s">
        <v>137</v>
      </c>
      <c r="AG1029" s="576">
        <v>74665.210000000006</v>
      </c>
      <c r="AH1029" s="576">
        <v>0</v>
      </c>
    </row>
    <row r="1030" spans="1:34" customFormat="1" x14ac:dyDescent="0.25">
      <c r="A1030" s="574" t="s">
        <v>2219</v>
      </c>
      <c r="B1030" s="574" t="s">
        <v>2220</v>
      </c>
      <c r="C1030" s="574" t="s">
        <v>2221</v>
      </c>
      <c r="D1030" s="574" t="s">
        <v>2220</v>
      </c>
      <c r="E1030" s="574" t="s">
        <v>2222</v>
      </c>
      <c r="F1030" s="574" t="s">
        <v>2223</v>
      </c>
      <c r="G1030" s="574" t="s">
        <v>2224</v>
      </c>
      <c r="H1030" s="574" t="s">
        <v>2225</v>
      </c>
      <c r="I1030" s="574" t="s">
        <v>2226</v>
      </c>
      <c r="J1030" s="574" t="s">
        <v>2227</v>
      </c>
      <c r="K1030" s="574" t="s">
        <v>2228</v>
      </c>
      <c r="L1030" s="574" t="s">
        <v>2229</v>
      </c>
      <c r="M1030" s="574" t="s">
        <v>2230</v>
      </c>
      <c r="N1030" s="574" t="s">
        <v>2231</v>
      </c>
      <c r="O1030" s="574" t="s">
        <v>2759</v>
      </c>
      <c r="P1030" s="574" t="s">
        <v>2932</v>
      </c>
      <c r="Q1030" s="574" t="s">
        <v>2234</v>
      </c>
      <c r="R1030" s="574" t="s">
        <v>2225</v>
      </c>
      <c r="S1030" s="574" t="s">
        <v>2737</v>
      </c>
      <c r="T1030" s="574" t="s">
        <v>2738</v>
      </c>
      <c r="U1030" s="574" t="s">
        <v>3629</v>
      </c>
      <c r="V1030" s="574" t="s">
        <v>2238</v>
      </c>
      <c r="W1030" s="574" t="s">
        <v>2239</v>
      </c>
      <c r="X1030" s="574" t="s">
        <v>3394</v>
      </c>
      <c r="Y1030" s="575" t="s">
        <v>2634</v>
      </c>
      <c r="Z1030" s="575" t="s">
        <v>2634</v>
      </c>
      <c r="AA1030" s="574" t="s">
        <v>1692</v>
      </c>
      <c r="AB1030" s="574" t="s">
        <v>2307</v>
      </c>
      <c r="AC1030" s="574" t="s">
        <v>2308</v>
      </c>
      <c r="AD1030" s="574" t="s">
        <v>2309</v>
      </c>
      <c r="AE1030" s="574" t="s">
        <v>1490</v>
      </c>
      <c r="AF1030" s="574" t="s">
        <v>176</v>
      </c>
      <c r="AG1030" s="576">
        <v>1819970.39</v>
      </c>
      <c r="AH1030" s="576">
        <v>0</v>
      </c>
    </row>
    <row r="1031" spans="1:34" customFormat="1" x14ac:dyDescent="0.25">
      <c r="A1031" s="574" t="s">
        <v>2219</v>
      </c>
      <c r="B1031" s="574" t="s">
        <v>2220</v>
      </c>
      <c r="C1031" s="574" t="s">
        <v>2221</v>
      </c>
      <c r="D1031" s="574" t="s">
        <v>2220</v>
      </c>
      <c r="E1031" s="574" t="s">
        <v>2222</v>
      </c>
      <c r="F1031" s="574" t="s">
        <v>2223</v>
      </c>
      <c r="G1031" s="574" t="s">
        <v>2224</v>
      </c>
      <c r="H1031" s="574" t="s">
        <v>2225</v>
      </c>
      <c r="I1031" s="574" t="s">
        <v>2226</v>
      </c>
      <c r="J1031" s="574" t="s">
        <v>2227</v>
      </c>
      <c r="K1031" s="574" t="s">
        <v>2228</v>
      </c>
      <c r="L1031" s="574" t="s">
        <v>2229</v>
      </c>
      <c r="M1031" s="574" t="s">
        <v>2230</v>
      </c>
      <c r="N1031" s="574" t="s">
        <v>2231</v>
      </c>
      <c r="O1031" s="574" t="s">
        <v>2759</v>
      </c>
      <c r="P1031" s="574" t="s">
        <v>2932</v>
      </c>
      <c r="Q1031" s="574" t="s">
        <v>2234</v>
      </c>
      <c r="R1031" s="574" t="s">
        <v>2225</v>
      </c>
      <c r="S1031" s="574" t="s">
        <v>2737</v>
      </c>
      <c r="T1031" s="574" t="s">
        <v>2738</v>
      </c>
      <c r="U1031" s="574" t="s">
        <v>3630</v>
      </c>
      <c r="V1031" s="574" t="s">
        <v>2238</v>
      </c>
      <c r="W1031" s="574" t="s">
        <v>2239</v>
      </c>
      <c r="X1031" s="574" t="s">
        <v>3395</v>
      </c>
      <c r="Y1031" s="575" t="s">
        <v>3392</v>
      </c>
      <c r="Z1031" s="575" t="s">
        <v>3392</v>
      </c>
      <c r="AA1031" s="574" t="s">
        <v>1691</v>
      </c>
      <c r="AB1031" s="574" t="s">
        <v>2297</v>
      </c>
      <c r="AC1031" s="574" t="s">
        <v>2298</v>
      </c>
      <c r="AD1031" s="574" t="s">
        <v>2299</v>
      </c>
      <c r="AE1031" s="574" t="s">
        <v>1468</v>
      </c>
      <c r="AF1031" s="574" t="s">
        <v>2299</v>
      </c>
      <c r="AG1031" s="576">
        <v>139670</v>
      </c>
      <c r="AH1031" s="576">
        <v>0</v>
      </c>
    </row>
    <row r="1032" spans="1:34" customFormat="1" x14ac:dyDescent="0.25">
      <c r="A1032" s="574" t="s">
        <v>2219</v>
      </c>
      <c r="B1032" s="574" t="s">
        <v>2220</v>
      </c>
      <c r="C1032" s="574" t="s">
        <v>2221</v>
      </c>
      <c r="D1032" s="574" t="s">
        <v>2220</v>
      </c>
      <c r="E1032" s="574" t="s">
        <v>2222</v>
      </c>
      <c r="F1032" s="574" t="s">
        <v>2223</v>
      </c>
      <c r="G1032" s="574" t="s">
        <v>2224</v>
      </c>
      <c r="H1032" s="574" t="s">
        <v>2225</v>
      </c>
      <c r="I1032" s="574" t="s">
        <v>2226</v>
      </c>
      <c r="J1032" s="574" t="s">
        <v>2227</v>
      </c>
      <c r="K1032" s="574" t="s">
        <v>2228</v>
      </c>
      <c r="L1032" s="574" t="s">
        <v>2229</v>
      </c>
      <c r="M1032" s="574" t="s">
        <v>2230</v>
      </c>
      <c r="N1032" s="574" t="s">
        <v>2231</v>
      </c>
      <c r="O1032" s="574" t="s">
        <v>2759</v>
      </c>
      <c r="P1032" s="574" t="s">
        <v>2932</v>
      </c>
      <c r="Q1032" s="574" t="s">
        <v>2234</v>
      </c>
      <c r="R1032" s="574" t="s">
        <v>2225</v>
      </c>
      <c r="S1032" s="574" t="s">
        <v>2737</v>
      </c>
      <c r="T1032" s="574" t="s">
        <v>2738</v>
      </c>
      <c r="U1032" s="574" t="s">
        <v>3631</v>
      </c>
      <c r="V1032" s="574" t="s">
        <v>2238</v>
      </c>
      <c r="W1032" s="574" t="s">
        <v>2239</v>
      </c>
      <c r="X1032" s="574" t="s">
        <v>3396</v>
      </c>
      <c r="Y1032" s="575" t="s">
        <v>3392</v>
      </c>
      <c r="Z1032" s="575" t="s">
        <v>3392</v>
      </c>
      <c r="AA1032" s="574" t="s">
        <v>1692</v>
      </c>
      <c r="AB1032" s="574" t="s">
        <v>2307</v>
      </c>
      <c r="AC1032" s="574" t="s">
        <v>2308</v>
      </c>
      <c r="AD1032" s="574" t="s">
        <v>2309</v>
      </c>
      <c r="AE1032" s="574" t="s">
        <v>1490</v>
      </c>
      <c r="AF1032" s="574" t="s">
        <v>176</v>
      </c>
      <c r="AG1032" s="576">
        <v>76000</v>
      </c>
      <c r="AH1032" s="576">
        <v>0</v>
      </c>
    </row>
    <row r="1033" spans="1:34" customFormat="1" x14ac:dyDescent="0.25">
      <c r="A1033" s="574" t="s">
        <v>2219</v>
      </c>
      <c r="B1033" s="574" t="s">
        <v>2220</v>
      </c>
      <c r="C1033" s="574" t="s">
        <v>2221</v>
      </c>
      <c r="D1033" s="574" t="s">
        <v>2220</v>
      </c>
      <c r="E1033" s="574" t="s">
        <v>2222</v>
      </c>
      <c r="F1033" s="574" t="s">
        <v>2223</v>
      </c>
      <c r="G1033" s="574" t="s">
        <v>2224</v>
      </c>
      <c r="H1033" s="574" t="s">
        <v>2225</v>
      </c>
      <c r="I1033" s="574" t="s">
        <v>2226</v>
      </c>
      <c r="J1033" s="574" t="s">
        <v>2227</v>
      </c>
      <c r="K1033" s="574" t="s">
        <v>2228</v>
      </c>
      <c r="L1033" s="574" t="s">
        <v>2229</v>
      </c>
      <c r="M1033" s="574" t="s">
        <v>2230</v>
      </c>
      <c r="N1033" s="574" t="s">
        <v>2231</v>
      </c>
      <c r="O1033" s="574" t="s">
        <v>2759</v>
      </c>
      <c r="P1033" s="574" t="s">
        <v>2932</v>
      </c>
      <c r="Q1033" s="574" t="s">
        <v>2234</v>
      </c>
      <c r="R1033" s="574" t="s">
        <v>2225</v>
      </c>
      <c r="S1033" s="574" t="s">
        <v>2737</v>
      </c>
      <c r="T1033" s="574" t="s">
        <v>2738</v>
      </c>
      <c r="U1033" s="574" t="s">
        <v>3632</v>
      </c>
      <c r="V1033" s="574" t="s">
        <v>2238</v>
      </c>
      <c r="W1033" s="574" t="s">
        <v>2239</v>
      </c>
      <c r="X1033" s="574" t="s">
        <v>3378</v>
      </c>
      <c r="Y1033" s="575" t="s">
        <v>2683</v>
      </c>
      <c r="Z1033" s="575" t="s">
        <v>2683</v>
      </c>
      <c r="AA1033" s="574" t="s">
        <v>1693</v>
      </c>
      <c r="AB1033" s="574" t="s">
        <v>2319</v>
      </c>
      <c r="AC1033" s="574" t="s">
        <v>2320</v>
      </c>
      <c r="AD1033" s="574" t="s">
        <v>2321</v>
      </c>
      <c r="AE1033" s="574" t="s">
        <v>1446</v>
      </c>
      <c r="AF1033" s="574" t="s">
        <v>2321</v>
      </c>
      <c r="AG1033" s="576">
        <v>238000</v>
      </c>
      <c r="AH1033" s="576">
        <v>0</v>
      </c>
    </row>
    <row r="1034" spans="1:34" customFormat="1" x14ac:dyDescent="0.25">
      <c r="A1034" s="574" t="s">
        <v>2219</v>
      </c>
      <c r="B1034" s="574" t="s">
        <v>2220</v>
      </c>
      <c r="C1034" s="574" t="s">
        <v>2221</v>
      </c>
      <c r="D1034" s="574" t="s">
        <v>2220</v>
      </c>
      <c r="E1034" s="574" t="s">
        <v>2222</v>
      </c>
      <c r="F1034" s="574" t="s">
        <v>2223</v>
      </c>
      <c r="G1034" s="574" t="s">
        <v>2224</v>
      </c>
      <c r="H1034" s="574" t="s">
        <v>2225</v>
      </c>
      <c r="I1034" s="574" t="s">
        <v>2226</v>
      </c>
      <c r="J1034" s="574" t="s">
        <v>2227</v>
      </c>
      <c r="K1034" s="574" t="s">
        <v>2228</v>
      </c>
      <c r="L1034" s="574" t="s">
        <v>2229</v>
      </c>
      <c r="M1034" s="574" t="s">
        <v>2230</v>
      </c>
      <c r="N1034" s="574" t="s">
        <v>2231</v>
      </c>
      <c r="O1034" s="574" t="s">
        <v>2759</v>
      </c>
      <c r="P1034" s="574" t="s">
        <v>2932</v>
      </c>
      <c r="Q1034" s="574" t="s">
        <v>2234</v>
      </c>
      <c r="R1034" s="574" t="s">
        <v>2225</v>
      </c>
      <c r="S1034" s="574" t="s">
        <v>2737</v>
      </c>
      <c r="T1034" s="574" t="s">
        <v>2738</v>
      </c>
      <c r="U1034" s="574" t="s">
        <v>3633</v>
      </c>
      <c r="V1034" s="574" t="s">
        <v>2238</v>
      </c>
      <c r="W1034" s="574" t="s">
        <v>2239</v>
      </c>
      <c r="X1034" s="574" t="s">
        <v>3379</v>
      </c>
      <c r="Y1034" s="575" t="s">
        <v>2683</v>
      </c>
      <c r="Z1034" s="575" t="s">
        <v>2683</v>
      </c>
      <c r="AA1034" s="574" t="s">
        <v>1693</v>
      </c>
      <c r="AB1034" s="574" t="s">
        <v>2319</v>
      </c>
      <c r="AC1034" s="574" t="s">
        <v>2320</v>
      </c>
      <c r="AD1034" s="574" t="s">
        <v>2321</v>
      </c>
      <c r="AE1034" s="574" t="s">
        <v>1446</v>
      </c>
      <c r="AF1034" s="574" t="s">
        <v>2321</v>
      </c>
      <c r="AG1034" s="576">
        <v>93220</v>
      </c>
      <c r="AH1034" s="576">
        <v>0</v>
      </c>
    </row>
    <row r="1035" spans="1:34" customFormat="1" x14ac:dyDescent="0.25">
      <c r="A1035" s="574" t="s">
        <v>2219</v>
      </c>
      <c r="B1035" s="574" t="s">
        <v>2220</v>
      </c>
      <c r="C1035" s="574" t="s">
        <v>2221</v>
      </c>
      <c r="D1035" s="574" t="s">
        <v>2220</v>
      </c>
      <c r="E1035" s="574" t="s">
        <v>2222</v>
      </c>
      <c r="F1035" s="574" t="s">
        <v>2223</v>
      </c>
      <c r="G1035" s="574" t="s">
        <v>2224</v>
      </c>
      <c r="H1035" s="574" t="s">
        <v>2225</v>
      </c>
      <c r="I1035" s="574" t="s">
        <v>2226</v>
      </c>
      <c r="J1035" s="574" t="s">
        <v>2227</v>
      </c>
      <c r="K1035" s="574" t="s">
        <v>2228</v>
      </c>
      <c r="L1035" s="574" t="s">
        <v>2229</v>
      </c>
      <c r="M1035" s="574" t="s">
        <v>2230</v>
      </c>
      <c r="N1035" s="574" t="s">
        <v>2231</v>
      </c>
      <c r="O1035" s="574" t="s">
        <v>2759</v>
      </c>
      <c r="P1035" s="574" t="s">
        <v>2932</v>
      </c>
      <c r="Q1035" s="574" t="s">
        <v>2234</v>
      </c>
      <c r="R1035" s="574" t="s">
        <v>2225</v>
      </c>
      <c r="S1035" s="574" t="s">
        <v>2737</v>
      </c>
      <c r="T1035" s="574" t="s">
        <v>2738</v>
      </c>
      <c r="U1035" s="574" t="s">
        <v>3634</v>
      </c>
      <c r="V1035" s="574" t="s">
        <v>2238</v>
      </c>
      <c r="W1035" s="574" t="s">
        <v>2239</v>
      </c>
      <c r="X1035" s="574" t="s">
        <v>3380</v>
      </c>
      <c r="Y1035" s="575" t="s">
        <v>2683</v>
      </c>
      <c r="Z1035" s="575" t="s">
        <v>2683</v>
      </c>
      <c r="AA1035" s="574" t="s">
        <v>1693</v>
      </c>
      <c r="AB1035" s="574" t="s">
        <v>2319</v>
      </c>
      <c r="AC1035" s="574" t="s">
        <v>2320</v>
      </c>
      <c r="AD1035" s="574" t="s">
        <v>2321</v>
      </c>
      <c r="AE1035" s="574" t="s">
        <v>1446</v>
      </c>
      <c r="AF1035" s="574" t="s">
        <v>2321</v>
      </c>
      <c r="AG1035" s="576">
        <v>188800</v>
      </c>
      <c r="AH1035" s="576">
        <v>0</v>
      </c>
    </row>
    <row r="1036" spans="1:34" customFormat="1" x14ac:dyDescent="0.25">
      <c r="A1036" s="574" t="s">
        <v>2219</v>
      </c>
      <c r="B1036" s="574" t="s">
        <v>2220</v>
      </c>
      <c r="C1036" s="574" t="s">
        <v>2221</v>
      </c>
      <c r="D1036" s="574" t="s">
        <v>2220</v>
      </c>
      <c r="E1036" s="574" t="s">
        <v>2222</v>
      </c>
      <c r="F1036" s="574" t="s">
        <v>2223</v>
      </c>
      <c r="G1036" s="574" t="s">
        <v>2224</v>
      </c>
      <c r="H1036" s="574" t="s">
        <v>2225</v>
      </c>
      <c r="I1036" s="574" t="s">
        <v>2226</v>
      </c>
      <c r="J1036" s="574" t="s">
        <v>2227</v>
      </c>
      <c r="K1036" s="574" t="s">
        <v>2228</v>
      </c>
      <c r="L1036" s="574" t="s">
        <v>2229</v>
      </c>
      <c r="M1036" s="574" t="s">
        <v>2230</v>
      </c>
      <c r="N1036" s="574" t="s">
        <v>2231</v>
      </c>
      <c r="O1036" s="574" t="s">
        <v>2759</v>
      </c>
      <c r="P1036" s="574" t="s">
        <v>2932</v>
      </c>
      <c r="Q1036" s="574" t="s">
        <v>2234</v>
      </c>
      <c r="R1036" s="574" t="s">
        <v>2225</v>
      </c>
      <c r="S1036" s="574" t="s">
        <v>2737</v>
      </c>
      <c r="T1036" s="574" t="s">
        <v>2738</v>
      </c>
      <c r="U1036" s="574" t="s">
        <v>3635</v>
      </c>
      <c r="V1036" s="574" t="s">
        <v>2238</v>
      </c>
      <c r="W1036" s="574" t="s">
        <v>2239</v>
      </c>
      <c r="X1036" s="574" t="s">
        <v>3381</v>
      </c>
      <c r="Y1036" s="575" t="s">
        <v>2683</v>
      </c>
      <c r="Z1036" s="575" t="s">
        <v>2683</v>
      </c>
      <c r="AA1036" s="574" t="s">
        <v>1692</v>
      </c>
      <c r="AB1036" s="574" t="s">
        <v>2307</v>
      </c>
      <c r="AC1036" s="574" t="s">
        <v>2308</v>
      </c>
      <c r="AD1036" s="574" t="s">
        <v>2309</v>
      </c>
      <c r="AE1036" s="574" t="s">
        <v>1490</v>
      </c>
      <c r="AF1036" s="574" t="s">
        <v>176</v>
      </c>
      <c r="AG1036" s="576">
        <v>7600</v>
      </c>
      <c r="AH1036" s="576">
        <v>0</v>
      </c>
    </row>
    <row r="1037" spans="1:34" customFormat="1" x14ac:dyDescent="0.25">
      <c r="A1037" s="574" t="s">
        <v>2219</v>
      </c>
      <c r="B1037" s="574" t="s">
        <v>2220</v>
      </c>
      <c r="C1037" s="574" t="s">
        <v>2221</v>
      </c>
      <c r="D1037" s="574" t="s">
        <v>2220</v>
      </c>
      <c r="E1037" s="574" t="s">
        <v>2222</v>
      </c>
      <c r="F1037" s="574" t="s">
        <v>2223</v>
      </c>
      <c r="G1037" s="574" t="s">
        <v>2224</v>
      </c>
      <c r="H1037" s="574" t="s">
        <v>2225</v>
      </c>
      <c r="I1037" s="574" t="s">
        <v>2226</v>
      </c>
      <c r="J1037" s="574" t="s">
        <v>2227</v>
      </c>
      <c r="K1037" s="574" t="s">
        <v>2228</v>
      </c>
      <c r="L1037" s="574" t="s">
        <v>2229</v>
      </c>
      <c r="M1037" s="574" t="s">
        <v>2230</v>
      </c>
      <c r="N1037" s="574" t="s">
        <v>2231</v>
      </c>
      <c r="O1037" s="574" t="s">
        <v>2759</v>
      </c>
      <c r="P1037" s="574" t="s">
        <v>2932</v>
      </c>
      <c r="Q1037" s="574" t="s">
        <v>2234</v>
      </c>
      <c r="R1037" s="574" t="s">
        <v>2225</v>
      </c>
      <c r="S1037" s="574" t="s">
        <v>2737</v>
      </c>
      <c r="T1037" s="574" t="s">
        <v>2738</v>
      </c>
      <c r="U1037" s="574" t="s">
        <v>3635</v>
      </c>
      <c r="V1037" s="574" t="s">
        <v>2238</v>
      </c>
      <c r="W1037" s="574" t="s">
        <v>2239</v>
      </c>
      <c r="X1037" s="574" t="s">
        <v>3381</v>
      </c>
      <c r="Y1037" s="575" t="s">
        <v>2683</v>
      </c>
      <c r="Z1037" s="575" t="s">
        <v>2683</v>
      </c>
      <c r="AA1037" s="574" t="s">
        <v>1693</v>
      </c>
      <c r="AB1037" s="574" t="s">
        <v>2319</v>
      </c>
      <c r="AC1037" s="574" t="s">
        <v>2320</v>
      </c>
      <c r="AD1037" s="574" t="s">
        <v>2321</v>
      </c>
      <c r="AE1037" s="574" t="s">
        <v>1446</v>
      </c>
      <c r="AF1037" s="574" t="s">
        <v>2321</v>
      </c>
      <c r="AG1037" s="576">
        <v>52510</v>
      </c>
      <c r="AH1037" s="576">
        <v>0</v>
      </c>
    </row>
    <row r="1038" spans="1:34" customFormat="1" x14ac:dyDescent="0.25">
      <c r="A1038" s="574" t="s">
        <v>2219</v>
      </c>
      <c r="B1038" s="574" t="s">
        <v>2220</v>
      </c>
      <c r="C1038" s="574" t="s">
        <v>2221</v>
      </c>
      <c r="D1038" s="574" t="s">
        <v>2220</v>
      </c>
      <c r="E1038" s="574" t="s">
        <v>2222</v>
      </c>
      <c r="F1038" s="574" t="s">
        <v>2223</v>
      </c>
      <c r="G1038" s="574" t="s">
        <v>2224</v>
      </c>
      <c r="H1038" s="574" t="s">
        <v>2225</v>
      </c>
      <c r="I1038" s="574" t="s">
        <v>2226</v>
      </c>
      <c r="J1038" s="574" t="s">
        <v>2227</v>
      </c>
      <c r="K1038" s="574" t="s">
        <v>2228</v>
      </c>
      <c r="L1038" s="574" t="s">
        <v>2229</v>
      </c>
      <c r="M1038" s="574" t="s">
        <v>2230</v>
      </c>
      <c r="N1038" s="574" t="s">
        <v>2231</v>
      </c>
      <c r="O1038" s="574" t="s">
        <v>2759</v>
      </c>
      <c r="P1038" s="574" t="s">
        <v>2932</v>
      </c>
      <c r="Q1038" s="574" t="s">
        <v>2234</v>
      </c>
      <c r="R1038" s="574" t="s">
        <v>2225</v>
      </c>
      <c r="S1038" s="574" t="s">
        <v>2737</v>
      </c>
      <c r="T1038" s="574" t="s">
        <v>2738</v>
      </c>
      <c r="U1038" s="574" t="s">
        <v>3636</v>
      </c>
      <c r="V1038" s="574" t="s">
        <v>2238</v>
      </c>
      <c r="W1038" s="574" t="s">
        <v>2239</v>
      </c>
      <c r="X1038" s="574" t="s">
        <v>3382</v>
      </c>
      <c r="Y1038" s="575" t="s">
        <v>2683</v>
      </c>
      <c r="Z1038" s="575" t="s">
        <v>2683</v>
      </c>
      <c r="AA1038" s="574" t="s">
        <v>1693</v>
      </c>
      <c r="AB1038" s="574" t="s">
        <v>2319</v>
      </c>
      <c r="AC1038" s="574" t="s">
        <v>2320</v>
      </c>
      <c r="AD1038" s="574" t="s">
        <v>2321</v>
      </c>
      <c r="AE1038" s="574" t="s">
        <v>1446</v>
      </c>
      <c r="AF1038" s="574" t="s">
        <v>2321</v>
      </c>
      <c r="AG1038" s="576">
        <v>52510</v>
      </c>
      <c r="AH1038" s="576">
        <v>0</v>
      </c>
    </row>
    <row r="1039" spans="1:34" customFormat="1" x14ac:dyDescent="0.25">
      <c r="A1039" s="574" t="s">
        <v>2219</v>
      </c>
      <c r="B1039" s="574" t="s">
        <v>2220</v>
      </c>
      <c r="C1039" s="574" t="s">
        <v>2221</v>
      </c>
      <c r="D1039" s="574" t="s">
        <v>2220</v>
      </c>
      <c r="E1039" s="574" t="s">
        <v>2222</v>
      </c>
      <c r="F1039" s="574" t="s">
        <v>2223</v>
      </c>
      <c r="G1039" s="574" t="s">
        <v>2224</v>
      </c>
      <c r="H1039" s="574" t="s">
        <v>2225</v>
      </c>
      <c r="I1039" s="574" t="s">
        <v>2226</v>
      </c>
      <c r="J1039" s="574" t="s">
        <v>2227</v>
      </c>
      <c r="K1039" s="574" t="s">
        <v>2228</v>
      </c>
      <c r="L1039" s="574" t="s">
        <v>2229</v>
      </c>
      <c r="M1039" s="574" t="s">
        <v>2230</v>
      </c>
      <c r="N1039" s="574" t="s">
        <v>2231</v>
      </c>
      <c r="O1039" s="574" t="s">
        <v>2759</v>
      </c>
      <c r="P1039" s="574" t="s">
        <v>2932</v>
      </c>
      <c r="Q1039" s="574" t="s">
        <v>2234</v>
      </c>
      <c r="R1039" s="574" t="s">
        <v>2225</v>
      </c>
      <c r="S1039" s="574" t="s">
        <v>2875</v>
      </c>
      <c r="T1039" s="574" t="s">
        <v>2876</v>
      </c>
      <c r="U1039" s="574" t="s">
        <v>3637</v>
      </c>
      <c r="V1039" s="574" t="s">
        <v>2238</v>
      </c>
      <c r="W1039" s="574" t="s">
        <v>2239</v>
      </c>
      <c r="X1039" s="574" t="s">
        <v>3317</v>
      </c>
      <c r="Y1039" s="575" t="s">
        <v>2649</v>
      </c>
      <c r="Z1039" s="575" t="s">
        <v>2649</v>
      </c>
      <c r="AA1039" s="574" t="s">
        <v>1686</v>
      </c>
      <c r="AB1039" s="574" t="s">
        <v>2965</v>
      </c>
      <c r="AC1039" s="574" t="s">
        <v>3300</v>
      </c>
      <c r="AD1039" s="574" t="s">
        <v>3301</v>
      </c>
      <c r="AE1039" s="574" t="s">
        <v>3318</v>
      </c>
      <c r="AF1039" s="574" t="s">
        <v>3319</v>
      </c>
      <c r="AG1039" s="576">
        <v>834043</v>
      </c>
      <c r="AH1039" s="576">
        <v>0</v>
      </c>
    </row>
    <row r="1040" spans="1:34" customFormat="1" x14ac:dyDescent="0.25">
      <c r="A1040" s="574" t="s">
        <v>2219</v>
      </c>
      <c r="B1040" s="574" t="s">
        <v>2220</v>
      </c>
      <c r="C1040" s="574" t="s">
        <v>2221</v>
      </c>
      <c r="D1040" s="574" t="s">
        <v>2220</v>
      </c>
      <c r="E1040" s="574" t="s">
        <v>2222</v>
      </c>
      <c r="F1040" s="574" t="s">
        <v>2223</v>
      </c>
      <c r="G1040" s="574" t="s">
        <v>2224</v>
      </c>
      <c r="H1040" s="574" t="s">
        <v>2225</v>
      </c>
      <c r="I1040" s="574" t="s">
        <v>2226</v>
      </c>
      <c r="J1040" s="574" t="s">
        <v>2227</v>
      </c>
      <c r="K1040" s="574" t="s">
        <v>2228</v>
      </c>
      <c r="L1040" s="574" t="s">
        <v>2229</v>
      </c>
      <c r="M1040" s="574" t="s">
        <v>2230</v>
      </c>
      <c r="N1040" s="574" t="s">
        <v>2231</v>
      </c>
      <c r="O1040" s="574" t="s">
        <v>2759</v>
      </c>
      <c r="P1040" s="574" t="s">
        <v>2932</v>
      </c>
      <c r="Q1040" s="574" t="s">
        <v>2234</v>
      </c>
      <c r="R1040" s="574" t="s">
        <v>2225</v>
      </c>
      <c r="S1040" s="574" t="s">
        <v>2875</v>
      </c>
      <c r="T1040" s="574" t="s">
        <v>2876</v>
      </c>
      <c r="U1040" s="574" t="s">
        <v>3637</v>
      </c>
      <c r="V1040" s="574" t="s">
        <v>2238</v>
      </c>
      <c r="W1040" s="574" t="s">
        <v>2239</v>
      </c>
      <c r="X1040" s="574" t="s">
        <v>3317</v>
      </c>
      <c r="Y1040" s="575" t="s">
        <v>2649</v>
      </c>
      <c r="Z1040" s="575" t="s">
        <v>2665</v>
      </c>
      <c r="AA1040" s="574" t="s">
        <v>1686</v>
      </c>
      <c r="AB1040" s="574" t="s">
        <v>2965</v>
      </c>
      <c r="AC1040" s="574" t="s">
        <v>3300</v>
      </c>
      <c r="AD1040" s="574" t="s">
        <v>3301</v>
      </c>
      <c r="AE1040" s="574" t="s">
        <v>3318</v>
      </c>
      <c r="AF1040" s="574" t="s">
        <v>3319</v>
      </c>
      <c r="AG1040" s="576">
        <v>-834043</v>
      </c>
      <c r="AH1040" s="576">
        <v>0</v>
      </c>
    </row>
    <row r="1041" spans="1:34" customFormat="1" x14ac:dyDescent="0.25">
      <c r="A1041" s="574" t="s">
        <v>2219</v>
      </c>
      <c r="B1041" s="574" t="s">
        <v>2220</v>
      </c>
      <c r="C1041" s="574" t="s">
        <v>2221</v>
      </c>
      <c r="D1041" s="574" t="s">
        <v>2220</v>
      </c>
      <c r="E1041" s="574" t="s">
        <v>2222</v>
      </c>
      <c r="F1041" s="574" t="s">
        <v>2223</v>
      </c>
      <c r="G1041" s="574" t="s">
        <v>2224</v>
      </c>
      <c r="H1041" s="574" t="s">
        <v>2225</v>
      </c>
      <c r="I1041" s="574" t="s">
        <v>2226</v>
      </c>
      <c r="J1041" s="574" t="s">
        <v>2227</v>
      </c>
      <c r="K1041" s="574" t="s">
        <v>2228</v>
      </c>
      <c r="L1041" s="574" t="s">
        <v>2229</v>
      </c>
      <c r="M1041" s="574" t="s">
        <v>2230</v>
      </c>
      <c r="N1041" s="574" t="s">
        <v>2231</v>
      </c>
      <c r="O1041" s="574" t="s">
        <v>2759</v>
      </c>
      <c r="P1041" s="574" t="s">
        <v>2932</v>
      </c>
      <c r="Q1041" s="574" t="s">
        <v>2234</v>
      </c>
      <c r="R1041" s="574" t="s">
        <v>2225</v>
      </c>
      <c r="S1041" s="574" t="s">
        <v>2875</v>
      </c>
      <c r="T1041" s="574" t="s">
        <v>2876</v>
      </c>
      <c r="U1041" s="574" t="s">
        <v>2887</v>
      </c>
      <c r="V1041" s="574" t="s">
        <v>2238</v>
      </c>
      <c r="W1041" s="574" t="s">
        <v>2239</v>
      </c>
      <c r="X1041" s="574" t="s">
        <v>2719</v>
      </c>
      <c r="Y1041" s="575" t="s">
        <v>2649</v>
      </c>
      <c r="Z1041" s="575" t="s">
        <v>2649</v>
      </c>
      <c r="AA1041" s="574" t="s">
        <v>1686</v>
      </c>
      <c r="AB1041" s="574" t="s">
        <v>2965</v>
      </c>
      <c r="AC1041" s="574" t="s">
        <v>2966</v>
      </c>
      <c r="AD1041" s="574" t="s">
        <v>2967</v>
      </c>
      <c r="AE1041" s="574" t="s">
        <v>3000</v>
      </c>
      <c r="AF1041" s="574" t="s">
        <v>3001</v>
      </c>
      <c r="AG1041" s="576">
        <v>106766.39999999999</v>
      </c>
      <c r="AH1041" s="576">
        <v>0</v>
      </c>
    </row>
    <row r="1042" spans="1:34" customFormat="1" x14ac:dyDescent="0.25">
      <c r="A1042" s="574" t="s">
        <v>2219</v>
      </c>
      <c r="B1042" s="574" t="s">
        <v>2220</v>
      </c>
      <c r="C1042" s="574" t="s">
        <v>2221</v>
      </c>
      <c r="D1042" s="574" t="s">
        <v>2220</v>
      </c>
      <c r="E1042" s="574" t="s">
        <v>2222</v>
      </c>
      <c r="F1042" s="574" t="s">
        <v>2223</v>
      </c>
      <c r="G1042" s="574" t="s">
        <v>2224</v>
      </c>
      <c r="H1042" s="574" t="s">
        <v>2225</v>
      </c>
      <c r="I1042" s="574" t="s">
        <v>2226</v>
      </c>
      <c r="J1042" s="574" t="s">
        <v>2227</v>
      </c>
      <c r="K1042" s="574" t="s">
        <v>2228</v>
      </c>
      <c r="L1042" s="574" t="s">
        <v>2229</v>
      </c>
      <c r="M1042" s="574" t="s">
        <v>2230</v>
      </c>
      <c r="N1042" s="574" t="s">
        <v>2231</v>
      </c>
      <c r="O1042" s="574" t="s">
        <v>2759</v>
      </c>
      <c r="P1042" s="574" t="s">
        <v>2932</v>
      </c>
      <c r="Q1042" s="574" t="s">
        <v>2234</v>
      </c>
      <c r="R1042" s="574" t="s">
        <v>2225</v>
      </c>
      <c r="S1042" s="574" t="s">
        <v>2875</v>
      </c>
      <c r="T1042" s="574" t="s">
        <v>2876</v>
      </c>
      <c r="U1042" s="574" t="s">
        <v>2887</v>
      </c>
      <c r="V1042" s="574" t="s">
        <v>2238</v>
      </c>
      <c r="W1042" s="574" t="s">
        <v>2239</v>
      </c>
      <c r="X1042" s="574" t="s">
        <v>2719</v>
      </c>
      <c r="Y1042" s="575" t="s">
        <v>2649</v>
      </c>
      <c r="Z1042" s="575" t="s">
        <v>2649</v>
      </c>
      <c r="AA1042" s="574" t="s">
        <v>1693</v>
      </c>
      <c r="AB1042" s="574" t="s">
        <v>2319</v>
      </c>
      <c r="AC1042" s="574" t="s">
        <v>2962</v>
      </c>
      <c r="AD1042" s="574" t="s">
        <v>126</v>
      </c>
      <c r="AE1042" s="574" t="s">
        <v>1522</v>
      </c>
      <c r="AF1042" s="574" t="s">
        <v>126</v>
      </c>
      <c r="AG1042" s="576">
        <v>462538.76</v>
      </c>
      <c r="AH1042" s="576">
        <v>0</v>
      </c>
    </row>
    <row r="1043" spans="1:34" customFormat="1" x14ac:dyDescent="0.25">
      <c r="A1043" s="574" t="s">
        <v>2219</v>
      </c>
      <c r="B1043" s="574" t="s">
        <v>2220</v>
      </c>
      <c r="C1043" s="574" t="s">
        <v>2221</v>
      </c>
      <c r="D1043" s="574" t="s">
        <v>2220</v>
      </c>
      <c r="E1043" s="574" t="s">
        <v>2222</v>
      </c>
      <c r="F1043" s="574" t="s">
        <v>2223</v>
      </c>
      <c r="G1043" s="574" t="s">
        <v>2224</v>
      </c>
      <c r="H1043" s="574" t="s">
        <v>2225</v>
      </c>
      <c r="I1043" s="574" t="s">
        <v>2226</v>
      </c>
      <c r="J1043" s="574" t="s">
        <v>2227</v>
      </c>
      <c r="K1043" s="574" t="s">
        <v>2228</v>
      </c>
      <c r="L1043" s="574" t="s">
        <v>2229</v>
      </c>
      <c r="M1043" s="574" t="s">
        <v>2230</v>
      </c>
      <c r="N1043" s="574" t="s">
        <v>2231</v>
      </c>
      <c r="O1043" s="574" t="s">
        <v>2759</v>
      </c>
      <c r="P1043" s="574" t="s">
        <v>2932</v>
      </c>
      <c r="Q1043" s="574" t="s">
        <v>2234</v>
      </c>
      <c r="R1043" s="574" t="s">
        <v>2225</v>
      </c>
      <c r="S1043" s="574" t="s">
        <v>2875</v>
      </c>
      <c r="T1043" s="574" t="s">
        <v>2876</v>
      </c>
      <c r="U1043" s="574" t="s">
        <v>2887</v>
      </c>
      <c r="V1043" s="574" t="s">
        <v>2238</v>
      </c>
      <c r="W1043" s="574" t="s">
        <v>2239</v>
      </c>
      <c r="X1043" s="574" t="s">
        <v>2719</v>
      </c>
      <c r="Y1043" s="575" t="s">
        <v>2649</v>
      </c>
      <c r="Z1043" s="575" t="s">
        <v>2669</v>
      </c>
      <c r="AA1043" s="574" t="s">
        <v>1686</v>
      </c>
      <c r="AB1043" s="574" t="s">
        <v>2965</v>
      </c>
      <c r="AC1043" s="574" t="s">
        <v>2966</v>
      </c>
      <c r="AD1043" s="574" t="s">
        <v>2967</v>
      </c>
      <c r="AE1043" s="574" t="s">
        <v>3000</v>
      </c>
      <c r="AF1043" s="574" t="s">
        <v>3001</v>
      </c>
      <c r="AG1043" s="576">
        <v>-106766.39999999999</v>
      </c>
      <c r="AH1043" s="576">
        <v>0</v>
      </c>
    </row>
    <row r="1044" spans="1:34" customFormat="1" x14ac:dyDescent="0.25">
      <c r="A1044" s="574" t="s">
        <v>2219</v>
      </c>
      <c r="B1044" s="574" t="s">
        <v>2220</v>
      </c>
      <c r="C1044" s="574" t="s">
        <v>2221</v>
      </c>
      <c r="D1044" s="574" t="s">
        <v>2220</v>
      </c>
      <c r="E1044" s="574" t="s">
        <v>2222</v>
      </c>
      <c r="F1044" s="574" t="s">
        <v>2223</v>
      </c>
      <c r="G1044" s="574" t="s">
        <v>2224</v>
      </c>
      <c r="H1044" s="574" t="s">
        <v>2225</v>
      </c>
      <c r="I1044" s="574" t="s">
        <v>2226</v>
      </c>
      <c r="J1044" s="574" t="s">
        <v>2227</v>
      </c>
      <c r="K1044" s="574" t="s">
        <v>2228</v>
      </c>
      <c r="L1044" s="574" t="s">
        <v>2229</v>
      </c>
      <c r="M1044" s="574" t="s">
        <v>2230</v>
      </c>
      <c r="N1044" s="574" t="s">
        <v>2231</v>
      </c>
      <c r="O1044" s="574" t="s">
        <v>2759</v>
      </c>
      <c r="P1044" s="574" t="s">
        <v>2932</v>
      </c>
      <c r="Q1044" s="574" t="s">
        <v>2234</v>
      </c>
      <c r="R1044" s="574" t="s">
        <v>2225</v>
      </c>
      <c r="S1044" s="574" t="s">
        <v>2875</v>
      </c>
      <c r="T1044" s="574" t="s">
        <v>2876</v>
      </c>
      <c r="U1044" s="574" t="s">
        <v>2887</v>
      </c>
      <c r="V1044" s="574" t="s">
        <v>2238</v>
      </c>
      <c r="W1044" s="574" t="s">
        <v>2239</v>
      </c>
      <c r="X1044" s="574" t="s">
        <v>2719</v>
      </c>
      <c r="Y1044" s="575" t="s">
        <v>2649</v>
      </c>
      <c r="Z1044" s="575" t="s">
        <v>2669</v>
      </c>
      <c r="AA1044" s="574" t="s">
        <v>1693</v>
      </c>
      <c r="AB1044" s="574" t="s">
        <v>2319</v>
      </c>
      <c r="AC1044" s="574" t="s">
        <v>2962</v>
      </c>
      <c r="AD1044" s="574" t="s">
        <v>126</v>
      </c>
      <c r="AE1044" s="574" t="s">
        <v>1522</v>
      </c>
      <c r="AF1044" s="574" t="s">
        <v>126</v>
      </c>
      <c r="AG1044" s="576">
        <v>-462538.76</v>
      </c>
      <c r="AH1044" s="576">
        <v>0</v>
      </c>
    </row>
    <row r="1045" spans="1:34" customFormat="1" x14ac:dyDescent="0.25">
      <c r="A1045" s="574" t="s">
        <v>2219</v>
      </c>
      <c r="B1045" s="574" t="s">
        <v>2220</v>
      </c>
      <c r="C1045" s="574" t="s">
        <v>2221</v>
      </c>
      <c r="D1045" s="574" t="s">
        <v>2220</v>
      </c>
      <c r="E1045" s="574" t="s">
        <v>2222</v>
      </c>
      <c r="F1045" s="574" t="s">
        <v>2223</v>
      </c>
      <c r="G1045" s="574" t="s">
        <v>2224</v>
      </c>
      <c r="H1045" s="574" t="s">
        <v>2225</v>
      </c>
      <c r="I1045" s="574" t="s">
        <v>2226</v>
      </c>
      <c r="J1045" s="574" t="s">
        <v>2227</v>
      </c>
      <c r="K1045" s="574" t="s">
        <v>2228</v>
      </c>
      <c r="L1045" s="574" t="s">
        <v>2229</v>
      </c>
      <c r="M1045" s="574" t="s">
        <v>2230</v>
      </c>
      <c r="N1045" s="574" t="s">
        <v>2231</v>
      </c>
      <c r="O1045" s="574" t="s">
        <v>2759</v>
      </c>
      <c r="P1045" s="574" t="s">
        <v>2932</v>
      </c>
      <c r="Q1045" s="574" t="s">
        <v>2234</v>
      </c>
      <c r="R1045" s="574" t="s">
        <v>2225</v>
      </c>
      <c r="S1045" s="574" t="s">
        <v>2875</v>
      </c>
      <c r="T1045" s="574" t="s">
        <v>2876</v>
      </c>
      <c r="U1045" s="574" t="s">
        <v>2889</v>
      </c>
      <c r="V1045" s="574" t="s">
        <v>2238</v>
      </c>
      <c r="W1045" s="574" t="s">
        <v>2239</v>
      </c>
      <c r="X1045" s="574" t="s">
        <v>2449</v>
      </c>
      <c r="Y1045" s="575" t="s">
        <v>2649</v>
      </c>
      <c r="Z1045" s="575" t="s">
        <v>2649</v>
      </c>
      <c r="AA1045" s="574" t="s">
        <v>1686</v>
      </c>
      <c r="AB1045" s="574" t="s">
        <v>2965</v>
      </c>
      <c r="AC1045" s="574" t="s">
        <v>2966</v>
      </c>
      <c r="AD1045" s="574" t="s">
        <v>2967</v>
      </c>
      <c r="AE1045" s="574" t="s">
        <v>3000</v>
      </c>
      <c r="AF1045" s="574" t="s">
        <v>3001</v>
      </c>
      <c r="AG1045" s="576">
        <v>38444.400000000001</v>
      </c>
      <c r="AH1045" s="576">
        <v>0</v>
      </c>
    </row>
    <row r="1046" spans="1:34" customFormat="1" x14ac:dyDescent="0.25">
      <c r="A1046" s="574" t="s">
        <v>2219</v>
      </c>
      <c r="B1046" s="574" t="s">
        <v>2220</v>
      </c>
      <c r="C1046" s="574" t="s">
        <v>2221</v>
      </c>
      <c r="D1046" s="574" t="s">
        <v>2220</v>
      </c>
      <c r="E1046" s="574" t="s">
        <v>2222</v>
      </c>
      <c r="F1046" s="574" t="s">
        <v>2223</v>
      </c>
      <c r="G1046" s="574" t="s">
        <v>2224</v>
      </c>
      <c r="H1046" s="574" t="s">
        <v>2225</v>
      </c>
      <c r="I1046" s="574" t="s">
        <v>2226</v>
      </c>
      <c r="J1046" s="574" t="s">
        <v>2227</v>
      </c>
      <c r="K1046" s="574" t="s">
        <v>2228</v>
      </c>
      <c r="L1046" s="574" t="s">
        <v>2229</v>
      </c>
      <c r="M1046" s="574" t="s">
        <v>2230</v>
      </c>
      <c r="N1046" s="574" t="s">
        <v>2231</v>
      </c>
      <c r="O1046" s="574" t="s">
        <v>2759</v>
      </c>
      <c r="P1046" s="574" t="s">
        <v>2932</v>
      </c>
      <c r="Q1046" s="574" t="s">
        <v>2234</v>
      </c>
      <c r="R1046" s="574" t="s">
        <v>2225</v>
      </c>
      <c r="S1046" s="574" t="s">
        <v>2875</v>
      </c>
      <c r="T1046" s="574" t="s">
        <v>2876</v>
      </c>
      <c r="U1046" s="574" t="s">
        <v>2890</v>
      </c>
      <c r="V1046" s="574" t="s">
        <v>2238</v>
      </c>
      <c r="W1046" s="574" t="s">
        <v>2239</v>
      </c>
      <c r="X1046" s="574" t="s">
        <v>2451</v>
      </c>
      <c r="Y1046" s="575" t="s">
        <v>2346</v>
      </c>
      <c r="Z1046" s="575" t="s">
        <v>2346</v>
      </c>
      <c r="AA1046" s="574" t="s">
        <v>1693</v>
      </c>
      <c r="AB1046" s="574" t="s">
        <v>2319</v>
      </c>
      <c r="AC1046" s="574" t="s">
        <v>3004</v>
      </c>
      <c r="AD1046" s="574" t="s">
        <v>125</v>
      </c>
      <c r="AE1046" s="574" t="s">
        <v>1655</v>
      </c>
      <c r="AF1046" s="574" t="s">
        <v>125</v>
      </c>
      <c r="AG1046" s="576">
        <v>7670</v>
      </c>
      <c r="AH1046" s="576">
        <v>0</v>
      </c>
    </row>
    <row r="1047" spans="1:34" customFormat="1" x14ac:dyDescent="0.25">
      <c r="A1047" s="574" t="s">
        <v>2219</v>
      </c>
      <c r="B1047" s="574" t="s">
        <v>2220</v>
      </c>
      <c r="C1047" s="574" t="s">
        <v>2221</v>
      </c>
      <c r="D1047" s="574" t="s">
        <v>2220</v>
      </c>
      <c r="E1047" s="574" t="s">
        <v>2222</v>
      </c>
      <c r="F1047" s="574" t="s">
        <v>2223</v>
      </c>
      <c r="G1047" s="574" t="s">
        <v>2224</v>
      </c>
      <c r="H1047" s="574" t="s">
        <v>2225</v>
      </c>
      <c r="I1047" s="574" t="s">
        <v>2226</v>
      </c>
      <c r="J1047" s="574" t="s">
        <v>2227</v>
      </c>
      <c r="K1047" s="574" t="s">
        <v>2228</v>
      </c>
      <c r="L1047" s="574" t="s">
        <v>2229</v>
      </c>
      <c r="M1047" s="574" t="s">
        <v>2230</v>
      </c>
      <c r="N1047" s="574" t="s">
        <v>2231</v>
      </c>
      <c r="O1047" s="574" t="s">
        <v>2759</v>
      </c>
      <c r="P1047" s="574" t="s">
        <v>2932</v>
      </c>
      <c r="Q1047" s="574" t="s">
        <v>2234</v>
      </c>
      <c r="R1047" s="574" t="s">
        <v>2225</v>
      </c>
      <c r="S1047" s="574" t="s">
        <v>2875</v>
      </c>
      <c r="T1047" s="574" t="s">
        <v>2876</v>
      </c>
      <c r="U1047" s="574" t="s">
        <v>2893</v>
      </c>
      <c r="V1047" s="574" t="s">
        <v>2238</v>
      </c>
      <c r="W1047" s="574" t="s">
        <v>2239</v>
      </c>
      <c r="X1047" s="574" t="s">
        <v>2500</v>
      </c>
      <c r="Y1047" s="575" t="s">
        <v>2669</v>
      </c>
      <c r="Z1047" s="575" t="s">
        <v>2669</v>
      </c>
      <c r="AA1047" s="574" t="s">
        <v>1686</v>
      </c>
      <c r="AB1047" s="574" t="s">
        <v>2965</v>
      </c>
      <c r="AC1047" s="574" t="s">
        <v>2966</v>
      </c>
      <c r="AD1047" s="574" t="s">
        <v>2967</v>
      </c>
      <c r="AE1047" s="574" t="s">
        <v>3000</v>
      </c>
      <c r="AF1047" s="574" t="s">
        <v>3001</v>
      </c>
      <c r="AG1047" s="576">
        <v>106766.39999999999</v>
      </c>
      <c r="AH1047" s="576">
        <v>0</v>
      </c>
    </row>
    <row r="1048" spans="1:34" customFormat="1" x14ac:dyDescent="0.25">
      <c r="A1048" s="574" t="s">
        <v>2219</v>
      </c>
      <c r="B1048" s="574" t="s">
        <v>2220</v>
      </c>
      <c r="C1048" s="574" t="s">
        <v>2221</v>
      </c>
      <c r="D1048" s="574" t="s">
        <v>2220</v>
      </c>
      <c r="E1048" s="574" t="s">
        <v>2222</v>
      </c>
      <c r="F1048" s="574" t="s">
        <v>2223</v>
      </c>
      <c r="G1048" s="574" t="s">
        <v>2224</v>
      </c>
      <c r="H1048" s="574" t="s">
        <v>2225</v>
      </c>
      <c r="I1048" s="574" t="s">
        <v>2226</v>
      </c>
      <c r="J1048" s="574" t="s">
        <v>2227</v>
      </c>
      <c r="K1048" s="574" t="s">
        <v>2228</v>
      </c>
      <c r="L1048" s="574" t="s">
        <v>2229</v>
      </c>
      <c r="M1048" s="574" t="s">
        <v>2230</v>
      </c>
      <c r="N1048" s="574" t="s">
        <v>2231</v>
      </c>
      <c r="O1048" s="574" t="s">
        <v>2759</v>
      </c>
      <c r="P1048" s="574" t="s">
        <v>2932</v>
      </c>
      <c r="Q1048" s="574" t="s">
        <v>2234</v>
      </c>
      <c r="R1048" s="574" t="s">
        <v>2225</v>
      </c>
      <c r="S1048" s="574" t="s">
        <v>2875</v>
      </c>
      <c r="T1048" s="574" t="s">
        <v>2876</v>
      </c>
      <c r="U1048" s="574" t="s">
        <v>2893</v>
      </c>
      <c r="V1048" s="574" t="s">
        <v>2238</v>
      </c>
      <c r="W1048" s="574" t="s">
        <v>2239</v>
      </c>
      <c r="X1048" s="574" t="s">
        <v>2500</v>
      </c>
      <c r="Y1048" s="575" t="s">
        <v>2669</v>
      </c>
      <c r="Z1048" s="575" t="s">
        <v>2669</v>
      </c>
      <c r="AA1048" s="574" t="s">
        <v>1693</v>
      </c>
      <c r="AB1048" s="574" t="s">
        <v>2319</v>
      </c>
      <c r="AC1048" s="574" t="s">
        <v>2962</v>
      </c>
      <c r="AD1048" s="574" t="s">
        <v>126</v>
      </c>
      <c r="AE1048" s="574" t="s">
        <v>1522</v>
      </c>
      <c r="AF1048" s="574" t="s">
        <v>126</v>
      </c>
      <c r="AG1048" s="576">
        <v>462538.76</v>
      </c>
      <c r="AH1048" s="576">
        <v>0</v>
      </c>
    </row>
    <row r="1049" spans="1:34" customFormat="1" x14ac:dyDescent="0.25">
      <c r="A1049" s="574" t="s">
        <v>2219</v>
      </c>
      <c r="B1049" s="574" t="s">
        <v>2220</v>
      </c>
      <c r="C1049" s="574" t="s">
        <v>2221</v>
      </c>
      <c r="D1049" s="574" t="s">
        <v>2220</v>
      </c>
      <c r="E1049" s="574" t="s">
        <v>2222</v>
      </c>
      <c r="F1049" s="574" t="s">
        <v>2223</v>
      </c>
      <c r="G1049" s="574" t="s">
        <v>2224</v>
      </c>
      <c r="H1049" s="574" t="s">
        <v>2225</v>
      </c>
      <c r="I1049" s="574" t="s">
        <v>2226</v>
      </c>
      <c r="J1049" s="574" t="s">
        <v>2227</v>
      </c>
      <c r="K1049" s="574" t="s">
        <v>2228</v>
      </c>
      <c r="L1049" s="574" t="s">
        <v>2229</v>
      </c>
      <c r="M1049" s="574" t="s">
        <v>2230</v>
      </c>
      <c r="N1049" s="574" t="s">
        <v>2231</v>
      </c>
      <c r="O1049" s="574" t="s">
        <v>2759</v>
      </c>
      <c r="P1049" s="574" t="s">
        <v>2932</v>
      </c>
      <c r="Q1049" s="574" t="s">
        <v>2234</v>
      </c>
      <c r="R1049" s="574" t="s">
        <v>2225</v>
      </c>
      <c r="S1049" s="574" t="s">
        <v>2875</v>
      </c>
      <c r="T1049" s="574" t="s">
        <v>2876</v>
      </c>
      <c r="U1049" s="574" t="s">
        <v>2895</v>
      </c>
      <c r="V1049" s="574" t="s">
        <v>2238</v>
      </c>
      <c r="W1049" s="574" t="s">
        <v>2239</v>
      </c>
      <c r="X1049" s="574" t="s">
        <v>2490</v>
      </c>
      <c r="Y1049" s="575" t="s">
        <v>2454</v>
      </c>
      <c r="Z1049" s="575" t="s">
        <v>2454</v>
      </c>
      <c r="AA1049" s="574" t="s">
        <v>2954</v>
      </c>
      <c r="AB1049" s="574" t="s">
        <v>2955</v>
      </c>
      <c r="AC1049" s="574" t="s">
        <v>2956</v>
      </c>
      <c r="AD1049" s="574" t="s">
        <v>2957</v>
      </c>
      <c r="AE1049" s="574" t="s">
        <v>2958</v>
      </c>
      <c r="AF1049" s="574" t="s">
        <v>113</v>
      </c>
      <c r="AG1049" s="576">
        <v>78173.820000000007</v>
      </c>
      <c r="AH1049" s="576">
        <v>0</v>
      </c>
    </row>
    <row r="1050" spans="1:34" customFormat="1" x14ac:dyDescent="0.25">
      <c r="A1050" s="574" t="s">
        <v>2219</v>
      </c>
      <c r="B1050" s="574" t="s">
        <v>2220</v>
      </c>
      <c r="C1050" s="574" t="s">
        <v>2221</v>
      </c>
      <c r="D1050" s="574" t="s">
        <v>2220</v>
      </c>
      <c r="E1050" s="574" t="s">
        <v>2222</v>
      </c>
      <c r="F1050" s="574" t="s">
        <v>2223</v>
      </c>
      <c r="G1050" s="574" t="s">
        <v>2224</v>
      </c>
      <c r="H1050" s="574" t="s">
        <v>2225</v>
      </c>
      <c r="I1050" s="574" t="s">
        <v>2226</v>
      </c>
      <c r="J1050" s="574" t="s">
        <v>2227</v>
      </c>
      <c r="K1050" s="574" t="s">
        <v>2228</v>
      </c>
      <c r="L1050" s="574" t="s">
        <v>2229</v>
      </c>
      <c r="M1050" s="574" t="s">
        <v>2230</v>
      </c>
      <c r="N1050" s="574" t="s">
        <v>2231</v>
      </c>
      <c r="O1050" s="574" t="s">
        <v>2759</v>
      </c>
      <c r="P1050" s="574" t="s">
        <v>2932</v>
      </c>
      <c r="Q1050" s="574" t="s">
        <v>2234</v>
      </c>
      <c r="R1050" s="574" t="s">
        <v>2225</v>
      </c>
      <c r="S1050" s="574" t="s">
        <v>2875</v>
      </c>
      <c r="T1050" s="574" t="s">
        <v>2876</v>
      </c>
      <c r="U1050" s="574" t="s">
        <v>2899</v>
      </c>
      <c r="V1050" s="574" t="s">
        <v>2238</v>
      </c>
      <c r="W1050" s="574" t="s">
        <v>2239</v>
      </c>
      <c r="X1050" s="574" t="s">
        <v>2527</v>
      </c>
      <c r="Y1050" s="575" t="s">
        <v>2501</v>
      </c>
      <c r="Z1050" s="575" t="s">
        <v>2501</v>
      </c>
      <c r="AA1050" s="574" t="s">
        <v>1693</v>
      </c>
      <c r="AB1050" s="574" t="s">
        <v>2319</v>
      </c>
      <c r="AC1050" s="574" t="s">
        <v>3004</v>
      </c>
      <c r="AD1050" s="574" t="s">
        <v>125</v>
      </c>
      <c r="AE1050" s="574" t="s">
        <v>1655</v>
      </c>
      <c r="AF1050" s="574" t="s">
        <v>125</v>
      </c>
      <c r="AG1050" s="576">
        <v>223746.57</v>
      </c>
      <c r="AH1050" s="576">
        <v>0</v>
      </c>
    </row>
    <row r="1051" spans="1:34" customFormat="1" x14ac:dyDescent="0.25">
      <c r="A1051" s="574" t="s">
        <v>2219</v>
      </c>
      <c r="B1051" s="574" t="s">
        <v>2220</v>
      </c>
      <c r="C1051" s="574" t="s">
        <v>2221</v>
      </c>
      <c r="D1051" s="574" t="s">
        <v>2220</v>
      </c>
      <c r="E1051" s="574" t="s">
        <v>2222</v>
      </c>
      <c r="F1051" s="574" t="s">
        <v>2223</v>
      </c>
      <c r="G1051" s="574" t="s">
        <v>2224</v>
      </c>
      <c r="H1051" s="574" t="s">
        <v>2225</v>
      </c>
      <c r="I1051" s="574" t="s">
        <v>2226</v>
      </c>
      <c r="J1051" s="574" t="s">
        <v>2227</v>
      </c>
      <c r="K1051" s="574" t="s">
        <v>2228</v>
      </c>
      <c r="L1051" s="574" t="s">
        <v>2229</v>
      </c>
      <c r="M1051" s="574" t="s">
        <v>2230</v>
      </c>
      <c r="N1051" s="574" t="s">
        <v>2231</v>
      </c>
      <c r="O1051" s="574" t="s">
        <v>2759</v>
      </c>
      <c r="P1051" s="574" t="s">
        <v>2932</v>
      </c>
      <c r="Q1051" s="574" t="s">
        <v>2234</v>
      </c>
      <c r="R1051" s="574" t="s">
        <v>2225</v>
      </c>
      <c r="S1051" s="574" t="s">
        <v>2875</v>
      </c>
      <c r="T1051" s="574" t="s">
        <v>2876</v>
      </c>
      <c r="U1051" s="574" t="s">
        <v>2907</v>
      </c>
      <c r="V1051" s="574" t="s">
        <v>2238</v>
      </c>
      <c r="W1051" s="574" t="s">
        <v>2239</v>
      </c>
      <c r="X1051" s="574" t="s">
        <v>2555</v>
      </c>
      <c r="Y1051" s="575" t="s">
        <v>2512</v>
      </c>
      <c r="Z1051" s="575" t="s">
        <v>2512</v>
      </c>
      <c r="AA1051" s="574" t="s">
        <v>1693</v>
      </c>
      <c r="AB1051" s="574" t="s">
        <v>2319</v>
      </c>
      <c r="AC1051" s="574" t="s">
        <v>2987</v>
      </c>
      <c r="AD1051" s="574" t="s">
        <v>2988</v>
      </c>
      <c r="AE1051" s="574" t="s">
        <v>1451</v>
      </c>
      <c r="AF1051" s="574" t="s">
        <v>178</v>
      </c>
      <c r="AG1051" s="576">
        <v>6372</v>
      </c>
      <c r="AH1051" s="576">
        <v>0</v>
      </c>
    </row>
    <row r="1052" spans="1:34" customFormat="1" x14ac:dyDescent="0.25">
      <c r="A1052" s="574" t="s">
        <v>2219</v>
      </c>
      <c r="B1052" s="574" t="s">
        <v>2220</v>
      </c>
      <c r="C1052" s="574" t="s">
        <v>2221</v>
      </c>
      <c r="D1052" s="574" t="s">
        <v>2220</v>
      </c>
      <c r="E1052" s="574" t="s">
        <v>2222</v>
      </c>
      <c r="F1052" s="574" t="s">
        <v>2223</v>
      </c>
      <c r="G1052" s="574" t="s">
        <v>2224</v>
      </c>
      <c r="H1052" s="574" t="s">
        <v>2225</v>
      </c>
      <c r="I1052" s="574" t="s">
        <v>2226</v>
      </c>
      <c r="J1052" s="574" t="s">
        <v>2227</v>
      </c>
      <c r="K1052" s="574" t="s">
        <v>2228</v>
      </c>
      <c r="L1052" s="574" t="s">
        <v>2229</v>
      </c>
      <c r="M1052" s="574" t="s">
        <v>2230</v>
      </c>
      <c r="N1052" s="574" t="s">
        <v>2231</v>
      </c>
      <c r="O1052" s="574" t="s">
        <v>2759</v>
      </c>
      <c r="P1052" s="574" t="s">
        <v>2932</v>
      </c>
      <c r="Q1052" s="574" t="s">
        <v>2234</v>
      </c>
      <c r="R1052" s="574" t="s">
        <v>2225</v>
      </c>
      <c r="S1052" s="574" t="s">
        <v>2875</v>
      </c>
      <c r="T1052" s="574" t="s">
        <v>2876</v>
      </c>
      <c r="U1052" s="574" t="s">
        <v>2912</v>
      </c>
      <c r="V1052" s="574" t="s">
        <v>2238</v>
      </c>
      <c r="W1052" s="574" t="s">
        <v>2239</v>
      </c>
      <c r="X1052" s="574" t="s">
        <v>2681</v>
      </c>
      <c r="Y1052" s="575" t="s">
        <v>2680</v>
      </c>
      <c r="Z1052" s="575" t="s">
        <v>2680</v>
      </c>
      <c r="AA1052" s="574" t="s">
        <v>1693</v>
      </c>
      <c r="AB1052" s="574" t="s">
        <v>2319</v>
      </c>
      <c r="AC1052" s="574" t="s">
        <v>2652</v>
      </c>
      <c r="AD1052" s="574" t="s">
        <v>2653</v>
      </c>
      <c r="AE1052" s="574" t="s">
        <v>2654</v>
      </c>
      <c r="AF1052" s="574" t="s">
        <v>2655</v>
      </c>
      <c r="AG1052" s="576">
        <v>39736.5</v>
      </c>
      <c r="AH1052" s="576">
        <v>0</v>
      </c>
    </row>
    <row r="1053" spans="1:34" customFormat="1" x14ac:dyDescent="0.25">
      <c r="A1053" s="574" t="s">
        <v>2219</v>
      </c>
      <c r="B1053" s="574" t="s">
        <v>2220</v>
      </c>
      <c r="C1053" s="574" t="s">
        <v>2221</v>
      </c>
      <c r="D1053" s="574" t="s">
        <v>2220</v>
      </c>
      <c r="E1053" s="574" t="s">
        <v>2222</v>
      </c>
      <c r="F1053" s="574" t="s">
        <v>2223</v>
      </c>
      <c r="G1053" s="574" t="s">
        <v>2224</v>
      </c>
      <c r="H1053" s="574" t="s">
        <v>2225</v>
      </c>
      <c r="I1053" s="574" t="s">
        <v>2226</v>
      </c>
      <c r="J1053" s="574" t="s">
        <v>2227</v>
      </c>
      <c r="K1053" s="574" t="s">
        <v>2228</v>
      </c>
      <c r="L1053" s="574" t="s">
        <v>2229</v>
      </c>
      <c r="M1053" s="574" t="s">
        <v>2230</v>
      </c>
      <c r="N1053" s="574" t="s">
        <v>2231</v>
      </c>
      <c r="O1053" s="574" t="s">
        <v>2759</v>
      </c>
      <c r="P1053" s="574" t="s">
        <v>2932</v>
      </c>
      <c r="Q1053" s="574" t="s">
        <v>2234</v>
      </c>
      <c r="R1053" s="574" t="s">
        <v>2225</v>
      </c>
      <c r="S1053" s="574" t="s">
        <v>2875</v>
      </c>
      <c r="T1053" s="574" t="s">
        <v>2876</v>
      </c>
      <c r="U1053" s="574" t="s">
        <v>2912</v>
      </c>
      <c r="V1053" s="574" t="s">
        <v>2238</v>
      </c>
      <c r="W1053" s="574" t="s">
        <v>2239</v>
      </c>
      <c r="X1053" s="574" t="s">
        <v>2681</v>
      </c>
      <c r="Y1053" s="575" t="s">
        <v>2680</v>
      </c>
      <c r="Z1053" s="575" t="s">
        <v>2680</v>
      </c>
      <c r="AA1053" s="574" t="s">
        <v>1693</v>
      </c>
      <c r="AB1053" s="574" t="s">
        <v>2319</v>
      </c>
      <c r="AC1053" s="574" t="s">
        <v>2962</v>
      </c>
      <c r="AD1053" s="574" t="s">
        <v>126</v>
      </c>
      <c r="AE1053" s="574" t="s">
        <v>1522</v>
      </c>
      <c r="AF1053" s="574" t="s">
        <v>126</v>
      </c>
      <c r="AG1053" s="576">
        <v>46610</v>
      </c>
      <c r="AH1053" s="576">
        <v>0</v>
      </c>
    </row>
    <row r="1054" spans="1:34" customFormat="1" x14ac:dyDescent="0.25">
      <c r="A1054" s="574" t="s">
        <v>2219</v>
      </c>
      <c r="B1054" s="574" t="s">
        <v>2220</v>
      </c>
      <c r="C1054" s="574" t="s">
        <v>2221</v>
      </c>
      <c r="D1054" s="574" t="s">
        <v>2220</v>
      </c>
      <c r="E1054" s="574" t="s">
        <v>2222</v>
      </c>
      <c r="F1054" s="574" t="s">
        <v>2223</v>
      </c>
      <c r="G1054" s="574" t="s">
        <v>2224</v>
      </c>
      <c r="H1054" s="574" t="s">
        <v>2225</v>
      </c>
      <c r="I1054" s="574" t="s">
        <v>2226</v>
      </c>
      <c r="J1054" s="574" t="s">
        <v>2227</v>
      </c>
      <c r="K1054" s="574" t="s">
        <v>2228</v>
      </c>
      <c r="L1054" s="574" t="s">
        <v>2229</v>
      </c>
      <c r="M1054" s="574" t="s">
        <v>2230</v>
      </c>
      <c r="N1054" s="574" t="s">
        <v>2231</v>
      </c>
      <c r="O1054" s="574" t="s">
        <v>2759</v>
      </c>
      <c r="P1054" s="574" t="s">
        <v>2932</v>
      </c>
      <c r="Q1054" s="574" t="s">
        <v>2234</v>
      </c>
      <c r="R1054" s="574" t="s">
        <v>2225</v>
      </c>
      <c r="S1054" s="574" t="s">
        <v>2875</v>
      </c>
      <c r="T1054" s="574" t="s">
        <v>2876</v>
      </c>
      <c r="U1054" s="574" t="s">
        <v>2920</v>
      </c>
      <c r="V1054" s="574" t="s">
        <v>2238</v>
      </c>
      <c r="W1054" s="574" t="s">
        <v>2239</v>
      </c>
      <c r="X1054" s="574" t="s">
        <v>2694</v>
      </c>
      <c r="Y1054" s="575" t="s">
        <v>2680</v>
      </c>
      <c r="Z1054" s="575" t="s">
        <v>2680</v>
      </c>
      <c r="AA1054" s="574" t="s">
        <v>1693</v>
      </c>
      <c r="AB1054" s="574" t="s">
        <v>2319</v>
      </c>
      <c r="AC1054" s="574" t="s">
        <v>3004</v>
      </c>
      <c r="AD1054" s="574" t="s">
        <v>125</v>
      </c>
      <c r="AE1054" s="574" t="s">
        <v>1655</v>
      </c>
      <c r="AF1054" s="574" t="s">
        <v>125</v>
      </c>
      <c r="AG1054" s="576">
        <v>64793.8</v>
      </c>
      <c r="AH1054" s="576">
        <v>0</v>
      </c>
    </row>
    <row r="1055" spans="1:34" customFormat="1" x14ac:dyDescent="0.25">
      <c r="A1055" s="574" t="s">
        <v>2219</v>
      </c>
      <c r="B1055" s="574" t="s">
        <v>2220</v>
      </c>
      <c r="C1055" s="574" t="s">
        <v>2221</v>
      </c>
      <c r="D1055" s="574" t="s">
        <v>2220</v>
      </c>
      <c r="E1055" s="574" t="s">
        <v>2222</v>
      </c>
      <c r="F1055" s="574" t="s">
        <v>2223</v>
      </c>
      <c r="G1055" s="574" t="s">
        <v>2224</v>
      </c>
      <c r="H1055" s="574" t="s">
        <v>2225</v>
      </c>
      <c r="I1055" s="574" t="s">
        <v>3638</v>
      </c>
      <c r="J1055" s="574" t="s">
        <v>3639</v>
      </c>
      <c r="K1055" s="574" t="s">
        <v>2228</v>
      </c>
      <c r="L1055" s="574" t="s">
        <v>2229</v>
      </c>
      <c r="M1055" s="574" t="s">
        <v>2230</v>
      </c>
      <c r="N1055" s="574" t="s">
        <v>2231</v>
      </c>
      <c r="O1055" s="574" t="s">
        <v>2232</v>
      </c>
      <c r="P1055" s="574" t="s">
        <v>2233</v>
      </c>
      <c r="Q1055" s="574" t="s">
        <v>2234</v>
      </c>
      <c r="R1055" s="574" t="s">
        <v>2225</v>
      </c>
      <c r="S1055" s="574" t="s">
        <v>2235</v>
      </c>
      <c r="T1055" s="574" t="s">
        <v>2236</v>
      </c>
      <c r="U1055" s="574" t="s">
        <v>3640</v>
      </c>
      <c r="V1055" s="574" t="s">
        <v>2238</v>
      </c>
      <c r="W1055" s="574" t="s">
        <v>2239</v>
      </c>
      <c r="X1055" s="574" t="s">
        <v>3641</v>
      </c>
      <c r="Y1055" s="575" t="s">
        <v>2429</v>
      </c>
      <c r="Z1055" s="575" t="s">
        <v>2429</v>
      </c>
      <c r="AA1055" s="574" t="s">
        <v>1695</v>
      </c>
      <c r="AB1055" s="574" t="s">
        <v>2337</v>
      </c>
      <c r="AC1055" s="574" t="s">
        <v>2338</v>
      </c>
      <c r="AD1055" s="574" t="s">
        <v>2339</v>
      </c>
      <c r="AE1055" s="574" t="s">
        <v>1436</v>
      </c>
      <c r="AF1055" s="574" t="s">
        <v>2339</v>
      </c>
      <c r="AG1055" s="576">
        <v>0</v>
      </c>
      <c r="AH1055" s="576">
        <v>1228664.6200000001</v>
      </c>
    </row>
    <row r="1056" spans="1:34" customFormat="1" x14ac:dyDescent="0.25">
      <c r="A1056" s="574" t="s">
        <v>2219</v>
      </c>
      <c r="B1056" s="574" t="s">
        <v>2220</v>
      </c>
      <c r="C1056" s="574" t="s">
        <v>2221</v>
      </c>
      <c r="D1056" s="574" t="s">
        <v>2220</v>
      </c>
      <c r="E1056" s="574" t="s">
        <v>2222</v>
      </c>
      <c r="F1056" s="574" t="s">
        <v>2223</v>
      </c>
      <c r="G1056" s="574" t="s">
        <v>2224</v>
      </c>
      <c r="H1056" s="574" t="s">
        <v>2225</v>
      </c>
      <c r="I1056" s="574" t="s">
        <v>3638</v>
      </c>
      <c r="J1056" s="574" t="s">
        <v>3639</v>
      </c>
      <c r="K1056" s="574" t="s">
        <v>2228</v>
      </c>
      <c r="L1056" s="574" t="s">
        <v>2229</v>
      </c>
      <c r="M1056" s="574" t="s">
        <v>2230</v>
      </c>
      <c r="N1056" s="574" t="s">
        <v>2231</v>
      </c>
      <c r="O1056" s="574" t="s">
        <v>2232</v>
      </c>
      <c r="P1056" s="574" t="s">
        <v>2233</v>
      </c>
      <c r="Q1056" s="574" t="s">
        <v>2234</v>
      </c>
      <c r="R1056" s="574" t="s">
        <v>2225</v>
      </c>
      <c r="S1056" s="574" t="s">
        <v>2235</v>
      </c>
      <c r="T1056" s="574" t="s">
        <v>2236</v>
      </c>
      <c r="U1056" s="574" t="s">
        <v>3642</v>
      </c>
      <c r="V1056" s="574" t="s">
        <v>2238</v>
      </c>
      <c r="W1056" s="574" t="s">
        <v>2239</v>
      </c>
      <c r="X1056" s="574" t="s">
        <v>3643</v>
      </c>
      <c r="Y1056" s="575" t="s">
        <v>2481</v>
      </c>
      <c r="Z1056" s="575" t="s">
        <v>2481</v>
      </c>
      <c r="AA1056" s="574" t="s">
        <v>1695</v>
      </c>
      <c r="AB1056" s="574" t="s">
        <v>2337</v>
      </c>
      <c r="AC1056" s="574" t="s">
        <v>2338</v>
      </c>
      <c r="AD1056" s="574" t="s">
        <v>2339</v>
      </c>
      <c r="AE1056" s="574" t="s">
        <v>1436</v>
      </c>
      <c r="AF1056" s="574" t="s">
        <v>2339</v>
      </c>
      <c r="AG1056" s="576">
        <v>0</v>
      </c>
      <c r="AH1056" s="576">
        <v>177000</v>
      </c>
    </row>
    <row r="1057" spans="1:34" customFormat="1" x14ac:dyDescent="0.25">
      <c r="A1057" s="574" t="s">
        <v>2219</v>
      </c>
      <c r="B1057" s="574" t="s">
        <v>2220</v>
      </c>
      <c r="C1057" s="574" t="s">
        <v>2221</v>
      </c>
      <c r="D1057" s="574" t="s">
        <v>2220</v>
      </c>
      <c r="E1057" s="574" t="s">
        <v>2222</v>
      </c>
      <c r="F1057" s="574" t="s">
        <v>2223</v>
      </c>
      <c r="G1057" s="574" t="s">
        <v>2224</v>
      </c>
      <c r="H1057" s="574" t="s">
        <v>2225</v>
      </c>
      <c r="I1057" s="574" t="s">
        <v>3638</v>
      </c>
      <c r="J1057" s="574" t="s">
        <v>3639</v>
      </c>
      <c r="K1057" s="574" t="s">
        <v>2228</v>
      </c>
      <c r="L1057" s="574" t="s">
        <v>2229</v>
      </c>
      <c r="M1057" s="574" t="s">
        <v>2230</v>
      </c>
      <c r="N1057" s="574" t="s">
        <v>2231</v>
      </c>
      <c r="O1057" s="574" t="s">
        <v>2232</v>
      </c>
      <c r="P1057" s="574" t="s">
        <v>2233</v>
      </c>
      <c r="Q1057" s="574" t="s">
        <v>2234</v>
      </c>
      <c r="R1057" s="574" t="s">
        <v>2225</v>
      </c>
      <c r="S1057" s="574" t="s">
        <v>2235</v>
      </c>
      <c r="T1057" s="574" t="s">
        <v>2236</v>
      </c>
      <c r="U1057" s="574" t="s">
        <v>3644</v>
      </c>
      <c r="V1057" s="574" t="s">
        <v>2238</v>
      </c>
      <c r="W1057" s="574" t="s">
        <v>2239</v>
      </c>
      <c r="X1057" s="574" t="s">
        <v>3645</v>
      </c>
      <c r="Y1057" s="575" t="s">
        <v>2491</v>
      </c>
      <c r="Z1057" s="575" t="s">
        <v>2491</v>
      </c>
      <c r="AA1057" s="574" t="s">
        <v>1695</v>
      </c>
      <c r="AB1057" s="574" t="s">
        <v>2337</v>
      </c>
      <c r="AC1057" s="574" t="s">
        <v>2338</v>
      </c>
      <c r="AD1057" s="574" t="s">
        <v>2339</v>
      </c>
      <c r="AE1057" s="574" t="s">
        <v>1436</v>
      </c>
      <c r="AF1057" s="574" t="s">
        <v>2339</v>
      </c>
      <c r="AG1057" s="576">
        <v>0</v>
      </c>
      <c r="AH1057" s="576">
        <v>32656.5</v>
      </c>
    </row>
    <row r="1058" spans="1:34" customFormat="1" x14ac:dyDescent="0.25">
      <c r="A1058" s="574" t="s">
        <v>2219</v>
      </c>
      <c r="B1058" s="574" t="s">
        <v>2220</v>
      </c>
      <c r="C1058" s="574" t="s">
        <v>2221</v>
      </c>
      <c r="D1058" s="574" t="s">
        <v>2220</v>
      </c>
      <c r="E1058" s="574" t="s">
        <v>2222</v>
      </c>
      <c r="F1058" s="574" t="s">
        <v>2223</v>
      </c>
      <c r="G1058" s="574" t="s">
        <v>2224</v>
      </c>
      <c r="H1058" s="574" t="s">
        <v>2225</v>
      </c>
      <c r="I1058" s="574" t="s">
        <v>3638</v>
      </c>
      <c r="J1058" s="574" t="s">
        <v>3639</v>
      </c>
      <c r="K1058" s="574" t="s">
        <v>2228</v>
      </c>
      <c r="L1058" s="574" t="s">
        <v>2229</v>
      </c>
      <c r="M1058" s="574" t="s">
        <v>2230</v>
      </c>
      <c r="N1058" s="574" t="s">
        <v>2231</v>
      </c>
      <c r="O1058" s="574" t="s">
        <v>2232</v>
      </c>
      <c r="P1058" s="574" t="s">
        <v>2233</v>
      </c>
      <c r="Q1058" s="574" t="s">
        <v>2234</v>
      </c>
      <c r="R1058" s="574" t="s">
        <v>2225</v>
      </c>
      <c r="S1058" s="574" t="s">
        <v>2235</v>
      </c>
      <c r="T1058" s="574" t="s">
        <v>2236</v>
      </c>
      <c r="U1058" s="574" t="s">
        <v>3646</v>
      </c>
      <c r="V1058" s="574" t="s">
        <v>2238</v>
      </c>
      <c r="W1058" s="574" t="s">
        <v>2239</v>
      </c>
      <c r="X1058" s="574" t="s">
        <v>3647</v>
      </c>
      <c r="Y1058" s="575" t="s">
        <v>2543</v>
      </c>
      <c r="Z1058" s="575" t="s">
        <v>2543</v>
      </c>
      <c r="AA1058" s="574" t="s">
        <v>1689</v>
      </c>
      <c r="AB1058" s="574" t="s">
        <v>3648</v>
      </c>
      <c r="AC1058" s="574" t="s">
        <v>3649</v>
      </c>
      <c r="AD1058" s="574" t="s">
        <v>3650</v>
      </c>
      <c r="AE1058" s="574" t="s">
        <v>3651</v>
      </c>
      <c r="AF1058" s="574" t="s">
        <v>3650</v>
      </c>
      <c r="AG1058" s="576">
        <v>0</v>
      </c>
      <c r="AH1058" s="576">
        <v>122460.17</v>
      </c>
    </row>
    <row r="1059" spans="1:34" customFormat="1" x14ac:dyDescent="0.25">
      <c r="A1059" s="574" t="s">
        <v>2219</v>
      </c>
      <c r="B1059" s="574" t="s">
        <v>2220</v>
      </c>
      <c r="C1059" s="574" t="s">
        <v>2221</v>
      </c>
      <c r="D1059" s="574" t="s">
        <v>2220</v>
      </c>
      <c r="E1059" s="574" t="s">
        <v>2222</v>
      </c>
      <c r="F1059" s="574" t="s">
        <v>2223</v>
      </c>
      <c r="G1059" s="574" t="s">
        <v>2224</v>
      </c>
      <c r="H1059" s="574" t="s">
        <v>2225</v>
      </c>
      <c r="I1059" s="574" t="s">
        <v>3638</v>
      </c>
      <c r="J1059" s="574" t="s">
        <v>3639</v>
      </c>
      <c r="K1059" s="574" t="s">
        <v>2228</v>
      </c>
      <c r="L1059" s="574" t="s">
        <v>2229</v>
      </c>
      <c r="M1059" s="574" t="s">
        <v>2230</v>
      </c>
      <c r="N1059" s="574" t="s">
        <v>2231</v>
      </c>
      <c r="O1059" s="574" t="s">
        <v>2232</v>
      </c>
      <c r="P1059" s="574" t="s">
        <v>2233</v>
      </c>
      <c r="Q1059" s="574" t="s">
        <v>2234</v>
      </c>
      <c r="R1059" s="574" t="s">
        <v>2225</v>
      </c>
      <c r="S1059" s="574" t="s">
        <v>2235</v>
      </c>
      <c r="T1059" s="574" t="s">
        <v>2236</v>
      </c>
      <c r="U1059" s="574" t="s">
        <v>3652</v>
      </c>
      <c r="V1059" s="574" t="s">
        <v>2238</v>
      </c>
      <c r="W1059" s="574" t="s">
        <v>2239</v>
      </c>
      <c r="X1059" s="574" t="s">
        <v>2725</v>
      </c>
      <c r="Y1059" s="575" t="s">
        <v>2565</v>
      </c>
      <c r="Z1059" s="575" t="s">
        <v>2565</v>
      </c>
      <c r="AA1059" s="574" t="s">
        <v>1689</v>
      </c>
      <c r="AB1059" s="574" t="s">
        <v>3648</v>
      </c>
      <c r="AC1059" s="574" t="s">
        <v>3653</v>
      </c>
      <c r="AD1059" s="574" t="s">
        <v>101</v>
      </c>
      <c r="AE1059" s="574" t="s">
        <v>3654</v>
      </c>
      <c r="AF1059" s="574" t="s">
        <v>101</v>
      </c>
      <c r="AG1059" s="576">
        <v>0</v>
      </c>
      <c r="AH1059" s="576">
        <v>518019.87</v>
      </c>
    </row>
    <row r="1060" spans="1:34" customFormat="1" x14ac:dyDescent="0.25">
      <c r="A1060" s="574" t="s">
        <v>2219</v>
      </c>
      <c r="B1060" s="574" t="s">
        <v>2220</v>
      </c>
      <c r="C1060" s="574" t="s">
        <v>2221</v>
      </c>
      <c r="D1060" s="574" t="s">
        <v>2220</v>
      </c>
      <c r="E1060" s="574" t="s">
        <v>2222</v>
      </c>
      <c r="F1060" s="574" t="s">
        <v>2223</v>
      </c>
      <c r="G1060" s="574" t="s">
        <v>2224</v>
      </c>
      <c r="H1060" s="574" t="s">
        <v>2225</v>
      </c>
      <c r="I1060" s="574" t="s">
        <v>3638</v>
      </c>
      <c r="J1060" s="574" t="s">
        <v>3639</v>
      </c>
      <c r="K1060" s="574" t="s">
        <v>2228</v>
      </c>
      <c r="L1060" s="574" t="s">
        <v>2229</v>
      </c>
      <c r="M1060" s="574" t="s">
        <v>2230</v>
      </c>
      <c r="N1060" s="574" t="s">
        <v>2231</v>
      </c>
      <c r="O1060" s="574" t="s">
        <v>2232</v>
      </c>
      <c r="P1060" s="574" t="s">
        <v>2233</v>
      </c>
      <c r="Q1060" s="574" t="s">
        <v>2234</v>
      </c>
      <c r="R1060" s="574" t="s">
        <v>2225</v>
      </c>
      <c r="S1060" s="574" t="s">
        <v>2235</v>
      </c>
      <c r="T1060" s="574" t="s">
        <v>2236</v>
      </c>
      <c r="U1060" s="574" t="s">
        <v>3655</v>
      </c>
      <c r="V1060" s="574" t="s">
        <v>2238</v>
      </c>
      <c r="W1060" s="574" t="s">
        <v>2239</v>
      </c>
      <c r="X1060" s="574" t="s">
        <v>3656</v>
      </c>
      <c r="Y1060" s="575" t="s">
        <v>2576</v>
      </c>
      <c r="Z1060" s="575" t="s">
        <v>2576</v>
      </c>
      <c r="AA1060" s="574" t="s">
        <v>1695</v>
      </c>
      <c r="AB1060" s="574" t="s">
        <v>2337</v>
      </c>
      <c r="AC1060" s="574" t="s">
        <v>2338</v>
      </c>
      <c r="AD1060" s="574" t="s">
        <v>2339</v>
      </c>
      <c r="AE1060" s="574" t="s">
        <v>1436</v>
      </c>
      <c r="AF1060" s="574" t="s">
        <v>2339</v>
      </c>
      <c r="AG1060" s="576">
        <v>0</v>
      </c>
      <c r="AH1060" s="576">
        <v>103580.4</v>
      </c>
    </row>
    <row r="1061" spans="1:34" customFormat="1" x14ac:dyDescent="0.25">
      <c r="A1061" s="574" t="s">
        <v>2219</v>
      </c>
      <c r="B1061" s="574" t="s">
        <v>2220</v>
      </c>
      <c r="C1061" s="574" t="s">
        <v>2221</v>
      </c>
      <c r="D1061" s="574" t="s">
        <v>2220</v>
      </c>
      <c r="E1061" s="574" t="s">
        <v>2222</v>
      </c>
      <c r="F1061" s="574" t="s">
        <v>2223</v>
      </c>
      <c r="G1061" s="574" t="s">
        <v>2224</v>
      </c>
      <c r="H1061" s="574" t="s">
        <v>2225</v>
      </c>
      <c r="I1061" s="574" t="s">
        <v>3638</v>
      </c>
      <c r="J1061" s="574" t="s">
        <v>3639</v>
      </c>
      <c r="K1061" s="574" t="s">
        <v>2228</v>
      </c>
      <c r="L1061" s="574" t="s">
        <v>2229</v>
      </c>
      <c r="M1061" s="574" t="s">
        <v>2230</v>
      </c>
      <c r="N1061" s="574" t="s">
        <v>2231</v>
      </c>
      <c r="O1061" s="574" t="s">
        <v>2232</v>
      </c>
      <c r="P1061" s="574" t="s">
        <v>2233</v>
      </c>
      <c r="Q1061" s="574" t="s">
        <v>2234</v>
      </c>
      <c r="R1061" s="574" t="s">
        <v>2225</v>
      </c>
      <c r="S1061" s="574" t="s">
        <v>2235</v>
      </c>
      <c r="T1061" s="574" t="s">
        <v>2236</v>
      </c>
      <c r="U1061" s="574" t="s">
        <v>2646</v>
      </c>
      <c r="V1061" s="574" t="s">
        <v>2238</v>
      </c>
      <c r="W1061" s="574" t="s">
        <v>2239</v>
      </c>
      <c r="X1061" s="574" t="s">
        <v>2647</v>
      </c>
      <c r="Y1061" s="575" t="s">
        <v>2641</v>
      </c>
      <c r="Z1061" s="575" t="s">
        <v>2641</v>
      </c>
      <c r="AA1061" s="574" t="s">
        <v>1694</v>
      </c>
      <c r="AB1061" s="574" t="s">
        <v>2314</v>
      </c>
      <c r="AC1061" s="574" t="s">
        <v>3657</v>
      </c>
      <c r="AD1061" s="574" t="s">
        <v>3658</v>
      </c>
      <c r="AE1061" s="574" t="s">
        <v>3659</v>
      </c>
      <c r="AF1061" s="574" t="s">
        <v>3658</v>
      </c>
      <c r="AG1061" s="576">
        <v>0</v>
      </c>
      <c r="AH1061" s="576">
        <v>124872.68</v>
      </c>
    </row>
    <row r="1062" spans="1:34" customFormat="1" x14ac:dyDescent="0.25">
      <c r="A1062" s="574" t="s">
        <v>2219</v>
      </c>
      <c r="B1062" s="574" t="s">
        <v>2220</v>
      </c>
      <c r="C1062" s="574" t="s">
        <v>2221</v>
      </c>
      <c r="D1062" s="574" t="s">
        <v>2220</v>
      </c>
      <c r="E1062" s="574" t="s">
        <v>2222</v>
      </c>
      <c r="F1062" s="574" t="s">
        <v>2223</v>
      </c>
      <c r="G1062" s="574" t="s">
        <v>2224</v>
      </c>
      <c r="H1062" s="574" t="s">
        <v>2225</v>
      </c>
      <c r="I1062" s="574" t="s">
        <v>3638</v>
      </c>
      <c r="J1062" s="574" t="s">
        <v>3639</v>
      </c>
      <c r="K1062" s="574" t="s">
        <v>2228</v>
      </c>
      <c r="L1062" s="574" t="s">
        <v>2229</v>
      </c>
      <c r="M1062" s="574" t="s">
        <v>2230</v>
      </c>
      <c r="N1062" s="574" t="s">
        <v>2231</v>
      </c>
      <c r="O1062" s="574" t="s">
        <v>2232</v>
      </c>
      <c r="P1062" s="574" t="s">
        <v>2233</v>
      </c>
      <c r="Q1062" s="574" t="s">
        <v>2234</v>
      </c>
      <c r="R1062" s="574" t="s">
        <v>2225</v>
      </c>
      <c r="S1062" s="574" t="s">
        <v>2737</v>
      </c>
      <c r="T1062" s="574" t="s">
        <v>2738</v>
      </c>
      <c r="U1062" s="574" t="s">
        <v>3661</v>
      </c>
      <c r="V1062" s="574" t="s">
        <v>2238</v>
      </c>
      <c r="W1062" s="574" t="s">
        <v>2239</v>
      </c>
      <c r="X1062" s="574" t="s">
        <v>3647</v>
      </c>
      <c r="Y1062" s="575" t="s">
        <v>2674</v>
      </c>
      <c r="Z1062" s="575" t="s">
        <v>2674</v>
      </c>
      <c r="AA1062" s="574" t="s">
        <v>1689</v>
      </c>
      <c r="AB1062" s="574" t="s">
        <v>3648</v>
      </c>
      <c r="AC1062" s="574" t="s">
        <v>3649</v>
      </c>
      <c r="AD1062" s="574" t="s">
        <v>3650</v>
      </c>
      <c r="AE1062" s="574" t="s">
        <v>3651</v>
      </c>
      <c r="AF1062" s="574" t="s">
        <v>3650</v>
      </c>
      <c r="AG1062" s="576">
        <v>122460.17</v>
      </c>
      <c r="AH1062" s="576">
        <v>0</v>
      </c>
    </row>
    <row r="1063" spans="1:34" customFormat="1" x14ac:dyDescent="0.25">
      <c r="A1063" s="574" t="s">
        <v>2219</v>
      </c>
      <c r="B1063" s="574" t="s">
        <v>2220</v>
      </c>
      <c r="C1063" s="574" t="s">
        <v>2221</v>
      </c>
      <c r="D1063" s="574" t="s">
        <v>2220</v>
      </c>
      <c r="E1063" s="574" t="s">
        <v>2222</v>
      </c>
      <c r="F1063" s="574" t="s">
        <v>2223</v>
      </c>
      <c r="G1063" s="574" t="s">
        <v>2224</v>
      </c>
      <c r="H1063" s="574" t="s">
        <v>2225</v>
      </c>
      <c r="I1063" s="574" t="s">
        <v>3638</v>
      </c>
      <c r="J1063" s="574" t="s">
        <v>3639</v>
      </c>
      <c r="K1063" s="574" t="s">
        <v>2228</v>
      </c>
      <c r="L1063" s="574" t="s">
        <v>2229</v>
      </c>
      <c r="M1063" s="574" t="s">
        <v>2230</v>
      </c>
      <c r="N1063" s="574" t="s">
        <v>2231</v>
      </c>
      <c r="O1063" s="574" t="s">
        <v>2232</v>
      </c>
      <c r="P1063" s="574" t="s">
        <v>2233</v>
      </c>
      <c r="Q1063" s="574" t="s">
        <v>2234</v>
      </c>
      <c r="R1063" s="574" t="s">
        <v>2225</v>
      </c>
      <c r="S1063" s="574" t="s">
        <v>2737</v>
      </c>
      <c r="T1063" s="574" t="s">
        <v>2738</v>
      </c>
      <c r="U1063" s="574" t="s">
        <v>3662</v>
      </c>
      <c r="V1063" s="574" t="s">
        <v>2238</v>
      </c>
      <c r="W1063" s="574" t="s">
        <v>2239</v>
      </c>
      <c r="X1063" s="574" t="s">
        <v>2725</v>
      </c>
      <c r="Y1063" s="575" t="s">
        <v>2727</v>
      </c>
      <c r="Z1063" s="575" t="s">
        <v>2727</v>
      </c>
      <c r="AA1063" s="574" t="s">
        <v>1689</v>
      </c>
      <c r="AB1063" s="574" t="s">
        <v>3648</v>
      </c>
      <c r="AC1063" s="574" t="s">
        <v>3653</v>
      </c>
      <c r="AD1063" s="574" t="s">
        <v>101</v>
      </c>
      <c r="AE1063" s="574" t="s">
        <v>3654</v>
      </c>
      <c r="AF1063" s="574" t="s">
        <v>101</v>
      </c>
      <c r="AG1063" s="576">
        <v>518019.87</v>
      </c>
      <c r="AH1063" s="576">
        <v>0</v>
      </c>
    </row>
    <row r="1064" spans="1:34" customFormat="1" x14ac:dyDescent="0.25">
      <c r="A1064" s="574" t="s">
        <v>2219</v>
      </c>
      <c r="B1064" s="574" t="s">
        <v>2220</v>
      </c>
      <c r="C1064" s="574" t="s">
        <v>2221</v>
      </c>
      <c r="D1064" s="574" t="s">
        <v>2220</v>
      </c>
      <c r="E1064" s="574" t="s">
        <v>2222</v>
      </c>
      <c r="F1064" s="574" t="s">
        <v>2223</v>
      </c>
      <c r="G1064" s="574" t="s">
        <v>2224</v>
      </c>
      <c r="H1064" s="574" t="s">
        <v>2225</v>
      </c>
      <c r="I1064" s="574" t="s">
        <v>3638</v>
      </c>
      <c r="J1064" s="574" t="s">
        <v>3639</v>
      </c>
      <c r="K1064" s="574" t="s">
        <v>2228</v>
      </c>
      <c r="L1064" s="574" t="s">
        <v>2229</v>
      </c>
      <c r="M1064" s="574" t="s">
        <v>2230</v>
      </c>
      <c r="N1064" s="574" t="s">
        <v>2231</v>
      </c>
      <c r="O1064" s="574" t="s">
        <v>2232</v>
      </c>
      <c r="P1064" s="574" t="s">
        <v>2233</v>
      </c>
      <c r="Q1064" s="574" t="s">
        <v>2234</v>
      </c>
      <c r="R1064" s="574" t="s">
        <v>2225</v>
      </c>
      <c r="S1064" s="574" t="s">
        <v>2875</v>
      </c>
      <c r="T1064" s="574" t="s">
        <v>2876</v>
      </c>
      <c r="U1064" s="574" t="s">
        <v>3663</v>
      </c>
      <c r="V1064" s="574" t="s">
        <v>2238</v>
      </c>
      <c r="W1064" s="574" t="s">
        <v>2239</v>
      </c>
      <c r="X1064" s="574" t="s">
        <v>3641</v>
      </c>
      <c r="Y1064" s="575" t="s">
        <v>2296</v>
      </c>
      <c r="Z1064" s="575" t="s">
        <v>2296</v>
      </c>
      <c r="AA1064" s="574" t="s">
        <v>1695</v>
      </c>
      <c r="AB1064" s="574" t="s">
        <v>2337</v>
      </c>
      <c r="AC1064" s="574" t="s">
        <v>2338</v>
      </c>
      <c r="AD1064" s="574" t="s">
        <v>2339</v>
      </c>
      <c r="AE1064" s="574" t="s">
        <v>1436</v>
      </c>
      <c r="AF1064" s="574" t="s">
        <v>2339</v>
      </c>
      <c r="AG1064" s="576">
        <v>1228664.6200000001</v>
      </c>
      <c r="AH1064" s="576">
        <v>0</v>
      </c>
    </row>
    <row r="1065" spans="1:34" customFormat="1" x14ac:dyDescent="0.25">
      <c r="A1065" s="574" t="s">
        <v>2219</v>
      </c>
      <c r="B1065" s="574" t="s">
        <v>2220</v>
      </c>
      <c r="C1065" s="574" t="s">
        <v>2221</v>
      </c>
      <c r="D1065" s="574" t="s">
        <v>2220</v>
      </c>
      <c r="E1065" s="574" t="s">
        <v>2222</v>
      </c>
      <c r="F1065" s="574" t="s">
        <v>2223</v>
      </c>
      <c r="G1065" s="574" t="s">
        <v>2224</v>
      </c>
      <c r="H1065" s="574" t="s">
        <v>2225</v>
      </c>
      <c r="I1065" s="574" t="s">
        <v>3638</v>
      </c>
      <c r="J1065" s="574" t="s">
        <v>3639</v>
      </c>
      <c r="K1065" s="574" t="s">
        <v>2228</v>
      </c>
      <c r="L1065" s="574" t="s">
        <v>2229</v>
      </c>
      <c r="M1065" s="574" t="s">
        <v>2230</v>
      </c>
      <c r="N1065" s="574" t="s">
        <v>2231</v>
      </c>
      <c r="O1065" s="574" t="s">
        <v>2232</v>
      </c>
      <c r="P1065" s="574" t="s">
        <v>2233</v>
      </c>
      <c r="Q1065" s="574" t="s">
        <v>2234</v>
      </c>
      <c r="R1065" s="574" t="s">
        <v>2225</v>
      </c>
      <c r="S1065" s="574" t="s">
        <v>2875</v>
      </c>
      <c r="T1065" s="574" t="s">
        <v>2876</v>
      </c>
      <c r="U1065" s="574" t="s">
        <v>3664</v>
      </c>
      <c r="V1065" s="574" t="s">
        <v>2238</v>
      </c>
      <c r="W1065" s="574" t="s">
        <v>2239</v>
      </c>
      <c r="X1065" s="574" t="s">
        <v>3660</v>
      </c>
      <c r="Y1065" s="575" t="s">
        <v>2372</v>
      </c>
      <c r="Z1065" s="575" t="s">
        <v>2372</v>
      </c>
      <c r="AA1065" s="574" t="s">
        <v>1695</v>
      </c>
      <c r="AB1065" s="574" t="s">
        <v>2337</v>
      </c>
      <c r="AC1065" s="574" t="s">
        <v>2338</v>
      </c>
      <c r="AD1065" s="574" t="s">
        <v>2339</v>
      </c>
      <c r="AE1065" s="574" t="s">
        <v>1436</v>
      </c>
      <c r="AF1065" s="574" t="s">
        <v>2339</v>
      </c>
      <c r="AG1065" s="576">
        <v>32656.5</v>
      </c>
      <c r="AH1065" s="576">
        <v>0</v>
      </c>
    </row>
    <row r="1066" spans="1:34" customFormat="1" x14ac:dyDescent="0.25">
      <c r="A1066" s="574" t="s">
        <v>2219</v>
      </c>
      <c r="B1066" s="574" t="s">
        <v>2220</v>
      </c>
      <c r="C1066" s="574" t="s">
        <v>2221</v>
      </c>
      <c r="D1066" s="574" t="s">
        <v>2220</v>
      </c>
      <c r="E1066" s="574" t="s">
        <v>2222</v>
      </c>
      <c r="F1066" s="574" t="s">
        <v>2223</v>
      </c>
      <c r="G1066" s="574" t="s">
        <v>2224</v>
      </c>
      <c r="H1066" s="574" t="s">
        <v>2225</v>
      </c>
      <c r="I1066" s="574" t="s">
        <v>3638</v>
      </c>
      <c r="J1066" s="574" t="s">
        <v>3639</v>
      </c>
      <c r="K1066" s="574" t="s">
        <v>2228</v>
      </c>
      <c r="L1066" s="574" t="s">
        <v>2229</v>
      </c>
      <c r="M1066" s="574" t="s">
        <v>2230</v>
      </c>
      <c r="N1066" s="574" t="s">
        <v>2231</v>
      </c>
      <c r="O1066" s="574" t="s">
        <v>2232</v>
      </c>
      <c r="P1066" s="574" t="s">
        <v>2233</v>
      </c>
      <c r="Q1066" s="574" t="s">
        <v>2234</v>
      </c>
      <c r="R1066" s="574" t="s">
        <v>2225</v>
      </c>
      <c r="S1066" s="574" t="s">
        <v>2875</v>
      </c>
      <c r="T1066" s="574" t="s">
        <v>2876</v>
      </c>
      <c r="U1066" s="574" t="s">
        <v>3664</v>
      </c>
      <c r="V1066" s="574" t="s">
        <v>2238</v>
      </c>
      <c r="W1066" s="574" t="s">
        <v>2239</v>
      </c>
      <c r="X1066" s="574" t="s">
        <v>3660</v>
      </c>
      <c r="Y1066" s="575" t="s">
        <v>2372</v>
      </c>
      <c r="Z1066" s="575" t="s">
        <v>2454</v>
      </c>
      <c r="AA1066" s="574" t="s">
        <v>1695</v>
      </c>
      <c r="AB1066" s="574" t="s">
        <v>2337</v>
      </c>
      <c r="AC1066" s="574" t="s">
        <v>2338</v>
      </c>
      <c r="AD1066" s="574" t="s">
        <v>2339</v>
      </c>
      <c r="AE1066" s="574" t="s">
        <v>1436</v>
      </c>
      <c r="AF1066" s="574" t="s">
        <v>2339</v>
      </c>
      <c r="AG1066" s="576">
        <v>-32656.5</v>
      </c>
      <c r="AH1066" s="576">
        <v>0</v>
      </c>
    </row>
    <row r="1067" spans="1:34" customFormat="1" x14ac:dyDescent="0.25">
      <c r="A1067" s="574" t="s">
        <v>2219</v>
      </c>
      <c r="B1067" s="574" t="s">
        <v>2220</v>
      </c>
      <c r="C1067" s="574" t="s">
        <v>2221</v>
      </c>
      <c r="D1067" s="574" t="s">
        <v>2220</v>
      </c>
      <c r="E1067" s="574" t="s">
        <v>2222</v>
      </c>
      <c r="F1067" s="574" t="s">
        <v>2223</v>
      </c>
      <c r="G1067" s="574" t="s">
        <v>2224</v>
      </c>
      <c r="H1067" s="574" t="s">
        <v>2225</v>
      </c>
      <c r="I1067" s="574" t="s">
        <v>3638</v>
      </c>
      <c r="J1067" s="574" t="s">
        <v>3639</v>
      </c>
      <c r="K1067" s="574" t="s">
        <v>2228</v>
      </c>
      <c r="L1067" s="574" t="s">
        <v>2229</v>
      </c>
      <c r="M1067" s="574" t="s">
        <v>2230</v>
      </c>
      <c r="N1067" s="574" t="s">
        <v>2231</v>
      </c>
      <c r="O1067" s="574" t="s">
        <v>2232</v>
      </c>
      <c r="P1067" s="574" t="s">
        <v>2233</v>
      </c>
      <c r="Q1067" s="574" t="s">
        <v>2234</v>
      </c>
      <c r="R1067" s="574" t="s">
        <v>2225</v>
      </c>
      <c r="S1067" s="574" t="s">
        <v>2875</v>
      </c>
      <c r="T1067" s="574" t="s">
        <v>2876</v>
      </c>
      <c r="U1067" s="574" t="s">
        <v>3665</v>
      </c>
      <c r="V1067" s="574" t="s">
        <v>2238</v>
      </c>
      <c r="W1067" s="574" t="s">
        <v>2239</v>
      </c>
      <c r="X1067" s="574" t="s">
        <v>3643</v>
      </c>
      <c r="Y1067" s="575" t="s">
        <v>2429</v>
      </c>
      <c r="Z1067" s="575" t="s">
        <v>2429</v>
      </c>
      <c r="AA1067" s="574" t="s">
        <v>1695</v>
      </c>
      <c r="AB1067" s="574" t="s">
        <v>2337</v>
      </c>
      <c r="AC1067" s="574" t="s">
        <v>2338</v>
      </c>
      <c r="AD1067" s="574" t="s">
        <v>2339</v>
      </c>
      <c r="AE1067" s="574" t="s">
        <v>1436</v>
      </c>
      <c r="AF1067" s="574" t="s">
        <v>2339</v>
      </c>
      <c r="AG1067" s="576">
        <v>177000</v>
      </c>
      <c r="AH1067" s="576">
        <v>0</v>
      </c>
    </row>
    <row r="1068" spans="1:34" customFormat="1" x14ac:dyDescent="0.25">
      <c r="A1068" s="574" t="s">
        <v>2219</v>
      </c>
      <c r="B1068" s="574" t="s">
        <v>2220</v>
      </c>
      <c r="C1068" s="574" t="s">
        <v>2221</v>
      </c>
      <c r="D1068" s="574" t="s">
        <v>2220</v>
      </c>
      <c r="E1068" s="574" t="s">
        <v>2222</v>
      </c>
      <c r="F1068" s="574" t="s">
        <v>2223</v>
      </c>
      <c r="G1068" s="574" t="s">
        <v>2224</v>
      </c>
      <c r="H1068" s="574" t="s">
        <v>2225</v>
      </c>
      <c r="I1068" s="574" t="s">
        <v>3638</v>
      </c>
      <c r="J1068" s="574" t="s">
        <v>3639</v>
      </c>
      <c r="K1068" s="574" t="s">
        <v>2228</v>
      </c>
      <c r="L1068" s="574" t="s">
        <v>2229</v>
      </c>
      <c r="M1068" s="574" t="s">
        <v>2230</v>
      </c>
      <c r="N1068" s="574" t="s">
        <v>2231</v>
      </c>
      <c r="O1068" s="574" t="s">
        <v>2232</v>
      </c>
      <c r="P1068" s="574" t="s">
        <v>2233</v>
      </c>
      <c r="Q1068" s="574" t="s">
        <v>2234</v>
      </c>
      <c r="R1068" s="574" t="s">
        <v>2225</v>
      </c>
      <c r="S1068" s="574" t="s">
        <v>2875</v>
      </c>
      <c r="T1068" s="574" t="s">
        <v>2876</v>
      </c>
      <c r="U1068" s="574" t="s">
        <v>3666</v>
      </c>
      <c r="V1068" s="574" t="s">
        <v>2238</v>
      </c>
      <c r="W1068" s="574" t="s">
        <v>2239</v>
      </c>
      <c r="X1068" s="574" t="s">
        <v>3645</v>
      </c>
      <c r="Y1068" s="575" t="s">
        <v>2454</v>
      </c>
      <c r="Z1068" s="575" t="s">
        <v>2454</v>
      </c>
      <c r="AA1068" s="574" t="s">
        <v>1695</v>
      </c>
      <c r="AB1068" s="574" t="s">
        <v>2337</v>
      </c>
      <c r="AC1068" s="574" t="s">
        <v>2338</v>
      </c>
      <c r="AD1068" s="574" t="s">
        <v>2339</v>
      </c>
      <c r="AE1068" s="574" t="s">
        <v>1436</v>
      </c>
      <c r="AF1068" s="574" t="s">
        <v>2339</v>
      </c>
      <c r="AG1068" s="576">
        <v>32656.5</v>
      </c>
      <c r="AH1068" s="576">
        <v>0</v>
      </c>
    </row>
    <row r="1069" spans="1:34" customFormat="1" x14ac:dyDescent="0.25">
      <c r="A1069" s="574" t="s">
        <v>2219</v>
      </c>
      <c r="B1069" s="574" t="s">
        <v>2220</v>
      </c>
      <c r="C1069" s="574" t="s">
        <v>2221</v>
      </c>
      <c r="D1069" s="574" t="s">
        <v>2220</v>
      </c>
      <c r="E1069" s="574" t="s">
        <v>2222</v>
      </c>
      <c r="F1069" s="574" t="s">
        <v>2223</v>
      </c>
      <c r="G1069" s="574" t="s">
        <v>2224</v>
      </c>
      <c r="H1069" s="574" t="s">
        <v>2225</v>
      </c>
      <c r="I1069" s="574" t="s">
        <v>3638</v>
      </c>
      <c r="J1069" s="574" t="s">
        <v>3639</v>
      </c>
      <c r="K1069" s="574" t="s">
        <v>2228</v>
      </c>
      <c r="L1069" s="574" t="s">
        <v>2229</v>
      </c>
      <c r="M1069" s="574" t="s">
        <v>2230</v>
      </c>
      <c r="N1069" s="574" t="s">
        <v>2231</v>
      </c>
      <c r="O1069" s="574" t="s">
        <v>2232</v>
      </c>
      <c r="P1069" s="574" t="s">
        <v>2233</v>
      </c>
      <c r="Q1069" s="574" t="s">
        <v>2234</v>
      </c>
      <c r="R1069" s="574" t="s">
        <v>2225</v>
      </c>
      <c r="S1069" s="574" t="s">
        <v>2875</v>
      </c>
      <c r="T1069" s="574" t="s">
        <v>2876</v>
      </c>
      <c r="U1069" s="574" t="s">
        <v>3667</v>
      </c>
      <c r="V1069" s="574" t="s">
        <v>2238</v>
      </c>
      <c r="W1069" s="574" t="s">
        <v>2239</v>
      </c>
      <c r="X1069" s="574" t="s">
        <v>3656</v>
      </c>
      <c r="Y1069" s="575" t="s">
        <v>2517</v>
      </c>
      <c r="Z1069" s="575" t="s">
        <v>2517</v>
      </c>
      <c r="AA1069" s="574" t="s">
        <v>1695</v>
      </c>
      <c r="AB1069" s="574" t="s">
        <v>2337</v>
      </c>
      <c r="AC1069" s="574" t="s">
        <v>2338</v>
      </c>
      <c r="AD1069" s="574" t="s">
        <v>2339</v>
      </c>
      <c r="AE1069" s="574" t="s">
        <v>1436</v>
      </c>
      <c r="AF1069" s="574" t="s">
        <v>2339</v>
      </c>
      <c r="AG1069" s="576">
        <v>103580.4</v>
      </c>
      <c r="AH1069" s="576">
        <v>0</v>
      </c>
    </row>
    <row r="1070" spans="1:34" customFormat="1" x14ac:dyDescent="0.25">
      <c r="A1070" s="574" t="s">
        <v>2219</v>
      </c>
      <c r="B1070" s="574" t="s">
        <v>2220</v>
      </c>
      <c r="C1070" s="574" t="s">
        <v>2221</v>
      </c>
      <c r="D1070" s="574" t="s">
        <v>2220</v>
      </c>
      <c r="E1070" s="574" t="s">
        <v>2222</v>
      </c>
      <c r="F1070" s="574" t="s">
        <v>2223</v>
      </c>
      <c r="G1070" s="574" t="s">
        <v>2224</v>
      </c>
      <c r="H1070" s="574" t="s">
        <v>2225</v>
      </c>
      <c r="I1070" s="574" t="s">
        <v>3638</v>
      </c>
      <c r="J1070" s="574" t="s">
        <v>3639</v>
      </c>
      <c r="K1070" s="574" t="s">
        <v>2228</v>
      </c>
      <c r="L1070" s="574" t="s">
        <v>2229</v>
      </c>
      <c r="M1070" s="574" t="s">
        <v>2230</v>
      </c>
      <c r="N1070" s="574" t="s">
        <v>2231</v>
      </c>
      <c r="O1070" s="574" t="s">
        <v>2232</v>
      </c>
      <c r="P1070" s="574" t="s">
        <v>2233</v>
      </c>
      <c r="Q1070" s="574" t="s">
        <v>2234</v>
      </c>
      <c r="R1070" s="574" t="s">
        <v>2225</v>
      </c>
      <c r="S1070" s="574" t="s">
        <v>2875</v>
      </c>
      <c r="T1070" s="574" t="s">
        <v>2876</v>
      </c>
      <c r="U1070" s="574" t="s">
        <v>2912</v>
      </c>
      <c r="V1070" s="574" t="s">
        <v>2238</v>
      </c>
      <c r="W1070" s="574" t="s">
        <v>2239</v>
      </c>
      <c r="X1070" s="574" t="s">
        <v>2681</v>
      </c>
      <c r="Y1070" s="575" t="s">
        <v>2680</v>
      </c>
      <c r="Z1070" s="575" t="s">
        <v>2680</v>
      </c>
      <c r="AA1070" s="574" t="s">
        <v>1694</v>
      </c>
      <c r="AB1070" s="574" t="s">
        <v>2314</v>
      </c>
      <c r="AC1070" s="574" t="s">
        <v>3657</v>
      </c>
      <c r="AD1070" s="574" t="s">
        <v>3658</v>
      </c>
      <c r="AE1070" s="574" t="s">
        <v>3659</v>
      </c>
      <c r="AF1070" s="574" t="s">
        <v>3658</v>
      </c>
      <c r="AG1070" s="576">
        <v>1016157</v>
      </c>
      <c r="AH1070" s="576">
        <v>0</v>
      </c>
    </row>
    <row r="1071" spans="1:34" customFormat="1" x14ac:dyDescent="0.25">
      <c r="A1071" s="574" t="s">
        <v>2219</v>
      </c>
      <c r="B1071" s="574" t="s">
        <v>2220</v>
      </c>
      <c r="C1071" s="574" t="s">
        <v>2221</v>
      </c>
      <c r="D1071" s="574" t="s">
        <v>2220</v>
      </c>
      <c r="E1071" s="574" t="s">
        <v>2222</v>
      </c>
      <c r="F1071" s="574" t="s">
        <v>2223</v>
      </c>
      <c r="G1071" s="574" t="s">
        <v>2224</v>
      </c>
      <c r="H1071" s="574" t="s">
        <v>2225</v>
      </c>
      <c r="I1071" s="574" t="s">
        <v>3638</v>
      </c>
      <c r="J1071" s="574" t="s">
        <v>3639</v>
      </c>
      <c r="K1071" s="574" t="s">
        <v>2228</v>
      </c>
      <c r="L1071" s="574" t="s">
        <v>2229</v>
      </c>
      <c r="M1071" s="574" t="s">
        <v>2230</v>
      </c>
      <c r="N1071" s="574" t="s">
        <v>2231</v>
      </c>
      <c r="O1071" s="574" t="s">
        <v>2232</v>
      </c>
      <c r="P1071" s="574" t="s">
        <v>2233</v>
      </c>
      <c r="Q1071" s="574" t="s">
        <v>2234</v>
      </c>
      <c r="R1071" s="574" t="s">
        <v>2225</v>
      </c>
      <c r="S1071" s="574" t="s">
        <v>2875</v>
      </c>
      <c r="T1071" s="574" t="s">
        <v>2876</v>
      </c>
      <c r="U1071" s="574" t="s">
        <v>2917</v>
      </c>
      <c r="V1071" s="574" t="s">
        <v>2238</v>
      </c>
      <c r="W1071" s="574" t="s">
        <v>2239</v>
      </c>
      <c r="X1071" s="574" t="s">
        <v>2647</v>
      </c>
      <c r="Y1071" s="575" t="s">
        <v>2680</v>
      </c>
      <c r="Z1071" s="575" t="s">
        <v>2680</v>
      </c>
      <c r="AA1071" s="574" t="s">
        <v>1694</v>
      </c>
      <c r="AB1071" s="574" t="s">
        <v>2314</v>
      </c>
      <c r="AC1071" s="574" t="s">
        <v>3657</v>
      </c>
      <c r="AD1071" s="574" t="s">
        <v>3658</v>
      </c>
      <c r="AE1071" s="574" t="s">
        <v>3659</v>
      </c>
      <c r="AF1071" s="574" t="s">
        <v>3658</v>
      </c>
      <c r="AG1071" s="576">
        <v>124872.68</v>
      </c>
      <c r="AH1071" s="576">
        <v>0</v>
      </c>
    </row>
    <row r="1072" spans="1:34" customFormat="1" x14ac:dyDescent="0.25"/>
    <row r="1073" spans="33:34" customFormat="1" x14ac:dyDescent="0.25">
      <c r="AG1073" s="577">
        <f>SUBTOTAL(9,AG2:AG1072)</f>
        <v>454404442.75000006</v>
      </c>
      <c r="AH1073" s="577">
        <f>SUBTOTAL(9,AH2:AH1072)</f>
        <v>436756842.17000008</v>
      </c>
    </row>
    <row r="1074" spans="33:34" customFormat="1" x14ac:dyDescent="0.25">
      <c r="AH1074" s="295">
        <f>+AH1073-AG1073</f>
        <v>-17647600.579999983</v>
      </c>
    </row>
    <row r="1075" spans="33:34" customFormat="1" x14ac:dyDescent="0.25"/>
    <row r="1076" spans="33:34" customFormat="1" x14ac:dyDescent="0.25"/>
    <row r="1077" spans="33:34" customFormat="1" x14ac:dyDescent="0.25"/>
    <row r="1078" spans="33:34" customFormat="1" x14ac:dyDescent="0.25"/>
    <row r="1079" spans="33:34" customFormat="1" x14ac:dyDescent="0.25"/>
    <row r="1080" spans="33:34" customFormat="1" x14ac:dyDescent="0.25"/>
    <row r="1081" spans="33:34" customFormat="1" x14ac:dyDescent="0.25"/>
    <row r="1082" spans="33:34" customFormat="1" x14ac:dyDescent="0.25"/>
    <row r="1083" spans="33:34" customFormat="1" x14ac:dyDescent="0.25"/>
    <row r="1084" spans="33:34" customFormat="1" x14ac:dyDescent="0.25"/>
    <row r="1085" spans="33:34" customFormat="1" x14ac:dyDescent="0.25"/>
    <row r="1086" spans="33:34" customFormat="1" x14ac:dyDescent="0.25"/>
    <row r="1087" spans="33:34" customFormat="1" x14ac:dyDescent="0.25"/>
    <row r="1088" spans="33:34" customFormat="1" x14ac:dyDescent="0.25"/>
    <row r="1089" customFormat="1" x14ac:dyDescent="0.25"/>
    <row r="1090" customFormat="1" x14ac:dyDescent="0.25"/>
    <row r="1091" customFormat="1" x14ac:dyDescent="0.25"/>
    <row r="1092" customFormat="1" x14ac:dyDescent="0.25"/>
    <row r="1093" customFormat="1" x14ac:dyDescent="0.25"/>
    <row r="1094" customFormat="1" x14ac:dyDescent="0.25"/>
    <row r="1095" customFormat="1" x14ac:dyDescent="0.25"/>
    <row r="1096" customFormat="1" x14ac:dyDescent="0.25"/>
    <row r="1097" customFormat="1" x14ac:dyDescent="0.25"/>
    <row r="1098" customFormat="1" x14ac:dyDescent="0.25"/>
    <row r="1099" customFormat="1" x14ac:dyDescent="0.25"/>
    <row r="1100" customFormat="1" x14ac:dyDescent="0.25"/>
    <row r="1101" customFormat="1" x14ac:dyDescent="0.25"/>
    <row r="1102" customFormat="1" x14ac:dyDescent="0.25"/>
    <row r="1103" customFormat="1" x14ac:dyDescent="0.25"/>
    <row r="1104" customFormat="1" x14ac:dyDescent="0.25"/>
    <row r="1105" customFormat="1" x14ac:dyDescent="0.25"/>
    <row r="1106" customFormat="1" x14ac:dyDescent="0.25"/>
    <row r="1107" customFormat="1" x14ac:dyDescent="0.25"/>
    <row r="1108" customFormat="1" x14ac:dyDescent="0.25"/>
    <row r="1109" customFormat="1" x14ac:dyDescent="0.25"/>
    <row r="1110" customFormat="1" x14ac:dyDescent="0.25"/>
    <row r="1111" customFormat="1" x14ac:dyDescent="0.25"/>
    <row r="1112" customFormat="1" x14ac:dyDescent="0.25"/>
    <row r="1113" customFormat="1" x14ac:dyDescent="0.25"/>
    <row r="1114" customFormat="1" x14ac:dyDescent="0.25"/>
    <row r="1115" customFormat="1" x14ac:dyDescent="0.25"/>
    <row r="1116" customFormat="1" x14ac:dyDescent="0.25"/>
    <row r="1117" customFormat="1" x14ac:dyDescent="0.25"/>
    <row r="1118" customFormat="1" x14ac:dyDescent="0.25"/>
    <row r="1119" customFormat="1" x14ac:dyDescent="0.25"/>
    <row r="1120" customFormat="1" x14ac:dyDescent="0.25"/>
    <row r="1121" customFormat="1" x14ac:dyDescent="0.25"/>
    <row r="1122" customFormat="1" x14ac:dyDescent="0.25"/>
    <row r="1123" customFormat="1" x14ac:dyDescent="0.25"/>
    <row r="1124" customFormat="1" x14ac:dyDescent="0.25"/>
    <row r="1125" customFormat="1" x14ac:dyDescent="0.25"/>
    <row r="1126" customFormat="1" x14ac:dyDescent="0.25"/>
    <row r="1127" customFormat="1" x14ac:dyDescent="0.25"/>
    <row r="1128" customFormat="1" x14ac:dyDescent="0.25"/>
    <row r="1129" customFormat="1" x14ac:dyDescent="0.25"/>
    <row r="1130" customFormat="1" x14ac:dyDescent="0.25"/>
    <row r="1131" customFormat="1" x14ac:dyDescent="0.25"/>
    <row r="1132" customFormat="1" x14ac:dyDescent="0.25"/>
    <row r="1133" customFormat="1" x14ac:dyDescent="0.25"/>
    <row r="1134" customFormat="1" x14ac:dyDescent="0.25"/>
    <row r="1135" customFormat="1" x14ac:dyDescent="0.25"/>
    <row r="1136" customFormat="1" x14ac:dyDescent="0.25"/>
    <row r="1137" customFormat="1" x14ac:dyDescent="0.25"/>
    <row r="1138" customFormat="1" x14ac:dyDescent="0.25"/>
    <row r="1139" customFormat="1" x14ac:dyDescent="0.25"/>
    <row r="1140" customFormat="1" x14ac:dyDescent="0.25"/>
    <row r="1141" customFormat="1" x14ac:dyDescent="0.25"/>
    <row r="1142" customFormat="1" x14ac:dyDescent="0.25"/>
    <row r="1143" customFormat="1" x14ac:dyDescent="0.25"/>
    <row r="1144" customFormat="1" x14ac:dyDescent="0.25"/>
    <row r="1145" customFormat="1" x14ac:dyDescent="0.25"/>
    <row r="1146" customFormat="1" x14ac:dyDescent="0.25"/>
    <row r="1147" customFormat="1" x14ac:dyDescent="0.25"/>
    <row r="1148" customFormat="1" x14ac:dyDescent="0.25"/>
    <row r="1149" customFormat="1" x14ac:dyDescent="0.25"/>
    <row r="1150" customFormat="1" x14ac:dyDescent="0.25"/>
    <row r="1151" customFormat="1" x14ac:dyDescent="0.25"/>
    <row r="1152" customFormat="1" x14ac:dyDescent="0.25"/>
    <row r="1153" customFormat="1" x14ac:dyDescent="0.25"/>
    <row r="1154" customFormat="1" x14ac:dyDescent="0.25"/>
    <row r="1155" customFormat="1" x14ac:dyDescent="0.25"/>
    <row r="1156" customFormat="1" x14ac:dyDescent="0.25"/>
    <row r="1157" customFormat="1" x14ac:dyDescent="0.25"/>
    <row r="1158" customFormat="1" x14ac:dyDescent="0.25"/>
    <row r="1159" customFormat="1" x14ac:dyDescent="0.25"/>
    <row r="1160" customFormat="1" x14ac:dyDescent="0.25"/>
    <row r="1161" customFormat="1" x14ac:dyDescent="0.25"/>
    <row r="1162" customFormat="1" x14ac:dyDescent="0.25"/>
    <row r="1163" customFormat="1" x14ac:dyDescent="0.25"/>
    <row r="1164" customFormat="1" x14ac:dyDescent="0.25"/>
    <row r="1165" customFormat="1" x14ac:dyDescent="0.25"/>
    <row r="1166" customFormat="1" x14ac:dyDescent="0.25"/>
    <row r="1167" customFormat="1" x14ac:dyDescent="0.25"/>
    <row r="1168" customFormat="1" x14ac:dyDescent="0.25"/>
    <row r="1169" customFormat="1" x14ac:dyDescent="0.25"/>
    <row r="1170" customFormat="1" x14ac:dyDescent="0.25"/>
    <row r="1171" customFormat="1" x14ac:dyDescent="0.25"/>
    <row r="1172" customFormat="1" x14ac:dyDescent="0.25"/>
    <row r="1173" customFormat="1" x14ac:dyDescent="0.25"/>
    <row r="1174" customFormat="1" x14ac:dyDescent="0.25"/>
    <row r="1175" customFormat="1" x14ac:dyDescent="0.25"/>
    <row r="1176" customFormat="1" x14ac:dyDescent="0.25"/>
    <row r="1177" customFormat="1" x14ac:dyDescent="0.25"/>
    <row r="1178" customFormat="1" x14ac:dyDescent="0.25"/>
    <row r="1179" customFormat="1" x14ac:dyDescent="0.25"/>
    <row r="1180" customFormat="1" x14ac:dyDescent="0.25"/>
    <row r="1181" customFormat="1" x14ac:dyDescent="0.25"/>
    <row r="1182" customFormat="1" x14ac:dyDescent="0.25"/>
    <row r="1183" customFormat="1" x14ac:dyDescent="0.25"/>
    <row r="1184" customFormat="1" x14ac:dyDescent="0.25"/>
    <row r="1185" customFormat="1" x14ac:dyDescent="0.25"/>
    <row r="1186" customFormat="1" x14ac:dyDescent="0.25"/>
    <row r="1187" customFormat="1" x14ac:dyDescent="0.25"/>
    <row r="1188" customFormat="1" x14ac:dyDescent="0.25"/>
    <row r="1189" customFormat="1" x14ac:dyDescent="0.25"/>
    <row r="1190" customFormat="1" x14ac:dyDescent="0.25"/>
    <row r="1191" customFormat="1" x14ac:dyDescent="0.25"/>
    <row r="1192" customFormat="1" x14ac:dyDescent="0.25"/>
    <row r="1193" customFormat="1" x14ac:dyDescent="0.25"/>
    <row r="1194" customFormat="1" x14ac:dyDescent="0.25"/>
    <row r="1195" customFormat="1" x14ac:dyDescent="0.25"/>
    <row r="1196" customFormat="1" x14ac:dyDescent="0.25"/>
    <row r="1197" customFormat="1" x14ac:dyDescent="0.25"/>
    <row r="1198" customFormat="1" x14ac:dyDescent="0.25"/>
    <row r="1199" customFormat="1" x14ac:dyDescent="0.25"/>
    <row r="1200" customFormat="1" x14ac:dyDescent="0.25"/>
    <row r="1201" customFormat="1" x14ac:dyDescent="0.25"/>
    <row r="1202" customFormat="1" x14ac:dyDescent="0.25"/>
    <row r="1203" customFormat="1" x14ac:dyDescent="0.25"/>
    <row r="1204" customFormat="1" x14ac:dyDescent="0.25"/>
    <row r="1205" customFormat="1" x14ac:dyDescent="0.25"/>
    <row r="1206" customFormat="1" x14ac:dyDescent="0.25"/>
    <row r="1207" customFormat="1" x14ac:dyDescent="0.25"/>
    <row r="1208" customFormat="1" x14ac:dyDescent="0.25"/>
    <row r="1209" customFormat="1" x14ac:dyDescent="0.25"/>
    <row r="1210" customFormat="1" x14ac:dyDescent="0.25"/>
    <row r="1211" customFormat="1" x14ac:dyDescent="0.25"/>
    <row r="1212" customFormat="1" x14ac:dyDescent="0.25"/>
    <row r="1213" customFormat="1" x14ac:dyDescent="0.25"/>
    <row r="1214" customFormat="1" x14ac:dyDescent="0.25"/>
    <row r="1215" customFormat="1" x14ac:dyDescent="0.25"/>
    <row r="1216" customFormat="1" x14ac:dyDescent="0.25"/>
    <row r="1217" customFormat="1" x14ac:dyDescent="0.25"/>
    <row r="1218" customFormat="1" x14ac:dyDescent="0.25"/>
    <row r="1219" customFormat="1" x14ac:dyDescent="0.25"/>
    <row r="1220" customFormat="1" x14ac:dyDescent="0.25"/>
    <row r="1221" customFormat="1" x14ac:dyDescent="0.25"/>
    <row r="1222" customFormat="1" x14ac:dyDescent="0.25"/>
    <row r="1223" customFormat="1" x14ac:dyDescent="0.25"/>
    <row r="1224" customFormat="1" x14ac:dyDescent="0.25"/>
    <row r="1225" customFormat="1" x14ac:dyDescent="0.25"/>
    <row r="1226" customFormat="1" x14ac:dyDescent="0.25"/>
    <row r="1227" customFormat="1" x14ac:dyDescent="0.25"/>
    <row r="1228" customFormat="1" x14ac:dyDescent="0.25"/>
    <row r="1229" customFormat="1" x14ac:dyDescent="0.25"/>
    <row r="1230" customFormat="1" x14ac:dyDescent="0.25"/>
    <row r="1231" customFormat="1" x14ac:dyDescent="0.25"/>
    <row r="1232" customFormat="1" x14ac:dyDescent="0.25"/>
    <row r="1233" customFormat="1" x14ac:dyDescent="0.25"/>
    <row r="1234" customFormat="1" x14ac:dyDescent="0.25"/>
    <row r="1235" customFormat="1" x14ac:dyDescent="0.25"/>
    <row r="1236" customFormat="1" x14ac:dyDescent="0.25"/>
    <row r="1237" customFormat="1" x14ac:dyDescent="0.25"/>
    <row r="1238" customFormat="1" x14ac:dyDescent="0.25"/>
    <row r="1239" customFormat="1" x14ac:dyDescent="0.25"/>
    <row r="1240" customFormat="1" x14ac:dyDescent="0.25"/>
    <row r="1241" customFormat="1" x14ac:dyDescent="0.25"/>
    <row r="1242" customFormat="1" x14ac:dyDescent="0.25"/>
    <row r="1243" customFormat="1" x14ac:dyDescent="0.25"/>
    <row r="1244" customFormat="1" x14ac:dyDescent="0.25"/>
    <row r="1245" customFormat="1" x14ac:dyDescent="0.25"/>
    <row r="1246" customFormat="1" x14ac:dyDescent="0.25"/>
    <row r="1247" customFormat="1" x14ac:dyDescent="0.25"/>
    <row r="1248" customFormat="1" x14ac:dyDescent="0.25"/>
    <row r="1249" customFormat="1" x14ac:dyDescent="0.25"/>
    <row r="1250" customFormat="1" x14ac:dyDescent="0.25"/>
    <row r="1251" customFormat="1" x14ac:dyDescent="0.25"/>
    <row r="1252" customFormat="1" x14ac:dyDescent="0.25"/>
    <row r="1253" customFormat="1" x14ac:dyDescent="0.25"/>
    <row r="1254" customFormat="1" x14ac:dyDescent="0.25"/>
    <row r="1255" customFormat="1" x14ac:dyDescent="0.25"/>
    <row r="1256" customFormat="1" x14ac:dyDescent="0.25"/>
    <row r="1257" customFormat="1" x14ac:dyDescent="0.25"/>
    <row r="1258" customFormat="1" x14ac:dyDescent="0.25"/>
    <row r="1259" customFormat="1" x14ac:dyDescent="0.25"/>
    <row r="1260" customFormat="1" x14ac:dyDescent="0.25"/>
    <row r="1261" customFormat="1" x14ac:dyDescent="0.25"/>
    <row r="1262" customFormat="1" x14ac:dyDescent="0.25"/>
    <row r="1263" customFormat="1" x14ac:dyDescent="0.25"/>
    <row r="1264" customFormat="1" x14ac:dyDescent="0.25"/>
    <row r="1265" customFormat="1" x14ac:dyDescent="0.25"/>
    <row r="1266" customFormat="1" x14ac:dyDescent="0.25"/>
    <row r="1267" customFormat="1" x14ac:dyDescent="0.25"/>
    <row r="1268" customFormat="1" x14ac:dyDescent="0.25"/>
    <row r="1269" customFormat="1" x14ac:dyDescent="0.25"/>
    <row r="1270" customFormat="1" x14ac:dyDescent="0.25"/>
    <row r="1271" customFormat="1" x14ac:dyDescent="0.25"/>
    <row r="1272" customFormat="1" x14ac:dyDescent="0.25"/>
    <row r="1273" customFormat="1" x14ac:dyDescent="0.25"/>
    <row r="1274" customFormat="1" x14ac:dyDescent="0.25"/>
    <row r="1275" customFormat="1" x14ac:dyDescent="0.25"/>
    <row r="1276" customFormat="1" x14ac:dyDescent="0.25"/>
    <row r="1277" customFormat="1" x14ac:dyDescent="0.25"/>
    <row r="1278" customFormat="1" x14ac:dyDescent="0.25"/>
    <row r="1279" customFormat="1" x14ac:dyDescent="0.25"/>
    <row r="1280" customFormat="1" x14ac:dyDescent="0.25"/>
    <row r="1281" customFormat="1" x14ac:dyDescent="0.25"/>
    <row r="1282" customFormat="1" x14ac:dyDescent="0.25"/>
    <row r="1283" customFormat="1" x14ac:dyDescent="0.25"/>
    <row r="1284" customFormat="1" x14ac:dyDescent="0.25"/>
    <row r="1285" customFormat="1" x14ac:dyDescent="0.25"/>
    <row r="1286" customFormat="1" x14ac:dyDescent="0.25"/>
    <row r="1287" customFormat="1" x14ac:dyDescent="0.25"/>
    <row r="1288" customFormat="1" x14ac:dyDescent="0.25"/>
    <row r="1289" customFormat="1" x14ac:dyDescent="0.25"/>
    <row r="1290" customFormat="1" x14ac:dyDescent="0.25"/>
    <row r="1291" customFormat="1" x14ac:dyDescent="0.25"/>
    <row r="1292" customFormat="1" x14ac:dyDescent="0.25"/>
    <row r="1293" customFormat="1" x14ac:dyDescent="0.25"/>
    <row r="1294" customFormat="1" x14ac:dyDescent="0.25"/>
    <row r="1295" customFormat="1" x14ac:dyDescent="0.25"/>
    <row r="1296" customFormat="1" x14ac:dyDescent="0.25"/>
    <row r="1297" customFormat="1" x14ac:dyDescent="0.25"/>
    <row r="1298" customFormat="1" x14ac:dyDescent="0.25"/>
    <row r="1299" customFormat="1" x14ac:dyDescent="0.25"/>
    <row r="1300" customFormat="1" x14ac:dyDescent="0.25"/>
    <row r="1301" customFormat="1" x14ac:dyDescent="0.25"/>
    <row r="1302" customFormat="1" x14ac:dyDescent="0.25"/>
    <row r="1303" customFormat="1" x14ac:dyDescent="0.25"/>
    <row r="1304" customFormat="1" x14ac:dyDescent="0.25"/>
    <row r="1305" customFormat="1" x14ac:dyDescent="0.25"/>
    <row r="1306" customFormat="1" x14ac:dyDescent="0.25"/>
    <row r="1307" customFormat="1" x14ac:dyDescent="0.25"/>
    <row r="1308" customFormat="1" x14ac:dyDescent="0.25"/>
    <row r="1309" customFormat="1" x14ac:dyDescent="0.25"/>
    <row r="1310" customFormat="1" x14ac:dyDescent="0.25"/>
    <row r="1311" customFormat="1" x14ac:dyDescent="0.25"/>
    <row r="1312" customFormat="1" x14ac:dyDescent="0.25"/>
    <row r="1313" customFormat="1" x14ac:dyDescent="0.25"/>
    <row r="1314" customFormat="1" x14ac:dyDescent="0.25"/>
    <row r="1315" customFormat="1" x14ac:dyDescent="0.25"/>
    <row r="1316" customFormat="1" x14ac:dyDescent="0.25"/>
    <row r="1317" customFormat="1" x14ac:dyDescent="0.25"/>
    <row r="1318" customFormat="1" x14ac:dyDescent="0.25"/>
    <row r="1319" customFormat="1" x14ac:dyDescent="0.25"/>
    <row r="1320" customFormat="1" x14ac:dyDescent="0.25"/>
    <row r="1321" customFormat="1" x14ac:dyDescent="0.25"/>
    <row r="1322" customFormat="1" x14ac:dyDescent="0.25"/>
    <row r="1323" customFormat="1" x14ac:dyDescent="0.25"/>
    <row r="1324" customFormat="1" x14ac:dyDescent="0.25"/>
    <row r="1325" customFormat="1" x14ac:dyDescent="0.25"/>
    <row r="1326" customFormat="1" x14ac:dyDescent="0.25"/>
    <row r="1327" customFormat="1" x14ac:dyDescent="0.25"/>
    <row r="1328" customFormat="1" x14ac:dyDescent="0.25"/>
    <row r="1329" customFormat="1" x14ac:dyDescent="0.25"/>
    <row r="1330" customFormat="1" x14ac:dyDescent="0.25"/>
    <row r="1331" customFormat="1" x14ac:dyDescent="0.25"/>
    <row r="1332" customFormat="1" x14ac:dyDescent="0.25"/>
    <row r="1333" customFormat="1" x14ac:dyDescent="0.25"/>
    <row r="1334" customFormat="1" x14ac:dyDescent="0.25"/>
    <row r="1335" customFormat="1" x14ac:dyDescent="0.25"/>
    <row r="1336" customFormat="1" x14ac:dyDescent="0.25"/>
    <row r="1337" customFormat="1" x14ac:dyDescent="0.25"/>
    <row r="1338" customFormat="1" x14ac:dyDescent="0.25"/>
    <row r="1339" customFormat="1" x14ac:dyDescent="0.25"/>
    <row r="1340" customFormat="1" x14ac:dyDescent="0.25"/>
    <row r="1341" customFormat="1" x14ac:dyDescent="0.25"/>
    <row r="1342" customFormat="1" x14ac:dyDescent="0.25"/>
    <row r="1343" customFormat="1" x14ac:dyDescent="0.25"/>
    <row r="1344" customFormat="1" x14ac:dyDescent="0.25"/>
    <row r="1345" customFormat="1" x14ac:dyDescent="0.25"/>
    <row r="1346" customFormat="1" x14ac:dyDescent="0.25"/>
    <row r="1347" customFormat="1" x14ac:dyDescent="0.25"/>
    <row r="1348" customFormat="1" x14ac:dyDescent="0.25"/>
    <row r="1349" customFormat="1" x14ac:dyDescent="0.25"/>
    <row r="1350" customFormat="1" x14ac:dyDescent="0.25"/>
    <row r="1351" customFormat="1" x14ac:dyDescent="0.25"/>
    <row r="1352" customFormat="1" x14ac:dyDescent="0.25"/>
    <row r="1353" customFormat="1" x14ac:dyDescent="0.25"/>
    <row r="1354" customFormat="1" x14ac:dyDescent="0.25"/>
    <row r="1355" customFormat="1" x14ac:dyDescent="0.25"/>
    <row r="1356" customFormat="1" x14ac:dyDescent="0.25"/>
    <row r="1357" customFormat="1" x14ac:dyDescent="0.25"/>
    <row r="1358" customFormat="1" x14ac:dyDescent="0.25"/>
    <row r="1359" customFormat="1" x14ac:dyDescent="0.25"/>
    <row r="1360" customFormat="1" x14ac:dyDescent="0.25"/>
    <row r="1361" customFormat="1" x14ac:dyDescent="0.25"/>
    <row r="1362" customFormat="1" x14ac:dyDescent="0.25"/>
    <row r="1363" customFormat="1" x14ac:dyDescent="0.25"/>
    <row r="1364" customFormat="1" x14ac:dyDescent="0.25"/>
    <row r="1365" customFormat="1" x14ac:dyDescent="0.25"/>
    <row r="1366" customFormat="1" x14ac:dyDescent="0.25"/>
    <row r="1367" customFormat="1" x14ac:dyDescent="0.25"/>
    <row r="1368" customFormat="1" x14ac:dyDescent="0.25"/>
    <row r="1369" customFormat="1" x14ac:dyDescent="0.25"/>
    <row r="1370" customFormat="1" x14ac:dyDescent="0.25"/>
    <row r="1371" customFormat="1" x14ac:dyDescent="0.25"/>
    <row r="1372" customFormat="1" x14ac:dyDescent="0.25"/>
    <row r="1373" customFormat="1" x14ac:dyDescent="0.25"/>
    <row r="1374" customFormat="1" x14ac:dyDescent="0.25"/>
    <row r="1375" customFormat="1" x14ac:dyDescent="0.25"/>
    <row r="1376" customFormat="1" x14ac:dyDescent="0.25"/>
    <row r="1377" customFormat="1" x14ac:dyDescent="0.25"/>
    <row r="1378" customFormat="1" x14ac:dyDescent="0.25"/>
    <row r="1379" customFormat="1" x14ac:dyDescent="0.25"/>
    <row r="1380" customFormat="1" x14ac:dyDescent="0.25"/>
    <row r="1381" customFormat="1" x14ac:dyDescent="0.25"/>
    <row r="1382" customFormat="1" x14ac:dyDescent="0.25"/>
    <row r="1383" customFormat="1" x14ac:dyDescent="0.25"/>
    <row r="1384" customFormat="1" x14ac:dyDescent="0.25"/>
    <row r="1385" customFormat="1" x14ac:dyDescent="0.25"/>
    <row r="1386" customFormat="1" x14ac:dyDescent="0.25"/>
    <row r="1387" customFormat="1" x14ac:dyDescent="0.25"/>
    <row r="1388" customFormat="1" x14ac:dyDescent="0.25"/>
    <row r="1389" customFormat="1" x14ac:dyDescent="0.25"/>
    <row r="1390" customFormat="1" x14ac:dyDescent="0.25"/>
    <row r="1391" customFormat="1" x14ac:dyDescent="0.25"/>
    <row r="1392" customFormat="1" x14ac:dyDescent="0.25"/>
    <row r="1393" customFormat="1" x14ac:dyDescent="0.25"/>
    <row r="1394" customFormat="1" x14ac:dyDescent="0.25"/>
    <row r="1395" customFormat="1" x14ac:dyDescent="0.25"/>
    <row r="1396" customFormat="1" x14ac:dyDescent="0.25"/>
    <row r="1397" customFormat="1" x14ac:dyDescent="0.25"/>
    <row r="1398" customFormat="1" x14ac:dyDescent="0.25"/>
    <row r="1399" customFormat="1" x14ac:dyDescent="0.25"/>
    <row r="1400" customFormat="1" x14ac:dyDescent="0.25"/>
    <row r="1401" customFormat="1" x14ac:dyDescent="0.25"/>
    <row r="1402" customFormat="1" x14ac:dyDescent="0.25"/>
    <row r="1403" customFormat="1" x14ac:dyDescent="0.25"/>
    <row r="1404" customFormat="1" x14ac:dyDescent="0.25"/>
    <row r="1405" customFormat="1" x14ac:dyDescent="0.25"/>
    <row r="1406" customFormat="1" x14ac:dyDescent="0.25"/>
    <row r="1407" customFormat="1" x14ac:dyDescent="0.25"/>
    <row r="1408" customFormat="1" x14ac:dyDescent="0.25"/>
    <row r="1409" customFormat="1" x14ac:dyDescent="0.25"/>
    <row r="1410" customFormat="1" x14ac:dyDescent="0.25"/>
    <row r="1411" customFormat="1" x14ac:dyDescent="0.25"/>
    <row r="1412" customFormat="1" x14ac:dyDescent="0.25"/>
    <row r="1413" customFormat="1" x14ac:dyDescent="0.25"/>
    <row r="1414" customFormat="1" x14ac:dyDescent="0.25"/>
    <row r="1415" customFormat="1" x14ac:dyDescent="0.25"/>
    <row r="1416" customFormat="1" x14ac:dyDescent="0.25"/>
    <row r="1417" customFormat="1" x14ac:dyDescent="0.25"/>
    <row r="1418" customFormat="1" x14ac:dyDescent="0.25"/>
    <row r="1419" customFormat="1" x14ac:dyDescent="0.25"/>
    <row r="1420" customFormat="1" x14ac:dyDescent="0.25"/>
    <row r="1421" customFormat="1" x14ac:dyDescent="0.25"/>
    <row r="1422" customFormat="1" x14ac:dyDescent="0.25"/>
    <row r="1423" customFormat="1" x14ac:dyDescent="0.25"/>
    <row r="1424" customFormat="1" x14ac:dyDescent="0.25"/>
    <row r="1425" customFormat="1" x14ac:dyDescent="0.25"/>
    <row r="1426" customFormat="1" x14ac:dyDescent="0.25"/>
    <row r="1427" customFormat="1" x14ac:dyDescent="0.25"/>
    <row r="1428" customFormat="1" x14ac:dyDescent="0.25"/>
    <row r="1429" customFormat="1" x14ac:dyDescent="0.25"/>
    <row r="1430" customFormat="1" x14ac:dyDescent="0.25"/>
    <row r="1431" customFormat="1" x14ac:dyDescent="0.25"/>
    <row r="1432" customFormat="1" x14ac:dyDescent="0.25"/>
    <row r="1433" customFormat="1" x14ac:dyDescent="0.25"/>
    <row r="1434" customFormat="1" x14ac:dyDescent="0.25"/>
    <row r="1435" customFormat="1" x14ac:dyDescent="0.25"/>
    <row r="1436" customFormat="1" x14ac:dyDescent="0.25"/>
    <row r="1437" customFormat="1" x14ac:dyDescent="0.25"/>
    <row r="1438" customFormat="1" x14ac:dyDescent="0.25"/>
    <row r="1439" customFormat="1" x14ac:dyDescent="0.25"/>
    <row r="1440" customFormat="1" x14ac:dyDescent="0.25"/>
    <row r="1441" customFormat="1" x14ac:dyDescent="0.25"/>
    <row r="1442" customFormat="1" x14ac:dyDescent="0.25"/>
    <row r="1443" customFormat="1" x14ac:dyDescent="0.25"/>
    <row r="1444" customFormat="1" x14ac:dyDescent="0.25"/>
    <row r="1445" customFormat="1" x14ac:dyDescent="0.25"/>
    <row r="1446" customFormat="1" x14ac:dyDescent="0.25"/>
    <row r="1447" customFormat="1" x14ac:dyDescent="0.25"/>
    <row r="1448" customFormat="1" x14ac:dyDescent="0.25"/>
    <row r="1449" customFormat="1" x14ac:dyDescent="0.25"/>
    <row r="1450" customFormat="1" x14ac:dyDescent="0.25"/>
    <row r="1451" customFormat="1" x14ac:dyDescent="0.25"/>
    <row r="1452" customFormat="1" x14ac:dyDescent="0.25"/>
    <row r="1453" customFormat="1" x14ac:dyDescent="0.25"/>
    <row r="1454" customFormat="1" x14ac:dyDescent="0.25"/>
    <row r="1455" customFormat="1" x14ac:dyDescent="0.25"/>
    <row r="1456" customFormat="1" x14ac:dyDescent="0.25"/>
    <row r="1457" customFormat="1" x14ac:dyDescent="0.25"/>
    <row r="1458" customFormat="1" x14ac:dyDescent="0.25"/>
    <row r="1459" customFormat="1" x14ac:dyDescent="0.25"/>
    <row r="1460" customFormat="1" x14ac:dyDescent="0.25"/>
    <row r="1461" customFormat="1" x14ac:dyDescent="0.25"/>
    <row r="1462" customFormat="1" x14ac:dyDescent="0.25"/>
    <row r="1463" customFormat="1" x14ac:dyDescent="0.25"/>
    <row r="1464" customFormat="1" x14ac:dyDescent="0.25"/>
    <row r="1465" customFormat="1" x14ac:dyDescent="0.25"/>
    <row r="1466" customFormat="1" x14ac:dyDescent="0.25"/>
    <row r="1467" customFormat="1" x14ac:dyDescent="0.25"/>
    <row r="1468" customFormat="1" x14ac:dyDescent="0.25"/>
    <row r="1469" customFormat="1" x14ac:dyDescent="0.25"/>
    <row r="1470" customFormat="1" x14ac:dyDescent="0.25"/>
    <row r="1471" customFormat="1" x14ac:dyDescent="0.25"/>
    <row r="1472" customFormat="1" x14ac:dyDescent="0.25"/>
    <row r="1473" customFormat="1" x14ac:dyDescent="0.25"/>
    <row r="1474" customFormat="1" x14ac:dyDescent="0.25"/>
    <row r="1475" customFormat="1" x14ac:dyDescent="0.25"/>
    <row r="1476" customFormat="1" x14ac:dyDescent="0.25"/>
    <row r="1477" customFormat="1" x14ac:dyDescent="0.25"/>
    <row r="1478" customFormat="1" x14ac:dyDescent="0.25"/>
    <row r="1479" customFormat="1" x14ac:dyDescent="0.25"/>
    <row r="1480" customFormat="1" x14ac:dyDescent="0.25"/>
    <row r="1481" customFormat="1" x14ac:dyDescent="0.25"/>
    <row r="1482" customFormat="1" x14ac:dyDescent="0.25"/>
    <row r="1483" customFormat="1" x14ac:dyDescent="0.25"/>
    <row r="1484" customFormat="1" x14ac:dyDescent="0.25"/>
    <row r="1485" customFormat="1" x14ac:dyDescent="0.25"/>
    <row r="1486" customFormat="1" x14ac:dyDescent="0.25"/>
    <row r="1487" customFormat="1" x14ac:dyDescent="0.25"/>
    <row r="1488" customFormat="1" x14ac:dyDescent="0.25"/>
    <row r="1489" customFormat="1" x14ac:dyDescent="0.25"/>
    <row r="1490" customFormat="1" x14ac:dyDescent="0.25"/>
    <row r="1491" customFormat="1" x14ac:dyDescent="0.25"/>
    <row r="1492" customFormat="1" x14ac:dyDescent="0.25"/>
    <row r="1493" customFormat="1" x14ac:dyDescent="0.25"/>
    <row r="1494" customFormat="1" x14ac:dyDescent="0.25"/>
    <row r="1495" customFormat="1" x14ac:dyDescent="0.25"/>
    <row r="1496" customFormat="1" x14ac:dyDescent="0.25"/>
    <row r="1497" customFormat="1" x14ac:dyDescent="0.25"/>
    <row r="1498" customFormat="1" x14ac:dyDescent="0.25"/>
    <row r="1499" customFormat="1" x14ac:dyDescent="0.25"/>
    <row r="1500" customFormat="1" x14ac:dyDescent="0.25"/>
    <row r="1501" customFormat="1" x14ac:dyDescent="0.25"/>
    <row r="1502" customFormat="1" x14ac:dyDescent="0.25"/>
    <row r="1503" customFormat="1" x14ac:dyDescent="0.25"/>
    <row r="1504" customFormat="1" x14ac:dyDescent="0.25"/>
    <row r="1505" customFormat="1" x14ac:dyDescent="0.25"/>
    <row r="1506" customFormat="1" x14ac:dyDescent="0.25"/>
    <row r="1507" customFormat="1" x14ac:dyDescent="0.25"/>
    <row r="1508" customFormat="1" x14ac:dyDescent="0.25"/>
    <row r="1509" customFormat="1" x14ac:dyDescent="0.25"/>
    <row r="1510" customFormat="1" x14ac:dyDescent="0.25"/>
    <row r="1511" customFormat="1" x14ac:dyDescent="0.25"/>
    <row r="1512" customFormat="1" x14ac:dyDescent="0.25"/>
    <row r="1513" customFormat="1" x14ac:dyDescent="0.25"/>
    <row r="1514" customFormat="1" x14ac:dyDescent="0.25"/>
    <row r="1515" customFormat="1" x14ac:dyDescent="0.25"/>
    <row r="1516" customFormat="1" x14ac:dyDescent="0.25"/>
    <row r="1517" customFormat="1" x14ac:dyDescent="0.25"/>
    <row r="1518" customFormat="1" x14ac:dyDescent="0.25"/>
    <row r="1519" customFormat="1" x14ac:dyDescent="0.25"/>
    <row r="1520" customFormat="1" x14ac:dyDescent="0.25"/>
    <row r="1521" customFormat="1" x14ac:dyDescent="0.25"/>
    <row r="1522" customFormat="1" x14ac:dyDescent="0.25"/>
    <row r="1523" customFormat="1" x14ac:dyDescent="0.25"/>
    <row r="1524" customFormat="1" x14ac:dyDescent="0.25"/>
    <row r="1525" customFormat="1" x14ac:dyDescent="0.25"/>
    <row r="1526" customFormat="1" x14ac:dyDescent="0.25"/>
    <row r="1527" customFormat="1" x14ac:dyDescent="0.25"/>
    <row r="1528" customFormat="1" x14ac:dyDescent="0.25"/>
    <row r="1529" customFormat="1" x14ac:dyDescent="0.25"/>
    <row r="1530" customFormat="1" x14ac:dyDescent="0.25"/>
    <row r="1531" customFormat="1" x14ac:dyDescent="0.25"/>
    <row r="1532" customFormat="1" x14ac:dyDescent="0.25"/>
    <row r="1533" customFormat="1" x14ac:dyDescent="0.25"/>
    <row r="1534" customFormat="1" x14ac:dyDescent="0.25"/>
    <row r="1535" customFormat="1" x14ac:dyDescent="0.25"/>
    <row r="1536" customFormat="1" x14ac:dyDescent="0.25"/>
    <row r="1537" customFormat="1" x14ac:dyDescent="0.25"/>
    <row r="1538" customFormat="1" x14ac:dyDescent="0.25"/>
    <row r="1539" customFormat="1" x14ac:dyDescent="0.25"/>
    <row r="1540" customFormat="1" x14ac:dyDescent="0.25"/>
    <row r="1541" customFormat="1" x14ac:dyDescent="0.25"/>
    <row r="1542" customFormat="1" x14ac:dyDescent="0.25"/>
    <row r="1543" customFormat="1" x14ac:dyDescent="0.25"/>
    <row r="1544" customFormat="1" x14ac:dyDescent="0.25"/>
    <row r="1545" customFormat="1" x14ac:dyDescent="0.25"/>
    <row r="1546" customFormat="1" x14ac:dyDescent="0.25"/>
    <row r="1547" customFormat="1" x14ac:dyDescent="0.25"/>
    <row r="1548" customFormat="1" x14ac:dyDescent="0.25"/>
    <row r="1549" customFormat="1" x14ac:dyDescent="0.25"/>
    <row r="1550" customFormat="1" x14ac:dyDescent="0.25"/>
    <row r="1551" customFormat="1" x14ac:dyDescent="0.25"/>
    <row r="1552" customFormat="1" x14ac:dyDescent="0.25"/>
    <row r="1553" customFormat="1" x14ac:dyDescent="0.25"/>
    <row r="1554" customFormat="1" x14ac:dyDescent="0.25"/>
    <row r="1555" customFormat="1" x14ac:dyDescent="0.25"/>
    <row r="1556" customFormat="1" x14ac:dyDescent="0.25"/>
    <row r="1557" customFormat="1" x14ac:dyDescent="0.25"/>
    <row r="1558" customFormat="1" x14ac:dyDescent="0.25"/>
    <row r="1559" customFormat="1" x14ac:dyDescent="0.25"/>
    <row r="1560" customFormat="1" x14ac:dyDescent="0.25"/>
    <row r="1561" customFormat="1" x14ac:dyDescent="0.25"/>
    <row r="1562" customFormat="1" x14ac:dyDescent="0.25"/>
    <row r="1563" customFormat="1" x14ac:dyDescent="0.25"/>
    <row r="1564" customFormat="1" x14ac:dyDescent="0.25"/>
    <row r="1565" customFormat="1" x14ac:dyDescent="0.25"/>
    <row r="1566" customFormat="1" x14ac:dyDescent="0.25"/>
    <row r="1567" customFormat="1" x14ac:dyDescent="0.25"/>
    <row r="1568" customFormat="1" x14ac:dyDescent="0.25"/>
    <row r="1569" customFormat="1" x14ac:dyDescent="0.25"/>
    <row r="1570" customFormat="1" x14ac:dyDescent="0.25"/>
    <row r="1571" customFormat="1" x14ac:dyDescent="0.25"/>
    <row r="1572" customFormat="1" x14ac:dyDescent="0.25"/>
    <row r="1573" customFormat="1" x14ac:dyDescent="0.25"/>
    <row r="1574" customFormat="1" x14ac:dyDescent="0.25"/>
    <row r="1575" customFormat="1" x14ac:dyDescent="0.25"/>
    <row r="1576" customFormat="1" x14ac:dyDescent="0.25"/>
    <row r="1577" customFormat="1" x14ac:dyDescent="0.25"/>
    <row r="1578" customFormat="1" x14ac:dyDescent="0.25"/>
    <row r="1579" customFormat="1" x14ac:dyDescent="0.25"/>
    <row r="1580" customFormat="1" x14ac:dyDescent="0.25"/>
    <row r="1581" customFormat="1" x14ac:dyDescent="0.25"/>
    <row r="1582" customFormat="1" x14ac:dyDescent="0.25"/>
    <row r="1583" customFormat="1" x14ac:dyDescent="0.25"/>
    <row r="1584" customFormat="1" x14ac:dyDescent="0.25"/>
    <row r="1585" customFormat="1" x14ac:dyDescent="0.25"/>
    <row r="1586" customFormat="1" x14ac:dyDescent="0.25"/>
    <row r="1587" customFormat="1" x14ac:dyDescent="0.25"/>
    <row r="1588" customFormat="1" x14ac:dyDescent="0.25"/>
    <row r="1589" customFormat="1" x14ac:dyDescent="0.25"/>
    <row r="1590" customFormat="1" x14ac:dyDescent="0.25"/>
    <row r="1591" customFormat="1" x14ac:dyDescent="0.25"/>
    <row r="1592" customFormat="1" x14ac:dyDescent="0.25"/>
    <row r="1593" customFormat="1" x14ac:dyDescent="0.25"/>
    <row r="1594" customFormat="1" x14ac:dyDescent="0.25"/>
    <row r="1595" customFormat="1" x14ac:dyDescent="0.25"/>
    <row r="1596" customFormat="1" x14ac:dyDescent="0.25"/>
    <row r="1597" customFormat="1" x14ac:dyDescent="0.25"/>
    <row r="1598" customFormat="1" x14ac:dyDescent="0.25"/>
    <row r="1599" customFormat="1" x14ac:dyDescent="0.25"/>
    <row r="1600" customFormat="1" x14ac:dyDescent="0.25"/>
    <row r="1601" spans="34:35" x14ac:dyDescent="0.25">
      <c r="AI1601"/>
    </row>
    <row r="1602" spans="34:35" x14ac:dyDescent="0.25">
      <c r="AI1602"/>
    </row>
    <row r="1603" spans="34:35" x14ac:dyDescent="0.25">
      <c r="AI1603"/>
    </row>
    <row r="1604" spans="34:35" x14ac:dyDescent="0.25">
      <c r="AI1604"/>
    </row>
    <row r="1605" spans="34:35" x14ac:dyDescent="0.25">
      <c r="AI1605"/>
    </row>
    <row r="1606" spans="34:35" x14ac:dyDescent="0.25">
      <c r="AI1606"/>
    </row>
    <row r="1607" spans="34:35" x14ac:dyDescent="0.25">
      <c r="AI1607"/>
    </row>
    <row r="1608" spans="34:35" x14ac:dyDescent="0.25">
      <c r="AI1608"/>
    </row>
    <row r="1609" spans="34:35" x14ac:dyDescent="0.25">
      <c r="AH1609" s="469">
        <f>SUBTOTAL(9,AH2:AH1608)</f>
        <v>419109241.59000009</v>
      </c>
      <c r="AI1609" s="469">
        <v>292587760.02999997</v>
      </c>
    </row>
    <row r="1610" spans="34:35" x14ac:dyDescent="0.25">
      <c r="AH1610" s="469">
        <v>4120195.3000000003</v>
      </c>
      <c r="AI1610" s="469">
        <v>3469454.46</v>
      </c>
    </row>
    <row r="1611" spans="34:35" x14ac:dyDescent="0.25">
      <c r="AH1611" s="586">
        <f>+AH1609+AH1610</f>
        <v>423229436.8900001</v>
      </c>
      <c r="AI1611" s="469">
        <v>20570887.739999998</v>
      </c>
    </row>
    <row r="1612" spans="34:35" x14ac:dyDescent="0.25">
      <c r="AI1612" s="469">
        <v>20541912.120000001</v>
      </c>
    </row>
    <row r="1613" spans="34:35" x14ac:dyDescent="0.25">
      <c r="AI1613" s="469">
        <f>+AI1612+AI1611+AI1610+AI1609</f>
        <v>337170014.34999996</v>
      </c>
    </row>
    <row r="1615" spans="34:35" x14ac:dyDescent="0.25">
      <c r="AH1615">
        <v>20541912.120000001</v>
      </c>
    </row>
    <row r="1616" spans="34:35" x14ac:dyDescent="0.25">
      <c r="AH1616">
        <v>20570887.739999998</v>
      </c>
    </row>
    <row r="1617" spans="34:34" x14ac:dyDescent="0.25">
      <c r="AH1617">
        <v>3469454.46</v>
      </c>
    </row>
    <row r="1618" spans="34:34" x14ac:dyDescent="0.25">
      <c r="AH1618" s="469">
        <f>+AH1615+AH1616+AH1617</f>
        <v>44582254.32</v>
      </c>
    </row>
    <row r="1620" spans="34:34" x14ac:dyDescent="0.25">
      <c r="AH1620">
        <v>306622173.12</v>
      </c>
    </row>
    <row r="1621" spans="34:34" x14ac:dyDescent="0.25">
      <c r="AH1621">
        <v>614803.73</v>
      </c>
    </row>
    <row r="1622" spans="34:34" x14ac:dyDescent="0.25">
      <c r="AH1622" s="586">
        <f>+AH1618+AH1620+AH1621</f>
        <v>351819231.17000002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G986"/>
  <sheetViews>
    <sheetView topLeftCell="X435" workbookViewId="0">
      <selection activeCell="AF446" sqref="AF446"/>
    </sheetView>
  </sheetViews>
  <sheetFormatPr baseColWidth="10" defaultColWidth="10.7109375" defaultRowHeight="15" x14ac:dyDescent="0.25"/>
  <cols>
    <col min="28" max="28" width="20.85546875" customWidth="1"/>
    <col min="30" max="30" width="40.7109375" customWidth="1"/>
    <col min="32" max="32" width="17.42578125" customWidth="1"/>
    <col min="33" max="33" width="20.7109375" customWidth="1"/>
  </cols>
  <sheetData>
    <row r="1" spans="1:33" ht="15.75" x14ac:dyDescent="0.25">
      <c r="A1" s="571" t="s">
        <v>2185</v>
      </c>
      <c r="B1" s="571" t="s">
        <v>2186</v>
      </c>
      <c r="C1" s="571" t="s">
        <v>2187</v>
      </c>
      <c r="D1" s="571" t="s">
        <v>2188</v>
      </c>
      <c r="E1" s="571" t="s">
        <v>2189</v>
      </c>
      <c r="F1" s="571" t="s">
        <v>2190</v>
      </c>
      <c r="G1" s="571" t="s">
        <v>2191</v>
      </c>
      <c r="H1" s="571" t="s">
        <v>2192</v>
      </c>
      <c r="I1" s="571" t="s">
        <v>2193</v>
      </c>
      <c r="J1" s="571" t="s">
        <v>2194</v>
      </c>
      <c r="K1" s="571" t="s">
        <v>2195</v>
      </c>
      <c r="L1" s="571" t="s">
        <v>2196</v>
      </c>
      <c r="M1" s="571" t="s">
        <v>2197</v>
      </c>
      <c r="N1" s="571" t="s">
        <v>2198</v>
      </c>
      <c r="O1" s="571" t="s">
        <v>2199</v>
      </c>
      <c r="P1" s="571" t="s">
        <v>2200</v>
      </c>
      <c r="Q1" s="571" t="s">
        <v>2201</v>
      </c>
      <c r="R1" s="571" t="s">
        <v>2202</v>
      </c>
      <c r="S1" s="571" t="s">
        <v>2203</v>
      </c>
      <c r="T1" s="571" t="s">
        <v>2204</v>
      </c>
      <c r="U1" s="571" t="s">
        <v>2205</v>
      </c>
      <c r="V1" s="571" t="s">
        <v>2206</v>
      </c>
      <c r="W1" s="571" t="s">
        <v>2207</v>
      </c>
      <c r="X1" s="571" t="s">
        <v>2208</v>
      </c>
      <c r="Y1" s="571" t="s">
        <v>2209</v>
      </c>
      <c r="Z1" s="571" t="s">
        <v>2210</v>
      </c>
      <c r="AA1" s="571" t="s">
        <v>2211</v>
      </c>
      <c r="AB1" s="571" t="s">
        <v>2212</v>
      </c>
      <c r="AC1" s="572" t="s">
        <v>2213</v>
      </c>
      <c r="AD1" s="571" t="s">
        <v>2214</v>
      </c>
      <c r="AE1" s="571" t="s">
        <v>2215</v>
      </c>
      <c r="AF1" s="571" t="s">
        <v>2216</v>
      </c>
      <c r="AG1" s="573" t="s">
        <v>2218</v>
      </c>
    </row>
    <row r="2" spans="1:33" hidden="1" x14ac:dyDescent="0.25">
      <c r="A2" s="574" t="s">
        <v>2219</v>
      </c>
      <c r="B2" s="574" t="s">
        <v>2220</v>
      </c>
      <c r="C2" s="574" t="s">
        <v>2221</v>
      </c>
      <c r="D2" s="574" t="s">
        <v>2220</v>
      </c>
      <c r="E2" s="574" t="s">
        <v>2222</v>
      </c>
      <c r="F2" s="574" t="s">
        <v>2223</v>
      </c>
      <c r="G2" s="574" t="s">
        <v>2224</v>
      </c>
      <c r="H2" s="574" t="s">
        <v>2225</v>
      </c>
      <c r="I2" s="574" t="s">
        <v>2226</v>
      </c>
      <c r="J2" s="574" t="s">
        <v>2227</v>
      </c>
      <c r="K2" s="574" t="s">
        <v>2228</v>
      </c>
      <c r="L2" s="574" t="s">
        <v>2229</v>
      </c>
      <c r="M2" s="574" t="s">
        <v>2230</v>
      </c>
      <c r="N2" s="574" t="s">
        <v>2231</v>
      </c>
      <c r="O2" s="574" t="s">
        <v>2232</v>
      </c>
      <c r="P2" s="574" t="s">
        <v>2233</v>
      </c>
      <c r="Q2" s="574" t="s">
        <v>2234</v>
      </c>
      <c r="R2" s="574" t="s">
        <v>2225</v>
      </c>
      <c r="S2" s="574" t="s">
        <v>2235</v>
      </c>
      <c r="T2" s="574" t="s">
        <v>2236</v>
      </c>
      <c r="U2" s="574" t="s">
        <v>2642</v>
      </c>
      <c r="V2" s="574" t="s">
        <v>2238</v>
      </c>
      <c r="W2" s="574" t="s">
        <v>2239</v>
      </c>
      <c r="X2" s="574" t="s">
        <v>2643</v>
      </c>
      <c r="Y2" s="575" t="s">
        <v>2641</v>
      </c>
      <c r="Z2" s="575" t="s">
        <v>2641</v>
      </c>
      <c r="AA2" s="574" t="s">
        <v>2242</v>
      </c>
      <c r="AB2" s="574" t="s">
        <v>2243</v>
      </c>
      <c r="AC2" s="574" t="s">
        <v>2271</v>
      </c>
      <c r="AD2" s="574" t="s">
        <v>181</v>
      </c>
      <c r="AE2" s="574" t="s">
        <v>2272</v>
      </c>
      <c r="AF2" s="574" t="s">
        <v>2273</v>
      </c>
      <c r="AG2" s="576">
        <v>50000</v>
      </c>
    </row>
    <row r="3" spans="1:33" hidden="1" x14ac:dyDescent="0.25">
      <c r="A3" s="574" t="s">
        <v>2219</v>
      </c>
      <c r="B3" s="574" t="s">
        <v>2220</v>
      </c>
      <c r="C3" s="574" t="s">
        <v>2221</v>
      </c>
      <c r="D3" s="574" t="s">
        <v>2220</v>
      </c>
      <c r="E3" s="574" t="s">
        <v>2222</v>
      </c>
      <c r="F3" s="574" t="s">
        <v>2223</v>
      </c>
      <c r="G3" s="574" t="s">
        <v>2224</v>
      </c>
      <c r="H3" s="574" t="s">
        <v>2225</v>
      </c>
      <c r="I3" s="574" t="s">
        <v>2226</v>
      </c>
      <c r="J3" s="574" t="s">
        <v>2227</v>
      </c>
      <c r="K3" s="574" t="s">
        <v>2228</v>
      </c>
      <c r="L3" s="574" t="s">
        <v>2229</v>
      </c>
      <c r="M3" s="574" t="s">
        <v>2230</v>
      </c>
      <c r="N3" s="574" t="s">
        <v>2231</v>
      </c>
      <c r="O3" s="574" t="s">
        <v>2232</v>
      </c>
      <c r="P3" s="574" t="s">
        <v>2233</v>
      </c>
      <c r="Q3" s="574" t="s">
        <v>2234</v>
      </c>
      <c r="R3" s="574" t="s">
        <v>2225</v>
      </c>
      <c r="S3" s="574" t="s">
        <v>2235</v>
      </c>
      <c r="T3" s="574" t="s">
        <v>2236</v>
      </c>
      <c r="U3" s="574" t="s">
        <v>2569</v>
      </c>
      <c r="V3" s="574" t="s">
        <v>2238</v>
      </c>
      <c r="W3" s="574" t="s">
        <v>2239</v>
      </c>
      <c r="X3" s="574" t="s">
        <v>2570</v>
      </c>
      <c r="Y3" s="575" t="s">
        <v>2571</v>
      </c>
      <c r="Z3" s="575" t="s">
        <v>2571</v>
      </c>
      <c r="AA3" s="574" t="s">
        <v>2242</v>
      </c>
      <c r="AB3" s="574" t="s">
        <v>2243</v>
      </c>
      <c r="AC3" s="574" t="s">
        <v>2281</v>
      </c>
      <c r="AD3" s="574" t="s">
        <v>2282</v>
      </c>
      <c r="AE3" s="574" t="s">
        <v>2287</v>
      </c>
      <c r="AF3" s="574" t="s">
        <v>2288</v>
      </c>
      <c r="AG3" s="576">
        <v>55000</v>
      </c>
    </row>
    <row r="4" spans="1:33" hidden="1" x14ac:dyDescent="0.25">
      <c r="A4" s="574" t="s">
        <v>2219</v>
      </c>
      <c r="B4" s="574" t="s">
        <v>2220</v>
      </c>
      <c r="C4" s="574" t="s">
        <v>2221</v>
      </c>
      <c r="D4" s="574" t="s">
        <v>2220</v>
      </c>
      <c r="E4" s="574" t="s">
        <v>2222</v>
      </c>
      <c r="F4" s="574" t="s">
        <v>2223</v>
      </c>
      <c r="G4" s="574" t="s">
        <v>2224</v>
      </c>
      <c r="H4" s="574" t="s">
        <v>2225</v>
      </c>
      <c r="I4" s="574" t="s">
        <v>2226</v>
      </c>
      <c r="J4" s="574" t="s">
        <v>2227</v>
      </c>
      <c r="K4" s="574" t="s">
        <v>2228</v>
      </c>
      <c r="L4" s="574" t="s">
        <v>2229</v>
      </c>
      <c r="M4" s="574" t="s">
        <v>2230</v>
      </c>
      <c r="N4" s="574" t="s">
        <v>2231</v>
      </c>
      <c r="O4" s="574" t="s">
        <v>2232</v>
      </c>
      <c r="P4" s="574" t="s">
        <v>2233</v>
      </c>
      <c r="Q4" s="574" t="s">
        <v>2234</v>
      </c>
      <c r="R4" s="574" t="s">
        <v>2225</v>
      </c>
      <c r="S4" s="574" t="s">
        <v>2235</v>
      </c>
      <c r="T4" s="574" t="s">
        <v>2236</v>
      </c>
      <c r="U4" s="574" t="s">
        <v>2572</v>
      </c>
      <c r="V4" s="574" t="s">
        <v>2238</v>
      </c>
      <c r="W4" s="574" t="s">
        <v>2239</v>
      </c>
      <c r="X4" s="574" t="s">
        <v>2573</v>
      </c>
      <c r="Y4" s="575" t="s">
        <v>2571</v>
      </c>
      <c r="Z4" s="575" t="s">
        <v>2571</v>
      </c>
      <c r="AA4" s="574" t="s">
        <v>2242</v>
      </c>
      <c r="AB4" s="574" t="s">
        <v>2243</v>
      </c>
      <c r="AC4" s="574" t="s">
        <v>2281</v>
      </c>
      <c r="AD4" s="574" t="s">
        <v>2282</v>
      </c>
      <c r="AE4" s="574" t="s">
        <v>2283</v>
      </c>
      <c r="AF4" s="574" t="s">
        <v>2284</v>
      </c>
      <c r="AG4" s="576">
        <v>56650.2</v>
      </c>
    </row>
    <row r="5" spans="1:33" hidden="1" x14ac:dyDescent="0.25">
      <c r="A5" s="574" t="s">
        <v>2219</v>
      </c>
      <c r="B5" s="574" t="s">
        <v>2220</v>
      </c>
      <c r="C5" s="574" t="s">
        <v>2221</v>
      </c>
      <c r="D5" s="574" t="s">
        <v>2220</v>
      </c>
      <c r="E5" s="574" t="s">
        <v>2222</v>
      </c>
      <c r="F5" s="574" t="s">
        <v>2223</v>
      </c>
      <c r="G5" s="574" t="s">
        <v>2224</v>
      </c>
      <c r="H5" s="574" t="s">
        <v>2225</v>
      </c>
      <c r="I5" s="574" t="s">
        <v>2226</v>
      </c>
      <c r="J5" s="574" t="s">
        <v>2227</v>
      </c>
      <c r="K5" s="574" t="s">
        <v>2228</v>
      </c>
      <c r="L5" s="574" t="s">
        <v>2229</v>
      </c>
      <c r="M5" s="574" t="s">
        <v>2230</v>
      </c>
      <c r="N5" s="574" t="s">
        <v>2231</v>
      </c>
      <c r="O5" s="574" t="s">
        <v>2232</v>
      </c>
      <c r="P5" s="574" t="s">
        <v>2233</v>
      </c>
      <c r="Q5" s="574" t="s">
        <v>2234</v>
      </c>
      <c r="R5" s="574" t="s">
        <v>2225</v>
      </c>
      <c r="S5" s="574" t="s">
        <v>2235</v>
      </c>
      <c r="T5" s="574" t="s">
        <v>2236</v>
      </c>
      <c r="U5" s="574" t="s">
        <v>2492</v>
      </c>
      <c r="V5" s="574" t="s">
        <v>2238</v>
      </c>
      <c r="W5" s="574" t="s">
        <v>2239</v>
      </c>
      <c r="X5" s="574" t="s">
        <v>2493</v>
      </c>
      <c r="Y5" s="575" t="s">
        <v>2491</v>
      </c>
      <c r="Z5" s="575" t="s">
        <v>2491</v>
      </c>
      <c r="AA5" s="574" t="s">
        <v>2242</v>
      </c>
      <c r="AB5" s="574" t="s">
        <v>2243</v>
      </c>
      <c r="AC5" s="574" t="s">
        <v>2244</v>
      </c>
      <c r="AD5" s="574" t="s">
        <v>2245</v>
      </c>
      <c r="AE5" s="574" t="s">
        <v>2246</v>
      </c>
      <c r="AF5" s="574" t="s">
        <v>2247</v>
      </c>
      <c r="AG5" s="576">
        <v>69663.100000000006</v>
      </c>
    </row>
    <row r="6" spans="1:33" hidden="1" x14ac:dyDescent="0.25">
      <c r="A6" s="574" t="s">
        <v>2219</v>
      </c>
      <c r="B6" s="574" t="s">
        <v>2220</v>
      </c>
      <c r="C6" s="574" t="s">
        <v>2221</v>
      </c>
      <c r="D6" s="574" t="s">
        <v>2220</v>
      </c>
      <c r="E6" s="574" t="s">
        <v>2222</v>
      </c>
      <c r="F6" s="574" t="s">
        <v>2223</v>
      </c>
      <c r="G6" s="574" t="s">
        <v>2224</v>
      </c>
      <c r="H6" s="574" t="s">
        <v>2225</v>
      </c>
      <c r="I6" s="574" t="s">
        <v>2226</v>
      </c>
      <c r="J6" s="574" t="s">
        <v>2227</v>
      </c>
      <c r="K6" s="574" t="s">
        <v>2228</v>
      </c>
      <c r="L6" s="574" t="s">
        <v>2229</v>
      </c>
      <c r="M6" s="574" t="s">
        <v>2230</v>
      </c>
      <c r="N6" s="574" t="s">
        <v>2231</v>
      </c>
      <c r="O6" s="574" t="s">
        <v>2232</v>
      </c>
      <c r="P6" s="574" t="s">
        <v>2233</v>
      </c>
      <c r="Q6" s="574" t="s">
        <v>2234</v>
      </c>
      <c r="R6" s="574" t="s">
        <v>2225</v>
      </c>
      <c r="S6" s="574" t="s">
        <v>2235</v>
      </c>
      <c r="T6" s="574" t="s">
        <v>2236</v>
      </c>
      <c r="U6" s="574" t="s">
        <v>1730</v>
      </c>
      <c r="V6" s="574" t="s">
        <v>2238</v>
      </c>
      <c r="W6" s="574" t="s">
        <v>2239</v>
      </c>
      <c r="X6" s="574" t="s">
        <v>2279</v>
      </c>
      <c r="Y6" s="575" t="s">
        <v>2280</v>
      </c>
      <c r="Z6" s="575" t="s">
        <v>2280</v>
      </c>
      <c r="AA6" s="574" t="s">
        <v>2242</v>
      </c>
      <c r="AB6" s="574" t="s">
        <v>2243</v>
      </c>
      <c r="AC6" s="574" t="s">
        <v>2281</v>
      </c>
      <c r="AD6" s="574" t="s">
        <v>2282</v>
      </c>
      <c r="AE6" s="574" t="s">
        <v>2283</v>
      </c>
      <c r="AF6" s="574" t="s">
        <v>2284</v>
      </c>
      <c r="AG6" s="576">
        <v>156153.53</v>
      </c>
    </row>
    <row r="7" spans="1:33" hidden="1" x14ac:dyDescent="0.25">
      <c r="A7" s="574" t="s">
        <v>2219</v>
      </c>
      <c r="B7" s="574" t="s">
        <v>2220</v>
      </c>
      <c r="C7" s="574" t="s">
        <v>2221</v>
      </c>
      <c r="D7" s="574" t="s">
        <v>2220</v>
      </c>
      <c r="E7" s="574" t="s">
        <v>2222</v>
      </c>
      <c r="F7" s="574" t="s">
        <v>2223</v>
      </c>
      <c r="G7" s="574" t="s">
        <v>2224</v>
      </c>
      <c r="H7" s="574" t="s">
        <v>2225</v>
      </c>
      <c r="I7" s="574" t="s">
        <v>2226</v>
      </c>
      <c r="J7" s="574" t="s">
        <v>2227</v>
      </c>
      <c r="K7" s="574" t="s">
        <v>2228</v>
      </c>
      <c r="L7" s="574" t="s">
        <v>2229</v>
      </c>
      <c r="M7" s="574" t="s">
        <v>2230</v>
      </c>
      <c r="N7" s="574" t="s">
        <v>2231</v>
      </c>
      <c r="O7" s="574" t="s">
        <v>2232</v>
      </c>
      <c r="P7" s="574" t="s">
        <v>2233</v>
      </c>
      <c r="Q7" s="574" t="s">
        <v>2234</v>
      </c>
      <c r="R7" s="574" t="s">
        <v>2225</v>
      </c>
      <c r="S7" s="574" t="s">
        <v>2235</v>
      </c>
      <c r="T7" s="574" t="s">
        <v>2236</v>
      </c>
      <c r="U7" s="574" t="s">
        <v>2285</v>
      </c>
      <c r="V7" s="574" t="s">
        <v>2238</v>
      </c>
      <c r="W7" s="574" t="s">
        <v>2239</v>
      </c>
      <c r="X7" s="574" t="s">
        <v>2286</v>
      </c>
      <c r="Y7" s="575" t="s">
        <v>2280</v>
      </c>
      <c r="Z7" s="575" t="s">
        <v>2280</v>
      </c>
      <c r="AA7" s="574" t="s">
        <v>2242</v>
      </c>
      <c r="AB7" s="574" t="s">
        <v>2243</v>
      </c>
      <c r="AC7" s="574" t="s">
        <v>2281</v>
      </c>
      <c r="AD7" s="574" t="s">
        <v>2282</v>
      </c>
      <c r="AE7" s="574" t="s">
        <v>2287</v>
      </c>
      <c r="AF7" s="574" t="s">
        <v>2288</v>
      </c>
      <c r="AG7" s="576">
        <v>347000</v>
      </c>
    </row>
    <row r="8" spans="1:33" hidden="1" x14ac:dyDescent="0.25">
      <c r="A8" s="574" t="s">
        <v>2219</v>
      </c>
      <c r="B8" s="574" t="s">
        <v>2220</v>
      </c>
      <c r="C8" s="574" t="s">
        <v>2221</v>
      </c>
      <c r="D8" s="574" t="s">
        <v>2220</v>
      </c>
      <c r="E8" s="574" t="s">
        <v>2222</v>
      </c>
      <c r="F8" s="574" t="s">
        <v>2223</v>
      </c>
      <c r="G8" s="574" t="s">
        <v>2224</v>
      </c>
      <c r="H8" s="574" t="s">
        <v>2225</v>
      </c>
      <c r="I8" s="574" t="s">
        <v>2226</v>
      </c>
      <c r="J8" s="574" t="s">
        <v>2227</v>
      </c>
      <c r="K8" s="574" t="s">
        <v>2228</v>
      </c>
      <c r="L8" s="574" t="s">
        <v>2229</v>
      </c>
      <c r="M8" s="574" t="s">
        <v>2230</v>
      </c>
      <c r="N8" s="574" t="s">
        <v>2231</v>
      </c>
      <c r="O8" s="574" t="s">
        <v>2232</v>
      </c>
      <c r="P8" s="574" t="s">
        <v>2233</v>
      </c>
      <c r="Q8" s="574" t="s">
        <v>2234</v>
      </c>
      <c r="R8" s="574" t="s">
        <v>2225</v>
      </c>
      <c r="S8" s="574" t="s">
        <v>2235</v>
      </c>
      <c r="T8" s="574" t="s">
        <v>2236</v>
      </c>
      <c r="U8" s="574" t="s">
        <v>2269</v>
      </c>
      <c r="V8" s="574" t="s">
        <v>2238</v>
      </c>
      <c r="W8" s="574" t="s">
        <v>2239</v>
      </c>
      <c r="X8" s="574" t="s">
        <v>2270</v>
      </c>
      <c r="Y8" s="575" t="s">
        <v>2241</v>
      </c>
      <c r="Z8" s="575" t="s">
        <v>2241</v>
      </c>
      <c r="AA8" s="574" t="s">
        <v>2242</v>
      </c>
      <c r="AB8" s="574" t="s">
        <v>2243</v>
      </c>
      <c r="AC8" s="574" t="s">
        <v>2271</v>
      </c>
      <c r="AD8" s="574" t="s">
        <v>181</v>
      </c>
      <c r="AE8" s="574" t="s">
        <v>2272</v>
      </c>
      <c r="AF8" s="574" t="s">
        <v>2273</v>
      </c>
      <c r="AG8" s="576">
        <v>686003.26</v>
      </c>
    </row>
    <row r="9" spans="1:33" hidden="1" x14ac:dyDescent="0.25">
      <c r="A9" s="574" t="s">
        <v>2219</v>
      </c>
      <c r="B9" s="574" t="s">
        <v>2220</v>
      </c>
      <c r="C9" s="574" t="s">
        <v>2221</v>
      </c>
      <c r="D9" s="574" t="s">
        <v>2220</v>
      </c>
      <c r="E9" s="574" t="s">
        <v>2222</v>
      </c>
      <c r="F9" s="574" t="s">
        <v>2223</v>
      </c>
      <c r="G9" s="574" t="s">
        <v>2224</v>
      </c>
      <c r="H9" s="574" t="s">
        <v>2225</v>
      </c>
      <c r="I9" s="574" t="s">
        <v>2226</v>
      </c>
      <c r="J9" s="574" t="s">
        <v>2227</v>
      </c>
      <c r="K9" s="574" t="s">
        <v>2228</v>
      </c>
      <c r="L9" s="574" t="s">
        <v>2229</v>
      </c>
      <c r="M9" s="574" t="s">
        <v>2230</v>
      </c>
      <c r="N9" s="574" t="s">
        <v>2231</v>
      </c>
      <c r="O9" s="574" t="s">
        <v>2232</v>
      </c>
      <c r="P9" s="574" t="s">
        <v>2233</v>
      </c>
      <c r="Q9" s="574" t="s">
        <v>2234</v>
      </c>
      <c r="R9" s="574" t="s">
        <v>2225</v>
      </c>
      <c r="S9" s="574" t="s">
        <v>2235</v>
      </c>
      <c r="T9" s="574" t="s">
        <v>2236</v>
      </c>
      <c r="U9" s="574" t="s">
        <v>2274</v>
      </c>
      <c r="V9" s="574" t="s">
        <v>2238</v>
      </c>
      <c r="W9" s="574" t="s">
        <v>2239</v>
      </c>
      <c r="X9" s="574" t="s">
        <v>2275</v>
      </c>
      <c r="Y9" s="575" t="s">
        <v>2276</v>
      </c>
      <c r="Z9" s="575" t="s">
        <v>2276</v>
      </c>
      <c r="AA9" s="574" t="s">
        <v>2242</v>
      </c>
      <c r="AB9" s="574" t="s">
        <v>2243</v>
      </c>
      <c r="AC9" s="574" t="s">
        <v>2271</v>
      </c>
      <c r="AD9" s="574" t="s">
        <v>181</v>
      </c>
      <c r="AE9" s="574" t="s">
        <v>2272</v>
      </c>
      <c r="AF9" s="574" t="s">
        <v>2273</v>
      </c>
      <c r="AG9" s="576">
        <v>686003.26</v>
      </c>
    </row>
    <row r="10" spans="1:33" hidden="1" x14ac:dyDescent="0.25">
      <c r="A10" s="574" t="s">
        <v>2219</v>
      </c>
      <c r="B10" s="574" t="s">
        <v>2220</v>
      </c>
      <c r="C10" s="574" t="s">
        <v>2221</v>
      </c>
      <c r="D10" s="574" t="s">
        <v>2220</v>
      </c>
      <c r="E10" s="574" t="s">
        <v>2222</v>
      </c>
      <c r="F10" s="574" t="s">
        <v>2223</v>
      </c>
      <c r="G10" s="574" t="s">
        <v>2224</v>
      </c>
      <c r="H10" s="574" t="s">
        <v>2225</v>
      </c>
      <c r="I10" s="574" t="s">
        <v>2226</v>
      </c>
      <c r="J10" s="574" t="s">
        <v>2227</v>
      </c>
      <c r="K10" s="574" t="s">
        <v>2228</v>
      </c>
      <c r="L10" s="574" t="s">
        <v>2229</v>
      </c>
      <c r="M10" s="574" t="s">
        <v>2230</v>
      </c>
      <c r="N10" s="574" t="s">
        <v>2231</v>
      </c>
      <c r="O10" s="574" t="s">
        <v>2232</v>
      </c>
      <c r="P10" s="574" t="s">
        <v>2233</v>
      </c>
      <c r="Q10" s="574" t="s">
        <v>2234</v>
      </c>
      <c r="R10" s="574" t="s">
        <v>2225</v>
      </c>
      <c r="S10" s="574" t="s">
        <v>2235</v>
      </c>
      <c r="T10" s="574" t="s">
        <v>2236</v>
      </c>
      <c r="U10" s="574" t="s">
        <v>2292</v>
      </c>
      <c r="V10" s="574" t="s">
        <v>2238</v>
      </c>
      <c r="W10" s="574" t="s">
        <v>2239</v>
      </c>
      <c r="X10" s="574" t="s">
        <v>2293</v>
      </c>
      <c r="Y10" s="575" t="s">
        <v>2291</v>
      </c>
      <c r="Z10" s="575" t="s">
        <v>2291</v>
      </c>
      <c r="AA10" s="574" t="s">
        <v>2242</v>
      </c>
      <c r="AB10" s="574" t="s">
        <v>2243</v>
      </c>
      <c r="AC10" s="574" t="s">
        <v>2271</v>
      </c>
      <c r="AD10" s="574" t="s">
        <v>181</v>
      </c>
      <c r="AE10" s="574" t="s">
        <v>2272</v>
      </c>
      <c r="AF10" s="574" t="s">
        <v>2273</v>
      </c>
      <c r="AG10" s="576">
        <v>732074.29</v>
      </c>
    </row>
    <row r="11" spans="1:33" hidden="1" x14ac:dyDescent="0.25">
      <c r="A11" s="574" t="s">
        <v>2219</v>
      </c>
      <c r="B11" s="574" t="s">
        <v>2220</v>
      </c>
      <c r="C11" s="574" t="s">
        <v>2221</v>
      </c>
      <c r="D11" s="574" t="s">
        <v>2220</v>
      </c>
      <c r="E11" s="574" t="s">
        <v>2222</v>
      </c>
      <c r="F11" s="574" t="s">
        <v>2223</v>
      </c>
      <c r="G11" s="574" t="s">
        <v>2224</v>
      </c>
      <c r="H11" s="574" t="s">
        <v>2225</v>
      </c>
      <c r="I11" s="574" t="s">
        <v>2226</v>
      </c>
      <c r="J11" s="574" t="s">
        <v>2227</v>
      </c>
      <c r="K11" s="574" t="s">
        <v>2228</v>
      </c>
      <c r="L11" s="574" t="s">
        <v>2229</v>
      </c>
      <c r="M11" s="574" t="s">
        <v>2230</v>
      </c>
      <c r="N11" s="574" t="s">
        <v>2231</v>
      </c>
      <c r="O11" s="574" t="s">
        <v>2232</v>
      </c>
      <c r="P11" s="574" t="s">
        <v>2233</v>
      </c>
      <c r="Q11" s="574" t="s">
        <v>2234</v>
      </c>
      <c r="R11" s="574" t="s">
        <v>2225</v>
      </c>
      <c r="S11" s="574" t="s">
        <v>2235</v>
      </c>
      <c r="T11" s="574" t="s">
        <v>2236</v>
      </c>
      <c r="U11" s="574" t="s">
        <v>2460</v>
      </c>
      <c r="V11" s="574" t="s">
        <v>2238</v>
      </c>
      <c r="W11" s="574" t="s">
        <v>2239</v>
      </c>
      <c r="X11" s="574" t="s">
        <v>2461</v>
      </c>
      <c r="Y11" s="575" t="s">
        <v>2457</v>
      </c>
      <c r="Z11" s="575" t="s">
        <v>2457</v>
      </c>
      <c r="AA11" s="574" t="s">
        <v>2242</v>
      </c>
      <c r="AB11" s="574" t="s">
        <v>2243</v>
      </c>
      <c r="AC11" s="574" t="s">
        <v>2271</v>
      </c>
      <c r="AD11" s="574" t="s">
        <v>181</v>
      </c>
      <c r="AE11" s="574" t="s">
        <v>2272</v>
      </c>
      <c r="AF11" s="574" t="s">
        <v>2273</v>
      </c>
      <c r="AG11" s="576">
        <v>732074.29</v>
      </c>
    </row>
    <row r="12" spans="1:33" hidden="1" x14ac:dyDescent="0.25">
      <c r="A12" s="574" t="s">
        <v>2219</v>
      </c>
      <c r="B12" s="574" t="s">
        <v>2220</v>
      </c>
      <c r="C12" s="574" t="s">
        <v>2221</v>
      </c>
      <c r="D12" s="574" t="s">
        <v>2220</v>
      </c>
      <c r="E12" s="574" t="s">
        <v>2222</v>
      </c>
      <c r="F12" s="574" t="s">
        <v>2223</v>
      </c>
      <c r="G12" s="574" t="s">
        <v>2224</v>
      </c>
      <c r="H12" s="574" t="s">
        <v>2225</v>
      </c>
      <c r="I12" s="574" t="s">
        <v>2226</v>
      </c>
      <c r="J12" s="574" t="s">
        <v>2227</v>
      </c>
      <c r="K12" s="574" t="s">
        <v>2228</v>
      </c>
      <c r="L12" s="574" t="s">
        <v>2229</v>
      </c>
      <c r="M12" s="574" t="s">
        <v>2230</v>
      </c>
      <c r="N12" s="574" t="s">
        <v>2231</v>
      </c>
      <c r="O12" s="574" t="s">
        <v>2232</v>
      </c>
      <c r="P12" s="574" t="s">
        <v>2233</v>
      </c>
      <c r="Q12" s="574" t="s">
        <v>2234</v>
      </c>
      <c r="R12" s="574" t="s">
        <v>2225</v>
      </c>
      <c r="S12" s="574" t="s">
        <v>2235</v>
      </c>
      <c r="T12" s="574" t="s">
        <v>2236</v>
      </c>
      <c r="U12" s="574" t="s">
        <v>2510</v>
      </c>
      <c r="V12" s="574" t="s">
        <v>2238</v>
      </c>
      <c r="W12" s="574" t="s">
        <v>2239</v>
      </c>
      <c r="X12" s="574" t="s">
        <v>2511</v>
      </c>
      <c r="Y12" s="575" t="s">
        <v>2512</v>
      </c>
      <c r="Z12" s="575" t="s">
        <v>2512</v>
      </c>
      <c r="AA12" s="574" t="s">
        <v>2242</v>
      </c>
      <c r="AB12" s="574" t="s">
        <v>2243</v>
      </c>
      <c r="AC12" s="574" t="s">
        <v>2271</v>
      </c>
      <c r="AD12" s="574" t="s">
        <v>181</v>
      </c>
      <c r="AE12" s="574" t="s">
        <v>2272</v>
      </c>
      <c r="AF12" s="574" t="s">
        <v>2273</v>
      </c>
      <c r="AG12" s="576">
        <v>732074.29</v>
      </c>
    </row>
    <row r="13" spans="1:33" hidden="1" x14ac:dyDescent="0.25">
      <c r="A13" s="574" t="s">
        <v>2219</v>
      </c>
      <c r="B13" s="574" t="s">
        <v>2220</v>
      </c>
      <c r="C13" s="574" t="s">
        <v>2221</v>
      </c>
      <c r="D13" s="574" t="s">
        <v>2220</v>
      </c>
      <c r="E13" s="574" t="s">
        <v>2222</v>
      </c>
      <c r="F13" s="574" t="s">
        <v>2223</v>
      </c>
      <c r="G13" s="574" t="s">
        <v>2224</v>
      </c>
      <c r="H13" s="574" t="s">
        <v>2225</v>
      </c>
      <c r="I13" s="574" t="s">
        <v>2226</v>
      </c>
      <c r="J13" s="574" t="s">
        <v>2227</v>
      </c>
      <c r="K13" s="574" t="s">
        <v>2228</v>
      </c>
      <c r="L13" s="574" t="s">
        <v>2229</v>
      </c>
      <c r="M13" s="574" t="s">
        <v>2230</v>
      </c>
      <c r="N13" s="574" t="s">
        <v>2231</v>
      </c>
      <c r="O13" s="574" t="s">
        <v>2232</v>
      </c>
      <c r="P13" s="574" t="s">
        <v>2233</v>
      </c>
      <c r="Q13" s="574" t="s">
        <v>2234</v>
      </c>
      <c r="R13" s="574" t="s">
        <v>2225</v>
      </c>
      <c r="S13" s="574" t="s">
        <v>2235</v>
      </c>
      <c r="T13" s="574" t="s">
        <v>2236</v>
      </c>
      <c r="U13" s="574" t="s">
        <v>2628</v>
      </c>
      <c r="V13" s="574" t="s">
        <v>2238</v>
      </c>
      <c r="W13" s="574" t="s">
        <v>2239</v>
      </c>
      <c r="X13" s="574" t="s">
        <v>2629</v>
      </c>
      <c r="Y13" s="575" t="s">
        <v>2599</v>
      </c>
      <c r="Z13" s="575" t="s">
        <v>2599</v>
      </c>
      <c r="AA13" s="574" t="s">
        <v>2242</v>
      </c>
      <c r="AB13" s="574" t="s">
        <v>2243</v>
      </c>
      <c r="AC13" s="574" t="s">
        <v>2271</v>
      </c>
      <c r="AD13" s="574" t="s">
        <v>181</v>
      </c>
      <c r="AE13" s="574" t="s">
        <v>2272</v>
      </c>
      <c r="AF13" s="574" t="s">
        <v>2273</v>
      </c>
      <c r="AG13" s="576">
        <v>757074.29</v>
      </c>
    </row>
    <row r="14" spans="1:33" hidden="1" x14ac:dyDescent="0.25">
      <c r="A14" s="574" t="s">
        <v>2219</v>
      </c>
      <c r="B14" s="574" t="s">
        <v>2220</v>
      </c>
      <c r="C14" s="574" t="s">
        <v>2221</v>
      </c>
      <c r="D14" s="574" t="s">
        <v>2220</v>
      </c>
      <c r="E14" s="574" t="s">
        <v>2222</v>
      </c>
      <c r="F14" s="574" t="s">
        <v>2223</v>
      </c>
      <c r="G14" s="574" t="s">
        <v>2224</v>
      </c>
      <c r="H14" s="574" t="s">
        <v>2225</v>
      </c>
      <c r="I14" s="574" t="s">
        <v>2226</v>
      </c>
      <c r="J14" s="574" t="s">
        <v>2227</v>
      </c>
      <c r="K14" s="574" t="s">
        <v>2228</v>
      </c>
      <c r="L14" s="574" t="s">
        <v>2229</v>
      </c>
      <c r="M14" s="574" t="s">
        <v>2230</v>
      </c>
      <c r="N14" s="574" t="s">
        <v>2231</v>
      </c>
      <c r="O14" s="574" t="s">
        <v>2232</v>
      </c>
      <c r="P14" s="574" t="s">
        <v>2233</v>
      </c>
      <c r="Q14" s="574" t="s">
        <v>2234</v>
      </c>
      <c r="R14" s="574" t="s">
        <v>2225</v>
      </c>
      <c r="S14" s="574" t="s">
        <v>2235</v>
      </c>
      <c r="T14" s="574" t="s">
        <v>2236</v>
      </c>
      <c r="U14" s="574" t="s">
        <v>2277</v>
      </c>
      <c r="V14" s="574" t="s">
        <v>2238</v>
      </c>
      <c r="W14" s="574" t="s">
        <v>2239</v>
      </c>
      <c r="X14" s="574" t="s">
        <v>2278</v>
      </c>
      <c r="Y14" s="575" t="s">
        <v>2276</v>
      </c>
      <c r="Z14" s="575" t="s">
        <v>2276</v>
      </c>
      <c r="AA14" s="574" t="s">
        <v>2242</v>
      </c>
      <c r="AB14" s="574" t="s">
        <v>2243</v>
      </c>
      <c r="AC14" s="574" t="s">
        <v>2244</v>
      </c>
      <c r="AD14" s="574" t="s">
        <v>2245</v>
      </c>
      <c r="AE14" s="574" t="s">
        <v>2246</v>
      </c>
      <c r="AF14" s="574" t="s">
        <v>2247</v>
      </c>
      <c r="AG14" s="576">
        <v>47302103.740000002</v>
      </c>
    </row>
    <row r="15" spans="1:33" hidden="1" x14ac:dyDescent="0.25">
      <c r="A15" s="574" t="s">
        <v>2219</v>
      </c>
      <c r="B15" s="574" t="s">
        <v>2220</v>
      </c>
      <c r="C15" s="574" t="s">
        <v>2221</v>
      </c>
      <c r="D15" s="574" t="s">
        <v>2220</v>
      </c>
      <c r="E15" s="574" t="s">
        <v>2222</v>
      </c>
      <c r="F15" s="574" t="s">
        <v>2223</v>
      </c>
      <c r="G15" s="574" t="s">
        <v>2224</v>
      </c>
      <c r="H15" s="574" t="s">
        <v>2225</v>
      </c>
      <c r="I15" s="574" t="s">
        <v>2226</v>
      </c>
      <c r="J15" s="574" t="s">
        <v>2227</v>
      </c>
      <c r="K15" s="574" t="s">
        <v>2228</v>
      </c>
      <c r="L15" s="574" t="s">
        <v>2229</v>
      </c>
      <c r="M15" s="574" t="s">
        <v>2230</v>
      </c>
      <c r="N15" s="574" t="s">
        <v>2231</v>
      </c>
      <c r="O15" s="574" t="s">
        <v>2232</v>
      </c>
      <c r="P15" s="574" t="s">
        <v>2233</v>
      </c>
      <c r="Q15" s="574" t="s">
        <v>2234</v>
      </c>
      <c r="R15" s="574" t="s">
        <v>2225</v>
      </c>
      <c r="S15" s="574" t="s">
        <v>2235</v>
      </c>
      <c r="T15" s="574" t="s">
        <v>2236</v>
      </c>
      <c r="U15" s="574" t="s">
        <v>2289</v>
      </c>
      <c r="V15" s="574" t="s">
        <v>2238</v>
      </c>
      <c r="W15" s="574" t="s">
        <v>2239</v>
      </c>
      <c r="X15" s="574" t="s">
        <v>2290</v>
      </c>
      <c r="Y15" s="575" t="s">
        <v>2291</v>
      </c>
      <c r="Z15" s="575" t="s">
        <v>2291</v>
      </c>
      <c r="AA15" s="574" t="s">
        <v>2242</v>
      </c>
      <c r="AB15" s="574" t="s">
        <v>2243</v>
      </c>
      <c r="AC15" s="574" t="s">
        <v>2244</v>
      </c>
      <c r="AD15" s="574" t="s">
        <v>2245</v>
      </c>
      <c r="AE15" s="574" t="s">
        <v>2246</v>
      </c>
      <c r="AF15" s="574" t="s">
        <v>2247</v>
      </c>
      <c r="AG15" s="576">
        <v>47352666.289999999</v>
      </c>
    </row>
    <row r="16" spans="1:33" hidden="1" x14ac:dyDescent="0.25">
      <c r="A16" s="574" t="s">
        <v>2219</v>
      </c>
      <c r="B16" s="574" t="s">
        <v>2220</v>
      </c>
      <c r="C16" s="574" t="s">
        <v>2221</v>
      </c>
      <c r="D16" s="574" t="s">
        <v>2220</v>
      </c>
      <c r="E16" s="574" t="s">
        <v>2222</v>
      </c>
      <c r="F16" s="574" t="s">
        <v>2223</v>
      </c>
      <c r="G16" s="574" t="s">
        <v>2224</v>
      </c>
      <c r="H16" s="574" t="s">
        <v>2225</v>
      </c>
      <c r="I16" s="574" t="s">
        <v>2226</v>
      </c>
      <c r="J16" s="574" t="s">
        <v>2227</v>
      </c>
      <c r="K16" s="574" t="s">
        <v>2228</v>
      </c>
      <c r="L16" s="574" t="s">
        <v>2229</v>
      </c>
      <c r="M16" s="574" t="s">
        <v>2230</v>
      </c>
      <c r="N16" s="574" t="s">
        <v>2231</v>
      </c>
      <c r="O16" s="574" t="s">
        <v>2232</v>
      </c>
      <c r="P16" s="574" t="s">
        <v>2233</v>
      </c>
      <c r="Q16" s="574" t="s">
        <v>2234</v>
      </c>
      <c r="R16" s="574" t="s">
        <v>2225</v>
      </c>
      <c r="S16" s="574" t="s">
        <v>2235</v>
      </c>
      <c r="T16" s="574" t="s">
        <v>2236</v>
      </c>
      <c r="U16" s="574" t="s">
        <v>2458</v>
      </c>
      <c r="V16" s="574" t="s">
        <v>2238</v>
      </c>
      <c r="W16" s="574" t="s">
        <v>2239</v>
      </c>
      <c r="X16" s="574" t="s">
        <v>2459</v>
      </c>
      <c r="Y16" s="575" t="s">
        <v>2457</v>
      </c>
      <c r="Z16" s="575" t="s">
        <v>2457</v>
      </c>
      <c r="AA16" s="574" t="s">
        <v>2242</v>
      </c>
      <c r="AB16" s="574" t="s">
        <v>2243</v>
      </c>
      <c r="AC16" s="574" t="s">
        <v>2244</v>
      </c>
      <c r="AD16" s="574" t="s">
        <v>2245</v>
      </c>
      <c r="AE16" s="574" t="s">
        <v>2246</v>
      </c>
      <c r="AF16" s="574" t="s">
        <v>2247</v>
      </c>
      <c r="AG16" s="576">
        <v>47416676.829999998</v>
      </c>
    </row>
    <row r="17" spans="1:33" hidden="1" x14ac:dyDescent="0.25">
      <c r="A17" s="574" t="s">
        <v>2219</v>
      </c>
      <c r="B17" s="574" t="s">
        <v>2220</v>
      </c>
      <c r="C17" s="574" t="s">
        <v>2221</v>
      </c>
      <c r="D17" s="574" t="s">
        <v>2220</v>
      </c>
      <c r="E17" s="574" t="s">
        <v>2222</v>
      </c>
      <c r="F17" s="574" t="s">
        <v>2223</v>
      </c>
      <c r="G17" s="574" t="s">
        <v>2224</v>
      </c>
      <c r="H17" s="574" t="s">
        <v>2225</v>
      </c>
      <c r="I17" s="574" t="s">
        <v>2226</v>
      </c>
      <c r="J17" s="574" t="s">
        <v>2227</v>
      </c>
      <c r="K17" s="574" t="s">
        <v>2228</v>
      </c>
      <c r="L17" s="574" t="s">
        <v>2229</v>
      </c>
      <c r="M17" s="574" t="s">
        <v>2230</v>
      </c>
      <c r="N17" s="574" t="s">
        <v>2231</v>
      </c>
      <c r="O17" s="574" t="s">
        <v>2232</v>
      </c>
      <c r="P17" s="574" t="s">
        <v>2233</v>
      </c>
      <c r="Q17" s="574" t="s">
        <v>2234</v>
      </c>
      <c r="R17" s="574" t="s">
        <v>2225</v>
      </c>
      <c r="S17" s="574" t="s">
        <v>2235</v>
      </c>
      <c r="T17" s="574" t="s">
        <v>2236</v>
      </c>
      <c r="U17" s="574" t="s">
        <v>2513</v>
      </c>
      <c r="V17" s="574" t="s">
        <v>2238</v>
      </c>
      <c r="W17" s="574" t="s">
        <v>2239</v>
      </c>
      <c r="X17" s="574" t="s">
        <v>2514</v>
      </c>
      <c r="Y17" s="575" t="s">
        <v>2512</v>
      </c>
      <c r="Z17" s="575" t="s">
        <v>2512</v>
      </c>
      <c r="AA17" s="574" t="s">
        <v>2242</v>
      </c>
      <c r="AB17" s="574" t="s">
        <v>2243</v>
      </c>
      <c r="AC17" s="574" t="s">
        <v>2244</v>
      </c>
      <c r="AD17" s="574" t="s">
        <v>2245</v>
      </c>
      <c r="AE17" s="574" t="s">
        <v>2246</v>
      </c>
      <c r="AF17" s="574" t="s">
        <v>2247</v>
      </c>
      <c r="AG17" s="576">
        <v>47606610.130000003</v>
      </c>
    </row>
    <row r="18" spans="1:33" hidden="1" x14ac:dyDescent="0.25">
      <c r="A18" s="574" t="s">
        <v>2219</v>
      </c>
      <c r="B18" s="574" t="s">
        <v>2220</v>
      </c>
      <c r="C18" s="574" t="s">
        <v>2221</v>
      </c>
      <c r="D18" s="574" t="s">
        <v>2220</v>
      </c>
      <c r="E18" s="574" t="s">
        <v>2222</v>
      </c>
      <c r="F18" s="574" t="s">
        <v>2223</v>
      </c>
      <c r="G18" s="574" t="s">
        <v>2224</v>
      </c>
      <c r="H18" s="574" t="s">
        <v>2225</v>
      </c>
      <c r="I18" s="574" t="s">
        <v>2226</v>
      </c>
      <c r="J18" s="574" t="s">
        <v>2227</v>
      </c>
      <c r="K18" s="574" t="s">
        <v>2228</v>
      </c>
      <c r="L18" s="574" t="s">
        <v>2229</v>
      </c>
      <c r="M18" s="574" t="s">
        <v>2230</v>
      </c>
      <c r="N18" s="574" t="s">
        <v>2231</v>
      </c>
      <c r="O18" s="574" t="s">
        <v>2232</v>
      </c>
      <c r="P18" s="574" t="s">
        <v>2233</v>
      </c>
      <c r="Q18" s="574" t="s">
        <v>2234</v>
      </c>
      <c r="R18" s="574" t="s">
        <v>2225</v>
      </c>
      <c r="S18" s="574" t="s">
        <v>2235</v>
      </c>
      <c r="T18" s="574" t="s">
        <v>2236</v>
      </c>
      <c r="U18" s="574" t="s">
        <v>2237</v>
      </c>
      <c r="V18" s="574" t="s">
        <v>2238</v>
      </c>
      <c r="W18" s="574" t="s">
        <v>2239</v>
      </c>
      <c r="X18" s="574" t="s">
        <v>2240</v>
      </c>
      <c r="Y18" s="575" t="s">
        <v>2241</v>
      </c>
      <c r="Z18" s="575" t="s">
        <v>2241</v>
      </c>
      <c r="AA18" s="574" t="s">
        <v>2242</v>
      </c>
      <c r="AB18" s="574" t="s">
        <v>2243</v>
      </c>
      <c r="AC18" s="574" t="s">
        <v>2244</v>
      </c>
      <c r="AD18" s="574" t="s">
        <v>2245</v>
      </c>
      <c r="AE18" s="574" t="s">
        <v>2246</v>
      </c>
      <c r="AF18" s="574" t="s">
        <v>2247</v>
      </c>
      <c r="AG18" s="576">
        <v>47719055.439999998</v>
      </c>
    </row>
    <row r="19" spans="1:33" hidden="1" x14ac:dyDescent="0.25">
      <c r="A19" s="574" t="s">
        <v>2219</v>
      </c>
      <c r="B19" s="574" t="s">
        <v>2220</v>
      </c>
      <c r="C19" s="574" t="s">
        <v>2221</v>
      </c>
      <c r="D19" s="574" t="s">
        <v>2220</v>
      </c>
      <c r="E19" s="574" t="s">
        <v>2222</v>
      </c>
      <c r="F19" s="574" t="s">
        <v>2223</v>
      </c>
      <c r="G19" s="574" t="s">
        <v>2224</v>
      </c>
      <c r="H19" s="574" t="s">
        <v>2225</v>
      </c>
      <c r="I19" s="574" t="s">
        <v>2226</v>
      </c>
      <c r="J19" s="574" t="s">
        <v>2227</v>
      </c>
      <c r="K19" s="574" t="s">
        <v>2228</v>
      </c>
      <c r="L19" s="574" t="s">
        <v>2229</v>
      </c>
      <c r="M19" s="574" t="s">
        <v>2230</v>
      </c>
      <c r="N19" s="574" t="s">
        <v>2231</v>
      </c>
      <c r="O19" s="574" t="s">
        <v>2232</v>
      </c>
      <c r="P19" s="574" t="s">
        <v>2233</v>
      </c>
      <c r="Q19" s="574" t="s">
        <v>2234</v>
      </c>
      <c r="R19" s="574" t="s">
        <v>2225</v>
      </c>
      <c r="S19" s="574" t="s">
        <v>2235</v>
      </c>
      <c r="T19" s="574" t="s">
        <v>2236</v>
      </c>
      <c r="U19" s="574" t="s">
        <v>2600</v>
      </c>
      <c r="V19" s="574" t="s">
        <v>2238</v>
      </c>
      <c r="W19" s="574" t="s">
        <v>2239</v>
      </c>
      <c r="X19" s="574" t="s">
        <v>2601</v>
      </c>
      <c r="Y19" s="575" t="s">
        <v>2599</v>
      </c>
      <c r="Z19" s="575" t="s">
        <v>2599</v>
      </c>
      <c r="AA19" s="574" t="s">
        <v>2242</v>
      </c>
      <c r="AB19" s="574" t="s">
        <v>2243</v>
      </c>
      <c r="AC19" s="574" t="s">
        <v>2244</v>
      </c>
      <c r="AD19" s="574" t="s">
        <v>2245</v>
      </c>
      <c r="AE19" s="574" t="s">
        <v>2246</v>
      </c>
      <c r="AF19" s="574" t="s">
        <v>2247</v>
      </c>
      <c r="AG19" s="576">
        <v>47888781.090000004</v>
      </c>
    </row>
    <row r="20" spans="1:33" hidden="1" x14ac:dyDescent="0.25">
      <c r="A20" s="574" t="s">
        <v>2219</v>
      </c>
      <c r="B20" s="574" t="s">
        <v>2220</v>
      </c>
      <c r="C20" s="574" t="s">
        <v>2221</v>
      </c>
      <c r="D20" s="574" t="s">
        <v>2220</v>
      </c>
      <c r="E20" s="574" t="s">
        <v>2222</v>
      </c>
      <c r="F20" s="574" t="s">
        <v>2223</v>
      </c>
      <c r="G20" s="574" t="s">
        <v>2224</v>
      </c>
      <c r="H20" s="574" t="s">
        <v>2225</v>
      </c>
      <c r="I20" s="574" t="s">
        <v>2226</v>
      </c>
      <c r="J20" s="574" t="s">
        <v>2227</v>
      </c>
      <c r="K20" s="574" t="s">
        <v>2228</v>
      </c>
      <c r="L20" s="574" t="s">
        <v>2229</v>
      </c>
      <c r="M20" s="574" t="s">
        <v>2230</v>
      </c>
      <c r="N20" s="574" t="s">
        <v>2231</v>
      </c>
      <c r="O20" s="574" t="s">
        <v>2232</v>
      </c>
      <c r="P20" s="574" t="s">
        <v>2233</v>
      </c>
      <c r="Q20" s="574" t="s">
        <v>2234</v>
      </c>
      <c r="R20" s="574" t="s">
        <v>2225</v>
      </c>
      <c r="S20" s="574" t="s">
        <v>2235</v>
      </c>
      <c r="T20" s="574" t="s">
        <v>2236</v>
      </c>
      <c r="U20" s="574" t="s">
        <v>2237</v>
      </c>
      <c r="V20" s="574" t="s">
        <v>2238</v>
      </c>
      <c r="W20" s="574" t="s">
        <v>2239</v>
      </c>
      <c r="X20" s="574" t="s">
        <v>2240</v>
      </c>
      <c r="Y20" s="575" t="s">
        <v>2241</v>
      </c>
      <c r="Z20" s="575" t="s">
        <v>2241</v>
      </c>
      <c r="AA20" s="574" t="s">
        <v>2248</v>
      </c>
      <c r="AB20" s="574" t="s">
        <v>2249</v>
      </c>
      <c r="AC20" s="574" t="s">
        <v>2253</v>
      </c>
      <c r="AD20" s="574" t="s">
        <v>2254</v>
      </c>
      <c r="AE20" s="574" t="s">
        <v>2257</v>
      </c>
      <c r="AF20" s="574" t="s">
        <v>2258</v>
      </c>
      <c r="AG20" s="576">
        <v>10717.4</v>
      </c>
    </row>
    <row r="21" spans="1:33" hidden="1" x14ac:dyDescent="0.25">
      <c r="A21" s="574" t="s">
        <v>2219</v>
      </c>
      <c r="B21" s="574" t="s">
        <v>2220</v>
      </c>
      <c r="C21" s="574" t="s">
        <v>2221</v>
      </c>
      <c r="D21" s="574" t="s">
        <v>2220</v>
      </c>
      <c r="E21" s="574" t="s">
        <v>2222</v>
      </c>
      <c r="F21" s="574" t="s">
        <v>2223</v>
      </c>
      <c r="G21" s="574" t="s">
        <v>2224</v>
      </c>
      <c r="H21" s="574" t="s">
        <v>2225</v>
      </c>
      <c r="I21" s="574" t="s">
        <v>2226</v>
      </c>
      <c r="J21" s="574" t="s">
        <v>2227</v>
      </c>
      <c r="K21" s="574" t="s">
        <v>2228</v>
      </c>
      <c r="L21" s="574" t="s">
        <v>2229</v>
      </c>
      <c r="M21" s="574" t="s">
        <v>2230</v>
      </c>
      <c r="N21" s="574" t="s">
        <v>2231</v>
      </c>
      <c r="O21" s="574" t="s">
        <v>2232</v>
      </c>
      <c r="P21" s="574" t="s">
        <v>2233</v>
      </c>
      <c r="Q21" s="574" t="s">
        <v>2234</v>
      </c>
      <c r="R21" s="574" t="s">
        <v>2225</v>
      </c>
      <c r="S21" s="574" t="s">
        <v>2235</v>
      </c>
      <c r="T21" s="574" t="s">
        <v>2236</v>
      </c>
      <c r="U21" s="574" t="s">
        <v>2277</v>
      </c>
      <c r="V21" s="574" t="s">
        <v>2238</v>
      </c>
      <c r="W21" s="574" t="s">
        <v>2239</v>
      </c>
      <c r="X21" s="574" t="s">
        <v>2278</v>
      </c>
      <c r="Y21" s="575" t="s">
        <v>2276</v>
      </c>
      <c r="Z21" s="575" t="s">
        <v>2276</v>
      </c>
      <c r="AA21" s="574" t="s">
        <v>2248</v>
      </c>
      <c r="AB21" s="574" t="s">
        <v>2249</v>
      </c>
      <c r="AC21" s="574" t="s">
        <v>2253</v>
      </c>
      <c r="AD21" s="574" t="s">
        <v>2254</v>
      </c>
      <c r="AE21" s="574" t="s">
        <v>2257</v>
      </c>
      <c r="AF21" s="574" t="s">
        <v>2258</v>
      </c>
      <c r="AG21" s="576">
        <v>10717.4</v>
      </c>
    </row>
    <row r="22" spans="1:33" hidden="1" x14ac:dyDescent="0.25">
      <c r="A22" s="574" t="s">
        <v>2219</v>
      </c>
      <c r="B22" s="574" t="s">
        <v>2220</v>
      </c>
      <c r="C22" s="574" t="s">
        <v>2221</v>
      </c>
      <c r="D22" s="574" t="s">
        <v>2220</v>
      </c>
      <c r="E22" s="574" t="s">
        <v>2222</v>
      </c>
      <c r="F22" s="574" t="s">
        <v>2223</v>
      </c>
      <c r="G22" s="574" t="s">
        <v>2224</v>
      </c>
      <c r="H22" s="574" t="s">
        <v>2225</v>
      </c>
      <c r="I22" s="574" t="s">
        <v>2226</v>
      </c>
      <c r="J22" s="574" t="s">
        <v>2227</v>
      </c>
      <c r="K22" s="574" t="s">
        <v>2228</v>
      </c>
      <c r="L22" s="574" t="s">
        <v>2229</v>
      </c>
      <c r="M22" s="574" t="s">
        <v>2230</v>
      </c>
      <c r="N22" s="574" t="s">
        <v>2231</v>
      </c>
      <c r="O22" s="574" t="s">
        <v>2232</v>
      </c>
      <c r="P22" s="574" t="s">
        <v>2233</v>
      </c>
      <c r="Q22" s="574" t="s">
        <v>2234</v>
      </c>
      <c r="R22" s="574" t="s">
        <v>2225</v>
      </c>
      <c r="S22" s="574" t="s">
        <v>2235</v>
      </c>
      <c r="T22" s="574" t="s">
        <v>2236</v>
      </c>
      <c r="U22" s="574" t="s">
        <v>2289</v>
      </c>
      <c r="V22" s="574" t="s">
        <v>2238</v>
      </c>
      <c r="W22" s="574" t="s">
        <v>2239</v>
      </c>
      <c r="X22" s="574" t="s">
        <v>2290</v>
      </c>
      <c r="Y22" s="575" t="s">
        <v>2291</v>
      </c>
      <c r="Z22" s="575" t="s">
        <v>2291</v>
      </c>
      <c r="AA22" s="574" t="s">
        <v>2248</v>
      </c>
      <c r="AB22" s="574" t="s">
        <v>2249</v>
      </c>
      <c r="AC22" s="574" t="s">
        <v>2253</v>
      </c>
      <c r="AD22" s="574" t="s">
        <v>2254</v>
      </c>
      <c r="AE22" s="574" t="s">
        <v>2257</v>
      </c>
      <c r="AF22" s="574" t="s">
        <v>2258</v>
      </c>
      <c r="AG22" s="576">
        <v>10717.4</v>
      </c>
    </row>
    <row r="23" spans="1:33" hidden="1" x14ac:dyDescent="0.25">
      <c r="A23" s="574" t="s">
        <v>2219</v>
      </c>
      <c r="B23" s="574" t="s">
        <v>2220</v>
      </c>
      <c r="C23" s="574" t="s">
        <v>2221</v>
      </c>
      <c r="D23" s="574" t="s">
        <v>2220</v>
      </c>
      <c r="E23" s="574" t="s">
        <v>2222</v>
      </c>
      <c r="F23" s="574" t="s">
        <v>2223</v>
      </c>
      <c r="G23" s="574" t="s">
        <v>2224</v>
      </c>
      <c r="H23" s="574" t="s">
        <v>2225</v>
      </c>
      <c r="I23" s="574" t="s">
        <v>2226</v>
      </c>
      <c r="J23" s="574" t="s">
        <v>2227</v>
      </c>
      <c r="K23" s="574" t="s">
        <v>2228</v>
      </c>
      <c r="L23" s="574" t="s">
        <v>2229</v>
      </c>
      <c r="M23" s="574" t="s">
        <v>2230</v>
      </c>
      <c r="N23" s="574" t="s">
        <v>2231</v>
      </c>
      <c r="O23" s="574" t="s">
        <v>2232</v>
      </c>
      <c r="P23" s="574" t="s">
        <v>2233</v>
      </c>
      <c r="Q23" s="574" t="s">
        <v>2234</v>
      </c>
      <c r="R23" s="574" t="s">
        <v>2225</v>
      </c>
      <c r="S23" s="574" t="s">
        <v>2235</v>
      </c>
      <c r="T23" s="574" t="s">
        <v>2236</v>
      </c>
      <c r="U23" s="574" t="s">
        <v>2458</v>
      </c>
      <c r="V23" s="574" t="s">
        <v>2238</v>
      </c>
      <c r="W23" s="574" t="s">
        <v>2239</v>
      </c>
      <c r="X23" s="574" t="s">
        <v>2459</v>
      </c>
      <c r="Y23" s="575" t="s">
        <v>2457</v>
      </c>
      <c r="Z23" s="575" t="s">
        <v>2457</v>
      </c>
      <c r="AA23" s="574" t="s">
        <v>2248</v>
      </c>
      <c r="AB23" s="574" t="s">
        <v>2249</v>
      </c>
      <c r="AC23" s="574" t="s">
        <v>2253</v>
      </c>
      <c r="AD23" s="574" t="s">
        <v>2254</v>
      </c>
      <c r="AE23" s="574" t="s">
        <v>2257</v>
      </c>
      <c r="AF23" s="574" t="s">
        <v>2258</v>
      </c>
      <c r="AG23" s="576">
        <v>10717.4</v>
      </c>
    </row>
    <row r="24" spans="1:33" hidden="1" x14ac:dyDescent="0.25">
      <c r="A24" s="574" t="s">
        <v>2219</v>
      </c>
      <c r="B24" s="574" t="s">
        <v>2220</v>
      </c>
      <c r="C24" s="574" t="s">
        <v>2221</v>
      </c>
      <c r="D24" s="574" t="s">
        <v>2220</v>
      </c>
      <c r="E24" s="574" t="s">
        <v>2222</v>
      </c>
      <c r="F24" s="574" t="s">
        <v>2223</v>
      </c>
      <c r="G24" s="574" t="s">
        <v>2224</v>
      </c>
      <c r="H24" s="574" t="s">
        <v>2225</v>
      </c>
      <c r="I24" s="574" t="s">
        <v>2226</v>
      </c>
      <c r="J24" s="574" t="s">
        <v>2227</v>
      </c>
      <c r="K24" s="574" t="s">
        <v>2228</v>
      </c>
      <c r="L24" s="574" t="s">
        <v>2229</v>
      </c>
      <c r="M24" s="574" t="s">
        <v>2230</v>
      </c>
      <c r="N24" s="574" t="s">
        <v>2231</v>
      </c>
      <c r="O24" s="574" t="s">
        <v>2232</v>
      </c>
      <c r="P24" s="574" t="s">
        <v>2233</v>
      </c>
      <c r="Q24" s="574" t="s">
        <v>2234</v>
      </c>
      <c r="R24" s="574" t="s">
        <v>2225</v>
      </c>
      <c r="S24" s="574" t="s">
        <v>2235</v>
      </c>
      <c r="T24" s="574" t="s">
        <v>2236</v>
      </c>
      <c r="U24" s="574" t="s">
        <v>2513</v>
      </c>
      <c r="V24" s="574" t="s">
        <v>2238</v>
      </c>
      <c r="W24" s="574" t="s">
        <v>2239</v>
      </c>
      <c r="X24" s="574" t="s">
        <v>2514</v>
      </c>
      <c r="Y24" s="575" t="s">
        <v>2512</v>
      </c>
      <c r="Z24" s="575" t="s">
        <v>2512</v>
      </c>
      <c r="AA24" s="574" t="s">
        <v>2248</v>
      </c>
      <c r="AB24" s="574" t="s">
        <v>2249</v>
      </c>
      <c r="AC24" s="574" t="s">
        <v>2253</v>
      </c>
      <c r="AD24" s="574" t="s">
        <v>2254</v>
      </c>
      <c r="AE24" s="574" t="s">
        <v>2257</v>
      </c>
      <c r="AF24" s="574" t="s">
        <v>2258</v>
      </c>
      <c r="AG24" s="576">
        <v>10717.4</v>
      </c>
    </row>
    <row r="25" spans="1:33" hidden="1" x14ac:dyDescent="0.25">
      <c r="A25" s="574" t="s">
        <v>2219</v>
      </c>
      <c r="B25" s="574" t="s">
        <v>2220</v>
      </c>
      <c r="C25" s="574" t="s">
        <v>2221</v>
      </c>
      <c r="D25" s="574" t="s">
        <v>2220</v>
      </c>
      <c r="E25" s="574" t="s">
        <v>2222</v>
      </c>
      <c r="F25" s="574" t="s">
        <v>2223</v>
      </c>
      <c r="G25" s="574" t="s">
        <v>2224</v>
      </c>
      <c r="H25" s="574" t="s">
        <v>2225</v>
      </c>
      <c r="I25" s="574" t="s">
        <v>2226</v>
      </c>
      <c r="J25" s="574" t="s">
        <v>2227</v>
      </c>
      <c r="K25" s="574" t="s">
        <v>2228</v>
      </c>
      <c r="L25" s="574" t="s">
        <v>2229</v>
      </c>
      <c r="M25" s="574" t="s">
        <v>2230</v>
      </c>
      <c r="N25" s="574" t="s">
        <v>2231</v>
      </c>
      <c r="O25" s="574" t="s">
        <v>2232</v>
      </c>
      <c r="P25" s="574" t="s">
        <v>2233</v>
      </c>
      <c r="Q25" s="574" t="s">
        <v>2234</v>
      </c>
      <c r="R25" s="574" t="s">
        <v>2225</v>
      </c>
      <c r="S25" s="574" t="s">
        <v>2235</v>
      </c>
      <c r="T25" s="574" t="s">
        <v>2236</v>
      </c>
      <c r="U25" s="574" t="s">
        <v>2600</v>
      </c>
      <c r="V25" s="574" t="s">
        <v>2238</v>
      </c>
      <c r="W25" s="574" t="s">
        <v>2239</v>
      </c>
      <c r="X25" s="574" t="s">
        <v>2601</v>
      </c>
      <c r="Y25" s="575" t="s">
        <v>2599</v>
      </c>
      <c r="Z25" s="575" t="s">
        <v>2599</v>
      </c>
      <c r="AA25" s="574" t="s">
        <v>2248</v>
      </c>
      <c r="AB25" s="574" t="s">
        <v>2249</v>
      </c>
      <c r="AC25" s="574" t="s">
        <v>2253</v>
      </c>
      <c r="AD25" s="574" t="s">
        <v>2254</v>
      </c>
      <c r="AE25" s="574" t="s">
        <v>2257</v>
      </c>
      <c r="AF25" s="574" t="s">
        <v>2258</v>
      </c>
      <c r="AG25" s="576">
        <v>10717.4</v>
      </c>
    </row>
    <row r="26" spans="1:33" hidden="1" x14ac:dyDescent="0.25">
      <c r="A26" s="574" t="s">
        <v>2219</v>
      </c>
      <c r="B26" s="574" t="s">
        <v>2220</v>
      </c>
      <c r="C26" s="574" t="s">
        <v>2221</v>
      </c>
      <c r="D26" s="574" t="s">
        <v>2220</v>
      </c>
      <c r="E26" s="574" t="s">
        <v>2222</v>
      </c>
      <c r="F26" s="574" t="s">
        <v>2223</v>
      </c>
      <c r="G26" s="574" t="s">
        <v>2224</v>
      </c>
      <c r="H26" s="574" t="s">
        <v>2225</v>
      </c>
      <c r="I26" s="574" t="s">
        <v>2226</v>
      </c>
      <c r="J26" s="574" t="s">
        <v>2227</v>
      </c>
      <c r="K26" s="574" t="s">
        <v>2228</v>
      </c>
      <c r="L26" s="574" t="s">
        <v>2229</v>
      </c>
      <c r="M26" s="574" t="s">
        <v>2230</v>
      </c>
      <c r="N26" s="574" t="s">
        <v>2231</v>
      </c>
      <c r="O26" s="574" t="s">
        <v>2232</v>
      </c>
      <c r="P26" s="574" t="s">
        <v>2233</v>
      </c>
      <c r="Q26" s="574" t="s">
        <v>2234</v>
      </c>
      <c r="R26" s="574" t="s">
        <v>2225</v>
      </c>
      <c r="S26" s="574" t="s">
        <v>2235</v>
      </c>
      <c r="T26" s="574" t="s">
        <v>2236</v>
      </c>
      <c r="U26" s="574" t="s">
        <v>2289</v>
      </c>
      <c r="V26" s="574" t="s">
        <v>2238</v>
      </c>
      <c r="W26" s="574" t="s">
        <v>2239</v>
      </c>
      <c r="X26" s="574" t="s">
        <v>2290</v>
      </c>
      <c r="Y26" s="575" t="s">
        <v>2291</v>
      </c>
      <c r="Z26" s="575" t="s">
        <v>2291</v>
      </c>
      <c r="AA26" s="574" t="s">
        <v>2248</v>
      </c>
      <c r="AB26" s="574" t="s">
        <v>2249</v>
      </c>
      <c r="AC26" s="574" t="s">
        <v>2253</v>
      </c>
      <c r="AD26" s="574" t="s">
        <v>2254</v>
      </c>
      <c r="AE26" s="574" t="s">
        <v>2259</v>
      </c>
      <c r="AF26" s="574" t="s">
        <v>2260</v>
      </c>
      <c r="AG26" s="576">
        <v>58945.7</v>
      </c>
    </row>
    <row r="27" spans="1:33" hidden="1" x14ac:dyDescent="0.25">
      <c r="A27" s="574" t="s">
        <v>2219</v>
      </c>
      <c r="B27" s="574" t="s">
        <v>2220</v>
      </c>
      <c r="C27" s="574" t="s">
        <v>2221</v>
      </c>
      <c r="D27" s="574" t="s">
        <v>2220</v>
      </c>
      <c r="E27" s="574" t="s">
        <v>2222</v>
      </c>
      <c r="F27" s="574" t="s">
        <v>2223</v>
      </c>
      <c r="G27" s="574" t="s">
        <v>2224</v>
      </c>
      <c r="H27" s="574" t="s">
        <v>2225</v>
      </c>
      <c r="I27" s="574" t="s">
        <v>2226</v>
      </c>
      <c r="J27" s="574" t="s">
        <v>2227</v>
      </c>
      <c r="K27" s="574" t="s">
        <v>2228</v>
      </c>
      <c r="L27" s="574" t="s">
        <v>2229</v>
      </c>
      <c r="M27" s="574" t="s">
        <v>2230</v>
      </c>
      <c r="N27" s="574" t="s">
        <v>2231</v>
      </c>
      <c r="O27" s="574" t="s">
        <v>2232</v>
      </c>
      <c r="P27" s="574" t="s">
        <v>2233</v>
      </c>
      <c r="Q27" s="574" t="s">
        <v>2234</v>
      </c>
      <c r="R27" s="574" t="s">
        <v>2225</v>
      </c>
      <c r="S27" s="574" t="s">
        <v>2235</v>
      </c>
      <c r="T27" s="574" t="s">
        <v>2236</v>
      </c>
      <c r="U27" s="574" t="s">
        <v>2458</v>
      </c>
      <c r="V27" s="574" t="s">
        <v>2238</v>
      </c>
      <c r="W27" s="574" t="s">
        <v>2239</v>
      </c>
      <c r="X27" s="574" t="s">
        <v>2459</v>
      </c>
      <c r="Y27" s="575" t="s">
        <v>2457</v>
      </c>
      <c r="Z27" s="575" t="s">
        <v>2457</v>
      </c>
      <c r="AA27" s="574" t="s">
        <v>2248</v>
      </c>
      <c r="AB27" s="574" t="s">
        <v>2249</v>
      </c>
      <c r="AC27" s="574" t="s">
        <v>2253</v>
      </c>
      <c r="AD27" s="574" t="s">
        <v>2254</v>
      </c>
      <c r="AE27" s="574" t="s">
        <v>2259</v>
      </c>
      <c r="AF27" s="574" t="s">
        <v>2260</v>
      </c>
      <c r="AG27" s="576">
        <v>58945.7</v>
      </c>
    </row>
    <row r="28" spans="1:33" hidden="1" x14ac:dyDescent="0.25">
      <c r="A28" s="574" t="s">
        <v>2219</v>
      </c>
      <c r="B28" s="574" t="s">
        <v>2220</v>
      </c>
      <c r="C28" s="574" t="s">
        <v>2221</v>
      </c>
      <c r="D28" s="574" t="s">
        <v>2220</v>
      </c>
      <c r="E28" s="574" t="s">
        <v>2222</v>
      </c>
      <c r="F28" s="574" t="s">
        <v>2223</v>
      </c>
      <c r="G28" s="574" t="s">
        <v>2224</v>
      </c>
      <c r="H28" s="574" t="s">
        <v>2225</v>
      </c>
      <c r="I28" s="574" t="s">
        <v>2226</v>
      </c>
      <c r="J28" s="574" t="s">
        <v>2227</v>
      </c>
      <c r="K28" s="574" t="s">
        <v>2228</v>
      </c>
      <c r="L28" s="574" t="s">
        <v>2229</v>
      </c>
      <c r="M28" s="574" t="s">
        <v>2230</v>
      </c>
      <c r="N28" s="574" t="s">
        <v>2231</v>
      </c>
      <c r="O28" s="574" t="s">
        <v>2232</v>
      </c>
      <c r="P28" s="574" t="s">
        <v>2233</v>
      </c>
      <c r="Q28" s="574" t="s">
        <v>2234</v>
      </c>
      <c r="R28" s="574" t="s">
        <v>2225</v>
      </c>
      <c r="S28" s="574" t="s">
        <v>2235</v>
      </c>
      <c r="T28" s="574" t="s">
        <v>2236</v>
      </c>
      <c r="U28" s="574" t="s">
        <v>2513</v>
      </c>
      <c r="V28" s="574" t="s">
        <v>2238</v>
      </c>
      <c r="W28" s="574" t="s">
        <v>2239</v>
      </c>
      <c r="X28" s="574" t="s">
        <v>2514</v>
      </c>
      <c r="Y28" s="575" t="s">
        <v>2512</v>
      </c>
      <c r="Z28" s="575" t="s">
        <v>2512</v>
      </c>
      <c r="AA28" s="574" t="s">
        <v>2248</v>
      </c>
      <c r="AB28" s="574" t="s">
        <v>2249</v>
      </c>
      <c r="AC28" s="574" t="s">
        <v>2253</v>
      </c>
      <c r="AD28" s="574" t="s">
        <v>2254</v>
      </c>
      <c r="AE28" s="574" t="s">
        <v>2259</v>
      </c>
      <c r="AF28" s="574" t="s">
        <v>2260</v>
      </c>
      <c r="AG28" s="576">
        <v>58945.7</v>
      </c>
    </row>
    <row r="29" spans="1:33" hidden="1" x14ac:dyDescent="0.25">
      <c r="A29" s="574" t="s">
        <v>2219</v>
      </c>
      <c r="B29" s="574" t="s">
        <v>2220</v>
      </c>
      <c r="C29" s="574" t="s">
        <v>2221</v>
      </c>
      <c r="D29" s="574" t="s">
        <v>2220</v>
      </c>
      <c r="E29" s="574" t="s">
        <v>2222</v>
      </c>
      <c r="F29" s="574" t="s">
        <v>2223</v>
      </c>
      <c r="G29" s="574" t="s">
        <v>2224</v>
      </c>
      <c r="H29" s="574" t="s">
        <v>2225</v>
      </c>
      <c r="I29" s="574" t="s">
        <v>2226</v>
      </c>
      <c r="J29" s="574" t="s">
        <v>2227</v>
      </c>
      <c r="K29" s="574" t="s">
        <v>2228</v>
      </c>
      <c r="L29" s="574" t="s">
        <v>2229</v>
      </c>
      <c r="M29" s="574" t="s">
        <v>2230</v>
      </c>
      <c r="N29" s="574" t="s">
        <v>2231</v>
      </c>
      <c r="O29" s="574" t="s">
        <v>2232</v>
      </c>
      <c r="P29" s="574" t="s">
        <v>2233</v>
      </c>
      <c r="Q29" s="574" t="s">
        <v>2234</v>
      </c>
      <c r="R29" s="574" t="s">
        <v>2225</v>
      </c>
      <c r="S29" s="574" t="s">
        <v>2235</v>
      </c>
      <c r="T29" s="574" t="s">
        <v>2236</v>
      </c>
      <c r="U29" s="574" t="s">
        <v>2600</v>
      </c>
      <c r="V29" s="574" t="s">
        <v>2238</v>
      </c>
      <c r="W29" s="574" t="s">
        <v>2239</v>
      </c>
      <c r="X29" s="574" t="s">
        <v>2601</v>
      </c>
      <c r="Y29" s="575" t="s">
        <v>2599</v>
      </c>
      <c r="Z29" s="575" t="s">
        <v>2599</v>
      </c>
      <c r="AA29" s="574" t="s">
        <v>2248</v>
      </c>
      <c r="AB29" s="574" t="s">
        <v>2249</v>
      </c>
      <c r="AC29" s="574" t="s">
        <v>2253</v>
      </c>
      <c r="AD29" s="574" t="s">
        <v>2254</v>
      </c>
      <c r="AE29" s="574" t="s">
        <v>2259</v>
      </c>
      <c r="AF29" s="574" t="s">
        <v>2260</v>
      </c>
      <c r="AG29" s="576">
        <v>58945.7</v>
      </c>
    </row>
    <row r="30" spans="1:33" hidden="1" x14ac:dyDescent="0.25">
      <c r="A30" s="574" t="s">
        <v>2219</v>
      </c>
      <c r="B30" s="574" t="s">
        <v>2220</v>
      </c>
      <c r="C30" s="574" t="s">
        <v>2221</v>
      </c>
      <c r="D30" s="574" t="s">
        <v>2220</v>
      </c>
      <c r="E30" s="574" t="s">
        <v>2222</v>
      </c>
      <c r="F30" s="574" t="s">
        <v>2223</v>
      </c>
      <c r="G30" s="574" t="s">
        <v>2224</v>
      </c>
      <c r="H30" s="574" t="s">
        <v>2225</v>
      </c>
      <c r="I30" s="574" t="s">
        <v>2226</v>
      </c>
      <c r="J30" s="574" t="s">
        <v>2227</v>
      </c>
      <c r="K30" s="574" t="s">
        <v>2228</v>
      </c>
      <c r="L30" s="574" t="s">
        <v>2229</v>
      </c>
      <c r="M30" s="574" t="s">
        <v>2230</v>
      </c>
      <c r="N30" s="574" t="s">
        <v>2231</v>
      </c>
      <c r="O30" s="574" t="s">
        <v>2232</v>
      </c>
      <c r="P30" s="574" t="s">
        <v>2233</v>
      </c>
      <c r="Q30" s="574" t="s">
        <v>2234</v>
      </c>
      <c r="R30" s="574" t="s">
        <v>2225</v>
      </c>
      <c r="S30" s="574" t="s">
        <v>2235</v>
      </c>
      <c r="T30" s="574" t="s">
        <v>2236</v>
      </c>
      <c r="U30" s="574" t="s">
        <v>2237</v>
      </c>
      <c r="V30" s="574" t="s">
        <v>2238</v>
      </c>
      <c r="W30" s="574" t="s">
        <v>2239</v>
      </c>
      <c r="X30" s="574" t="s">
        <v>2240</v>
      </c>
      <c r="Y30" s="575" t="s">
        <v>2241</v>
      </c>
      <c r="Z30" s="575" t="s">
        <v>2241</v>
      </c>
      <c r="AA30" s="574" t="s">
        <v>2248</v>
      </c>
      <c r="AB30" s="574" t="s">
        <v>2249</v>
      </c>
      <c r="AC30" s="574" t="s">
        <v>2253</v>
      </c>
      <c r="AD30" s="574" t="s">
        <v>2254</v>
      </c>
      <c r="AE30" s="574" t="s">
        <v>2259</v>
      </c>
      <c r="AF30" s="574" t="s">
        <v>2260</v>
      </c>
      <c r="AG30" s="576">
        <v>64304.4</v>
      </c>
    </row>
    <row r="31" spans="1:33" hidden="1" x14ac:dyDescent="0.25">
      <c r="A31" s="574" t="s">
        <v>2219</v>
      </c>
      <c r="B31" s="574" t="s">
        <v>2220</v>
      </c>
      <c r="C31" s="574" t="s">
        <v>2221</v>
      </c>
      <c r="D31" s="574" t="s">
        <v>2220</v>
      </c>
      <c r="E31" s="574" t="s">
        <v>2222</v>
      </c>
      <c r="F31" s="574" t="s">
        <v>2223</v>
      </c>
      <c r="G31" s="574" t="s">
        <v>2224</v>
      </c>
      <c r="H31" s="574" t="s">
        <v>2225</v>
      </c>
      <c r="I31" s="574" t="s">
        <v>2226</v>
      </c>
      <c r="J31" s="574" t="s">
        <v>2227</v>
      </c>
      <c r="K31" s="574" t="s">
        <v>2228</v>
      </c>
      <c r="L31" s="574" t="s">
        <v>2229</v>
      </c>
      <c r="M31" s="574" t="s">
        <v>2230</v>
      </c>
      <c r="N31" s="574" t="s">
        <v>2231</v>
      </c>
      <c r="O31" s="574" t="s">
        <v>2232</v>
      </c>
      <c r="P31" s="574" t="s">
        <v>2233</v>
      </c>
      <c r="Q31" s="574" t="s">
        <v>2234</v>
      </c>
      <c r="R31" s="574" t="s">
        <v>2225</v>
      </c>
      <c r="S31" s="574" t="s">
        <v>2235</v>
      </c>
      <c r="T31" s="574" t="s">
        <v>2236</v>
      </c>
      <c r="U31" s="574" t="s">
        <v>2277</v>
      </c>
      <c r="V31" s="574" t="s">
        <v>2238</v>
      </c>
      <c r="W31" s="574" t="s">
        <v>2239</v>
      </c>
      <c r="X31" s="574" t="s">
        <v>2278</v>
      </c>
      <c r="Y31" s="575" t="s">
        <v>2276</v>
      </c>
      <c r="Z31" s="575" t="s">
        <v>2276</v>
      </c>
      <c r="AA31" s="574" t="s">
        <v>2248</v>
      </c>
      <c r="AB31" s="574" t="s">
        <v>2249</v>
      </c>
      <c r="AC31" s="574" t="s">
        <v>2253</v>
      </c>
      <c r="AD31" s="574" t="s">
        <v>2254</v>
      </c>
      <c r="AE31" s="574" t="s">
        <v>2259</v>
      </c>
      <c r="AF31" s="574" t="s">
        <v>2260</v>
      </c>
      <c r="AG31" s="576">
        <v>64304.4</v>
      </c>
    </row>
    <row r="32" spans="1:33" hidden="1" x14ac:dyDescent="0.25">
      <c r="A32" s="574" t="s">
        <v>2219</v>
      </c>
      <c r="B32" s="574" t="s">
        <v>2220</v>
      </c>
      <c r="C32" s="574" t="s">
        <v>2221</v>
      </c>
      <c r="D32" s="574" t="s">
        <v>2220</v>
      </c>
      <c r="E32" s="574" t="s">
        <v>2222</v>
      </c>
      <c r="F32" s="574" t="s">
        <v>2223</v>
      </c>
      <c r="G32" s="574" t="s">
        <v>2224</v>
      </c>
      <c r="H32" s="574" t="s">
        <v>2225</v>
      </c>
      <c r="I32" s="574" t="s">
        <v>2226</v>
      </c>
      <c r="J32" s="574" t="s">
        <v>2227</v>
      </c>
      <c r="K32" s="574" t="s">
        <v>2228</v>
      </c>
      <c r="L32" s="574" t="s">
        <v>2229</v>
      </c>
      <c r="M32" s="574" t="s">
        <v>2230</v>
      </c>
      <c r="N32" s="574" t="s">
        <v>2231</v>
      </c>
      <c r="O32" s="574" t="s">
        <v>2232</v>
      </c>
      <c r="P32" s="574" t="s">
        <v>2233</v>
      </c>
      <c r="Q32" s="574" t="s">
        <v>2234</v>
      </c>
      <c r="R32" s="574" t="s">
        <v>2225</v>
      </c>
      <c r="S32" s="574" t="s">
        <v>2235</v>
      </c>
      <c r="T32" s="574" t="s">
        <v>2236</v>
      </c>
      <c r="U32" s="574" t="s">
        <v>2513</v>
      </c>
      <c r="V32" s="574" t="s">
        <v>2238</v>
      </c>
      <c r="W32" s="574" t="s">
        <v>2239</v>
      </c>
      <c r="X32" s="574" t="s">
        <v>2514</v>
      </c>
      <c r="Y32" s="575" t="s">
        <v>2512</v>
      </c>
      <c r="Z32" s="575" t="s">
        <v>2512</v>
      </c>
      <c r="AA32" s="574" t="s">
        <v>2248</v>
      </c>
      <c r="AB32" s="574" t="s">
        <v>2249</v>
      </c>
      <c r="AC32" s="574" t="s">
        <v>2253</v>
      </c>
      <c r="AD32" s="574" t="s">
        <v>2254</v>
      </c>
      <c r="AE32" s="574" t="s">
        <v>2255</v>
      </c>
      <c r="AF32" s="574" t="s">
        <v>2256</v>
      </c>
      <c r="AG32" s="576">
        <v>266200</v>
      </c>
    </row>
    <row r="33" spans="1:33" hidden="1" x14ac:dyDescent="0.25">
      <c r="A33" s="574" t="s">
        <v>2219</v>
      </c>
      <c r="B33" s="574" t="s">
        <v>2220</v>
      </c>
      <c r="C33" s="574" t="s">
        <v>2221</v>
      </c>
      <c r="D33" s="574" t="s">
        <v>2220</v>
      </c>
      <c r="E33" s="574" t="s">
        <v>2222</v>
      </c>
      <c r="F33" s="574" t="s">
        <v>2223</v>
      </c>
      <c r="G33" s="574" t="s">
        <v>2224</v>
      </c>
      <c r="H33" s="574" t="s">
        <v>2225</v>
      </c>
      <c r="I33" s="574" t="s">
        <v>2226</v>
      </c>
      <c r="J33" s="574" t="s">
        <v>2227</v>
      </c>
      <c r="K33" s="574" t="s">
        <v>2228</v>
      </c>
      <c r="L33" s="574" t="s">
        <v>2229</v>
      </c>
      <c r="M33" s="574" t="s">
        <v>2230</v>
      </c>
      <c r="N33" s="574" t="s">
        <v>2231</v>
      </c>
      <c r="O33" s="574" t="s">
        <v>2232</v>
      </c>
      <c r="P33" s="574" t="s">
        <v>2233</v>
      </c>
      <c r="Q33" s="574" t="s">
        <v>2234</v>
      </c>
      <c r="R33" s="574" t="s">
        <v>2225</v>
      </c>
      <c r="S33" s="574" t="s">
        <v>2235</v>
      </c>
      <c r="T33" s="574" t="s">
        <v>2236</v>
      </c>
      <c r="U33" s="574" t="s">
        <v>2600</v>
      </c>
      <c r="V33" s="574" t="s">
        <v>2238</v>
      </c>
      <c r="W33" s="574" t="s">
        <v>2239</v>
      </c>
      <c r="X33" s="574" t="s">
        <v>2601</v>
      </c>
      <c r="Y33" s="575" t="s">
        <v>2599</v>
      </c>
      <c r="Z33" s="575" t="s">
        <v>2599</v>
      </c>
      <c r="AA33" s="574" t="s">
        <v>2248</v>
      </c>
      <c r="AB33" s="574" t="s">
        <v>2249</v>
      </c>
      <c r="AC33" s="574" t="s">
        <v>2253</v>
      </c>
      <c r="AD33" s="574" t="s">
        <v>2254</v>
      </c>
      <c r="AE33" s="574" t="s">
        <v>2255</v>
      </c>
      <c r="AF33" s="574" t="s">
        <v>2256</v>
      </c>
      <c r="AG33" s="576">
        <v>276200</v>
      </c>
    </row>
    <row r="34" spans="1:33" hidden="1" x14ac:dyDescent="0.25">
      <c r="A34" s="574" t="s">
        <v>2219</v>
      </c>
      <c r="B34" s="574" t="s">
        <v>2220</v>
      </c>
      <c r="C34" s="574" t="s">
        <v>2221</v>
      </c>
      <c r="D34" s="574" t="s">
        <v>2220</v>
      </c>
      <c r="E34" s="574" t="s">
        <v>2222</v>
      </c>
      <c r="F34" s="574" t="s">
        <v>2223</v>
      </c>
      <c r="G34" s="574" t="s">
        <v>2224</v>
      </c>
      <c r="H34" s="574" t="s">
        <v>2225</v>
      </c>
      <c r="I34" s="574" t="s">
        <v>2226</v>
      </c>
      <c r="J34" s="574" t="s">
        <v>2227</v>
      </c>
      <c r="K34" s="574" t="s">
        <v>2228</v>
      </c>
      <c r="L34" s="574" t="s">
        <v>2229</v>
      </c>
      <c r="M34" s="574" t="s">
        <v>2230</v>
      </c>
      <c r="N34" s="574" t="s">
        <v>2231</v>
      </c>
      <c r="O34" s="574" t="s">
        <v>2232</v>
      </c>
      <c r="P34" s="574" t="s">
        <v>2233</v>
      </c>
      <c r="Q34" s="574" t="s">
        <v>2234</v>
      </c>
      <c r="R34" s="574" t="s">
        <v>2225</v>
      </c>
      <c r="S34" s="574" t="s">
        <v>2235</v>
      </c>
      <c r="T34" s="574" t="s">
        <v>2236</v>
      </c>
      <c r="U34" s="574" t="s">
        <v>2289</v>
      </c>
      <c r="V34" s="574" t="s">
        <v>2238</v>
      </c>
      <c r="W34" s="574" t="s">
        <v>2239</v>
      </c>
      <c r="X34" s="574" t="s">
        <v>2290</v>
      </c>
      <c r="Y34" s="575" t="s">
        <v>2291</v>
      </c>
      <c r="Z34" s="575" t="s">
        <v>2291</v>
      </c>
      <c r="AA34" s="574" t="s">
        <v>2248</v>
      </c>
      <c r="AB34" s="574" t="s">
        <v>2249</v>
      </c>
      <c r="AC34" s="574" t="s">
        <v>2253</v>
      </c>
      <c r="AD34" s="574" t="s">
        <v>2254</v>
      </c>
      <c r="AE34" s="574" t="s">
        <v>2255</v>
      </c>
      <c r="AF34" s="574" t="s">
        <v>2256</v>
      </c>
      <c r="AG34" s="576">
        <v>283200</v>
      </c>
    </row>
    <row r="35" spans="1:33" hidden="1" x14ac:dyDescent="0.25">
      <c r="A35" s="574" t="s">
        <v>2219</v>
      </c>
      <c r="B35" s="574" t="s">
        <v>2220</v>
      </c>
      <c r="C35" s="574" t="s">
        <v>2221</v>
      </c>
      <c r="D35" s="574" t="s">
        <v>2220</v>
      </c>
      <c r="E35" s="574" t="s">
        <v>2222</v>
      </c>
      <c r="F35" s="574" t="s">
        <v>2223</v>
      </c>
      <c r="G35" s="574" t="s">
        <v>2224</v>
      </c>
      <c r="H35" s="574" t="s">
        <v>2225</v>
      </c>
      <c r="I35" s="574" t="s">
        <v>2226</v>
      </c>
      <c r="J35" s="574" t="s">
        <v>2227</v>
      </c>
      <c r="K35" s="574" t="s">
        <v>2228</v>
      </c>
      <c r="L35" s="574" t="s">
        <v>2229</v>
      </c>
      <c r="M35" s="574" t="s">
        <v>2230</v>
      </c>
      <c r="N35" s="574" t="s">
        <v>2231</v>
      </c>
      <c r="O35" s="574" t="s">
        <v>2232</v>
      </c>
      <c r="P35" s="574" t="s">
        <v>2233</v>
      </c>
      <c r="Q35" s="574" t="s">
        <v>2234</v>
      </c>
      <c r="R35" s="574" t="s">
        <v>2225</v>
      </c>
      <c r="S35" s="574" t="s">
        <v>2235</v>
      </c>
      <c r="T35" s="574" t="s">
        <v>2236</v>
      </c>
      <c r="U35" s="574" t="s">
        <v>2277</v>
      </c>
      <c r="V35" s="574" t="s">
        <v>2238</v>
      </c>
      <c r="W35" s="574" t="s">
        <v>2239</v>
      </c>
      <c r="X35" s="574" t="s">
        <v>2278</v>
      </c>
      <c r="Y35" s="575" t="s">
        <v>2276</v>
      </c>
      <c r="Z35" s="575" t="s">
        <v>2276</v>
      </c>
      <c r="AA35" s="574" t="s">
        <v>2248</v>
      </c>
      <c r="AB35" s="574" t="s">
        <v>2249</v>
      </c>
      <c r="AC35" s="574" t="s">
        <v>2253</v>
      </c>
      <c r="AD35" s="574" t="s">
        <v>2254</v>
      </c>
      <c r="AE35" s="574" t="s">
        <v>2255</v>
      </c>
      <c r="AF35" s="574" t="s">
        <v>2256</v>
      </c>
      <c r="AG35" s="576">
        <v>288600</v>
      </c>
    </row>
    <row r="36" spans="1:33" hidden="1" x14ac:dyDescent="0.25">
      <c r="A36" s="574" t="s">
        <v>2219</v>
      </c>
      <c r="B36" s="574" t="s">
        <v>2220</v>
      </c>
      <c r="C36" s="574" t="s">
        <v>2221</v>
      </c>
      <c r="D36" s="574" t="s">
        <v>2220</v>
      </c>
      <c r="E36" s="574" t="s">
        <v>2222</v>
      </c>
      <c r="F36" s="574" t="s">
        <v>2223</v>
      </c>
      <c r="G36" s="574" t="s">
        <v>2224</v>
      </c>
      <c r="H36" s="574" t="s">
        <v>2225</v>
      </c>
      <c r="I36" s="574" t="s">
        <v>2226</v>
      </c>
      <c r="J36" s="574" t="s">
        <v>2227</v>
      </c>
      <c r="K36" s="574" t="s">
        <v>2228</v>
      </c>
      <c r="L36" s="574" t="s">
        <v>2229</v>
      </c>
      <c r="M36" s="574" t="s">
        <v>2230</v>
      </c>
      <c r="N36" s="574" t="s">
        <v>2231</v>
      </c>
      <c r="O36" s="574" t="s">
        <v>2232</v>
      </c>
      <c r="P36" s="574" t="s">
        <v>2233</v>
      </c>
      <c r="Q36" s="574" t="s">
        <v>2234</v>
      </c>
      <c r="R36" s="574" t="s">
        <v>2225</v>
      </c>
      <c r="S36" s="574" t="s">
        <v>2235</v>
      </c>
      <c r="T36" s="574" t="s">
        <v>2236</v>
      </c>
      <c r="U36" s="574" t="s">
        <v>2458</v>
      </c>
      <c r="V36" s="574" t="s">
        <v>2238</v>
      </c>
      <c r="W36" s="574" t="s">
        <v>2239</v>
      </c>
      <c r="X36" s="574" t="s">
        <v>2459</v>
      </c>
      <c r="Y36" s="575" t="s">
        <v>2457</v>
      </c>
      <c r="Z36" s="575" t="s">
        <v>2457</v>
      </c>
      <c r="AA36" s="574" t="s">
        <v>2248</v>
      </c>
      <c r="AB36" s="574" t="s">
        <v>2249</v>
      </c>
      <c r="AC36" s="574" t="s">
        <v>2253</v>
      </c>
      <c r="AD36" s="574" t="s">
        <v>2254</v>
      </c>
      <c r="AE36" s="574" t="s">
        <v>2255</v>
      </c>
      <c r="AF36" s="574" t="s">
        <v>2256</v>
      </c>
      <c r="AG36" s="576">
        <v>303200</v>
      </c>
    </row>
    <row r="37" spans="1:33" hidden="1" x14ac:dyDescent="0.25">
      <c r="A37" s="574" t="s">
        <v>2219</v>
      </c>
      <c r="B37" s="574" t="s">
        <v>2220</v>
      </c>
      <c r="C37" s="574" t="s">
        <v>2221</v>
      </c>
      <c r="D37" s="574" t="s">
        <v>2220</v>
      </c>
      <c r="E37" s="574" t="s">
        <v>2222</v>
      </c>
      <c r="F37" s="574" t="s">
        <v>2223</v>
      </c>
      <c r="G37" s="574" t="s">
        <v>2224</v>
      </c>
      <c r="H37" s="574" t="s">
        <v>2225</v>
      </c>
      <c r="I37" s="574" t="s">
        <v>2226</v>
      </c>
      <c r="J37" s="574" t="s">
        <v>2227</v>
      </c>
      <c r="K37" s="574" t="s">
        <v>2228</v>
      </c>
      <c r="L37" s="574" t="s">
        <v>2229</v>
      </c>
      <c r="M37" s="574" t="s">
        <v>2230</v>
      </c>
      <c r="N37" s="574" t="s">
        <v>2231</v>
      </c>
      <c r="O37" s="574" t="s">
        <v>2232</v>
      </c>
      <c r="P37" s="574" t="s">
        <v>2233</v>
      </c>
      <c r="Q37" s="574" t="s">
        <v>2234</v>
      </c>
      <c r="R37" s="574" t="s">
        <v>2225</v>
      </c>
      <c r="S37" s="574" t="s">
        <v>2235</v>
      </c>
      <c r="T37" s="574" t="s">
        <v>2236</v>
      </c>
      <c r="U37" s="574" t="s">
        <v>2237</v>
      </c>
      <c r="V37" s="574" t="s">
        <v>2238</v>
      </c>
      <c r="W37" s="574" t="s">
        <v>2239</v>
      </c>
      <c r="X37" s="574" t="s">
        <v>2240</v>
      </c>
      <c r="Y37" s="575" t="s">
        <v>2241</v>
      </c>
      <c r="Z37" s="575" t="s">
        <v>2241</v>
      </c>
      <c r="AA37" s="574" t="s">
        <v>2248</v>
      </c>
      <c r="AB37" s="574" t="s">
        <v>2249</v>
      </c>
      <c r="AC37" s="574" t="s">
        <v>2253</v>
      </c>
      <c r="AD37" s="574" t="s">
        <v>2254</v>
      </c>
      <c r="AE37" s="574" t="s">
        <v>2255</v>
      </c>
      <c r="AF37" s="574" t="s">
        <v>2256</v>
      </c>
      <c r="AG37" s="576">
        <v>396000</v>
      </c>
    </row>
    <row r="38" spans="1:33" hidden="1" x14ac:dyDescent="0.25">
      <c r="A38" s="574" t="s">
        <v>2219</v>
      </c>
      <c r="B38" s="574" t="s">
        <v>2220</v>
      </c>
      <c r="C38" s="574" t="s">
        <v>2221</v>
      </c>
      <c r="D38" s="574" t="s">
        <v>2220</v>
      </c>
      <c r="E38" s="574" t="s">
        <v>2222</v>
      </c>
      <c r="F38" s="574" t="s">
        <v>2223</v>
      </c>
      <c r="G38" s="574" t="s">
        <v>2224</v>
      </c>
      <c r="H38" s="574" t="s">
        <v>2225</v>
      </c>
      <c r="I38" s="574" t="s">
        <v>2226</v>
      </c>
      <c r="J38" s="574" t="s">
        <v>2227</v>
      </c>
      <c r="K38" s="574" t="s">
        <v>2228</v>
      </c>
      <c r="L38" s="574" t="s">
        <v>2229</v>
      </c>
      <c r="M38" s="574" t="s">
        <v>2230</v>
      </c>
      <c r="N38" s="574" t="s">
        <v>2231</v>
      </c>
      <c r="O38" s="574" t="s">
        <v>2232</v>
      </c>
      <c r="P38" s="574" t="s">
        <v>2233</v>
      </c>
      <c r="Q38" s="574" t="s">
        <v>2234</v>
      </c>
      <c r="R38" s="574" t="s">
        <v>2225</v>
      </c>
      <c r="S38" s="574" t="s">
        <v>2235</v>
      </c>
      <c r="T38" s="574" t="s">
        <v>2236</v>
      </c>
      <c r="U38" s="574" t="s">
        <v>2513</v>
      </c>
      <c r="V38" s="574" t="s">
        <v>2238</v>
      </c>
      <c r="W38" s="574" t="s">
        <v>2239</v>
      </c>
      <c r="X38" s="574" t="s">
        <v>2514</v>
      </c>
      <c r="Y38" s="575" t="s">
        <v>2512</v>
      </c>
      <c r="Z38" s="575" t="s">
        <v>2512</v>
      </c>
      <c r="AA38" s="574" t="s">
        <v>2248</v>
      </c>
      <c r="AB38" s="574" t="s">
        <v>2249</v>
      </c>
      <c r="AC38" s="574" t="s">
        <v>2250</v>
      </c>
      <c r="AD38" s="574" t="s">
        <v>2251</v>
      </c>
      <c r="AE38" s="574" t="s">
        <v>2252</v>
      </c>
      <c r="AF38" s="574" t="s">
        <v>2251</v>
      </c>
      <c r="AG38" s="576">
        <v>2391782.42</v>
      </c>
    </row>
    <row r="39" spans="1:33" hidden="1" x14ac:dyDescent="0.25">
      <c r="A39" s="574" t="s">
        <v>2219</v>
      </c>
      <c r="B39" s="574" t="s">
        <v>2220</v>
      </c>
      <c r="C39" s="574" t="s">
        <v>2221</v>
      </c>
      <c r="D39" s="574" t="s">
        <v>2220</v>
      </c>
      <c r="E39" s="574" t="s">
        <v>2222</v>
      </c>
      <c r="F39" s="574" t="s">
        <v>2223</v>
      </c>
      <c r="G39" s="574" t="s">
        <v>2224</v>
      </c>
      <c r="H39" s="574" t="s">
        <v>2225</v>
      </c>
      <c r="I39" s="574" t="s">
        <v>2226</v>
      </c>
      <c r="J39" s="574" t="s">
        <v>2227</v>
      </c>
      <c r="K39" s="574" t="s">
        <v>2228</v>
      </c>
      <c r="L39" s="574" t="s">
        <v>2229</v>
      </c>
      <c r="M39" s="574" t="s">
        <v>2230</v>
      </c>
      <c r="N39" s="574" t="s">
        <v>2231</v>
      </c>
      <c r="O39" s="574" t="s">
        <v>2232</v>
      </c>
      <c r="P39" s="574" t="s">
        <v>2233</v>
      </c>
      <c r="Q39" s="574" t="s">
        <v>2234</v>
      </c>
      <c r="R39" s="574" t="s">
        <v>2225</v>
      </c>
      <c r="S39" s="574" t="s">
        <v>2235</v>
      </c>
      <c r="T39" s="574" t="s">
        <v>2236</v>
      </c>
      <c r="U39" s="574" t="s">
        <v>2600</v>
      </c>
      <c r="V39" s="574" t="s">
        <v>2238</v>
      </c>
      <c r="W39" s="574" t="s">
        <v>2239</v>
      </c>
      <c r="X39" s="574" t="s">
        <v>2601</v>
      </c>
      <c r="Y39" s="575" t="s">
        <v>2599</v>
      </c>
      <c r="Z39" s="575" t="s">
        <v>2599</v>
      </c>
      <c r="AA39" s="574" t="s">
        <v>2248</v>
      </c>
      <c r="AB39" s="574" t="s">
        <v>2249</v>
      </c>
      <c r="AC39" s="574" t="s">
        <v>2250</v>
      </c>
      <c r="AD39" s="574" t="s">
        <v>2251</v>
      </c>
      <c r="AE39" s="574" t="s">
        <v>2252</v>
      </c>
      <c r="AF39" s="574" t="s">
        <v>2251</v>
      </c>
      <c r="AG39" s="576">
        <v>2391782.42</v>
      </c>
    </row>
    <row r="40" spans="1:33" hidden="1" x14ac:dyDescent="0.25">
      <c r="A40" s="574" t="s">
        <v>2219</v>
      </c>
      <c r="B40" s="574" t="s">
        <v>2220</v>
      </c>
      <c r="C40" s="574" t="s">
        <v>2221</v>
      </c>
      <c r="D40" s="574" t="s">
        <v>2220</v>
      </c>
      <c r="E40" s="574" t="s">
        <v>2222</v>
      </c>
      <c r="F40" s="574" t="s">
        <v>2223</v>
      </c>
      <c r="G40" s="574" t="s">
        <v>2224</v>
      </c>
      <c r="H40" s="574" t="s">
        <v>2225</v>
      </c>
      <c r="I40" s="574" t="s">
        <v>2226</v>
      </c>
      <c r="J40" s="574" t="s">
        <v>2227</v>
      </c>
      <c r="K40" s="574" t="s">
        <v>2228</v>
      </c>
      <c r="L40" s="574" t="s">
        <v>2229</v>
      </c>
      <c r="M40" s="574" t="s">
        <v>2230</v>
      </c>
      <c r="N40" s="574" t="s">
        <v>2231</v>
      </c>
      <c r="O40" s="574" t="s">
        <v>2232</v>
      </c>
      <c r="P40" s="574" t="s">
        <v>2233</v>
      </c>
      <c r="Q40" s="574" t="s">
        <v>2234</v>
      </c>
      <c r="R40" s="574" t="s">
        <v>2225</v>
      </c>
      <c r="S40" s="574" t="s">
        <v>2235</v>
      </c>
      <c r="T40" s="574" t="s">
        <v>2236</v>
      </c>
      <c r="U40" s="574" t="s">
        <v>2458</v>
      </c>
      <c r="V40" s="574" t="s">
        <v>2238</v>
      </c>
      <c r="W40" s="574" t="s">
        <v>2239</v>
      </c>
      <c r="X40" s="574" t="s">
        <v>2459</v>
      </c>
      <c r="Y40" s="575" t="s">
        <v>2457</v>
      </c>
      <c r="Z40" s="575" t="s">
        <v>2457</v>
      </c>
      <c r="AA40" s="574" t="s">
        <v>2248</v>
      </c>
      <c r="AB40" s="574" t="s">
        <v>2249</v>
      </c>
      <c r="AC40" s="574" t="s">
        <v>2250</v>
      </c>
      <c r="AD40" s="574" t="s">
        <v>2251</v>
      </c>
      <c r="AE40" s="574" t="s">
        <v>2252</v>
      </c>
      <c r="AF40" s="574" t="s">
        <v>2251</v>
      </c>
      <c r="AG40" s="576">
        <v>2420926.59</v>
      </c>
    </row>
    <row r="41" spans="1:33" hidden="1" x14ac:dyDescent="0.25">
      <c r="A41" s="574" t="s">
        <v>2219</v>
      </c>
      <c r="B41" s="574" t="s">
        <v>2220</v>
      </c>
      <c r="C41" s="574" t="s">
        <v>2221</v>
      </c>
      <c r="D41" s="574" t="s">
        <v>2220</v>
      </c>
      <c r="E41" s="574" t="s">
        <v>2222</v>
      </c>
      <c r="F41" s="574" t="s">
        <v>2223</v>
      </c>
      <c r="G41" s="574" t="s">
        <v>2224</v>
      </c>
      <c r="H41" s="574" t="s">
        <v>2225</v>
      </c>
      <c r="I41" s="574" t="s">
        <v>2226</v>
      </c>
      <c r="J41" s="574" t="s">
        <v>2227</v>
      </c>
      <c r="K41" s="574" t="s">
        <v>2228</v>
      </c>
      <c r="L41" s="574" t="s">
        <v>2229</v>
      </c>
      <c r="M41" s="574" t="s">
        <v>2230</v>
      </c>
      <c r="N41" s="574" t="s">
        <v>2231</v>
      </c>
      <c r="O41" s="574" t="s">
        <v>2232</v>
      </c>
      <c r="P41" s="574" t="s">
        <v>2233</v>
      </c>
      <c r="Q41" s="574" t="s">
        <v>2234</v>
      </c>
      <c r="R41" s="574" t="s">
        <v>2225</v>
      </c>
      <c r="S41" s="574" t="s">
        <v>2235</v>
      </c>
      <c r="T41" s="574" t="s">
        <v>2236</v>
      </c>
      <c r="U41" s="574" t="s">
        <v>2289</v>
      </c>
      <c r="V41" s="574" t="s">
        <v>2238</v>
      </c>
      <c r="W41" s="574" t="s">
        <v>2239</v>
      </c>
      <c r="X41" s="574" t="s">
        <v>2290</v>
      </c>
      <c r="Y41" s="575" t="s">
        <v>2291</v>
      </c>
      <c r="Z41" s="575" t="s">
        <v>2291</v>
      </c>
      <c r="AA41" s="574" t="s">
        <v>2248</v>
      </c>
      <c r="AB41" s="574" t="s">
        <v>2249</v>
      </c>
      <c r="AC41" s="574" t="s">
        <v>2250</v>
      </c>
      <c r="AD41" s="574" t="s">
        <v>2251</v>
      </c>
      <c r="AE41" s="574" t="s">
        <v>2252</v>
      </c>
      <c r="AF41" s="574" t="s">
        <v>2251</v>
      </c>
      <c r="AG41" s="576">
        <v>2431233.3199999998</v>
      </c>
    </row>
    <row r="42" spans="1:33" hidden="1" x14ac:dyDescent="0.25">
      <c r="A42" s="574" t="s">
        <v>2219</v>
      </c>
      <c r="B42" s="574" t="s">
        <v>2220</v>
      </c>
      <c r="C42" s="574" t="s">
        <v>2221</v>
      </c>
      <c r="D42" s="574" t="s">
        <v>2220</v>
      </c>
      <c r="E42" s="574" t="s">
        <v>2222</v>
      </c>
      <c r="F42" s="574" t="s">
        <v>2223</v>
      </c>
      <c r="G42" s="574" t="s">
        <v>2224</v>
      </c>
      <c r="H42" s="574" t="s">
        <v>2225</v>
      </c>
      <c r="I42" s="574" t="s">
        <v>2226</v>
      </c>
      <c r="J42" s="574" t="s">
        <v>2227</v>
      </c>
      <c r="K42" s="574" t="s">
        <v>2228</v>
      </c>
      <c r="L42" s="574" t="s">
        <v>2229</v>
      </c>
      <c r="M42" s="574" t="s">
        <v>2230</v>
      </c>
      <c r="N42" s="574" t="s">
        <v>2231</v>
      </c>
      <c r="O42" s="574" t="s">
        <v>2232</v>
      </c>
      <c r="P42" s="574" t="s">
        <v>2233</v>
      </c>
      <c r="Q42" s="574" t="s">
        <v>2234</v>
      </c>
      <c r="R42" s="574" t="s">
        <v>2225</v>
      </c>
      <c r="S42" s="574" t="s">
        <v>2235</v>
      </c>
      <c r="T42" s="574" t="s">
        <v>2236</v>
      </c>
      <c r="U42" s="574" t="s">
        <v>2277</v>
      </c>
      <c r="V42" s="574" t="s">
        <v>2238</v>
      </c>
      <c r="W42" s="574" t="s">
        <v>2239</v>
      </c>
      <c r="X42" s="574" t="s">
        <v>2278</v>
      </c>
      <c r="Y42" s="575" t="s">
        <v>2276</v>
      </c>
      <c r="Z42" s="575" t="s">
        <v>2276</v>
      </c>
      <c r="AA42" s="574" t="s">
        <v>2248</v>
      </c>
      <c r="AB42" s="574" t="s">
        <v>2249</v>
      </c>
      <c r="AC42" s="574" t="s">
        <v>2250</v>
      </c>
      <c r="AD42" s="574" t="s">
        <v>2251</v>
      </c>
      <c r="AE42" s="574" t="s">
        <v>2252</v>
      </c>
      <c r="AF42" s="574" t="s">
        <v>2251</v>
      </c>
      <c r="AG42" s="576">
        <v>2451566.66</v>
      </c>
    </row>
    <row r="43" spans="1:33" hidden="1" x14ac:dyDescent="0.25">
      <c r="A43" s="574" t="s">
        <v>2219</v>
      </c>
      <c r="B43" s="574" t="s">
        <v>2220</v>
      </c>
      <c r="C43" s="574" t="s">
        <v>2221</v>
      </c>
      <c r="D43" s="574" t="s">
        <v>2220</v>
      </c>
      <c r="E43" s="574" t="s">
        <v>2222</v>
      </c>
      <c r="F43" s="574" t="s">
        <v>2223</v>
      </c>
      <c r="G43" s="574" t="s">
        <v>2224</v>
      </c>
      <c r="H43" s="574" t="s">
        <v>2225</v>
      </c>
      <c r="I43" s="574" t="s">
        <v>2226</v>
      </c>
      <c r="J43" s="574" t="s">
        <v>2227</v>
      </c>
      <c r="K43" s="574" t="s">
        <v>2228</v>
      </c>
      <c r="L43" s="574" t="s">
        <v>2229</v>
      </c>
      <c r="M43" s="574" t="s">
        <v>2230</v>
      </c>
      <c r="N43" s="574" t="s">
        <v>2231</v>
      </c>
      <c r="O43" s="574" t="s">
        <v>2232</v>
      </c>
      <c r="P43" s="574" t="s">
        <v>2233</v>
      </c>
      <c r="Q43" s="574" t="s">
        <v>2234</v>
      </c>
      <c r="R43" s="574" t="s">
        <v>2225</v>
      </c>
      <c r="S43" s="574" t="s">
        <v>2235</v>
      </c>
      <c r="T43" s="574" t="s">
        <v>2236</v>
      </c>
      <c r="U43" s="574" t="s">
        <v>2237</v>
      </c>
      <c r="V43" s="574" t="s">
        <v>2238</v>
      </c>
      <c r="W43" s="574" t="s">
        <v>2239</v>
      </c>
      <c r="X43" s="574" t="s">
        <v>2240</v>
      </c>
      <c r="Y43" s="575" t="s">
        <v>2241</v>
      </c>
      <c r="Z43" s="575" t="s">
        <v>2241</v>
      </c>
      <c r="AA43" s="574" t="s">
        <v>2248</v>
      </c>
      <c r="AB43" s="574" t="s">
        <v>2249</v>
      </c>
      <c r="AC43" s="574" t="s">
        <v>2250</v>
      </c>
      <c r="AD43" s="574" t="s">
        <v>2251</v>
      </c>
      <c r="AE43" s="574" t="s">
        <v>2252</v>
      </c>
      <c r="AF43" s="574" t="s">
        <v>2251</v>
      </c>
      <c r="AG43" s="576">
        <v>2561925.41</v>
      </c>
    </row>
    <row r="44" spans="1:33" hidden="1" x14ac:dyDescent="0.25">
      <c r="A44" s="574" t="s">
        <v>2219</v>
      </c>
      <c r="B44" s="574" t="s">
        <v>2220</v>
      </c>
      <c r="C44" s="574" t="s">
        <v>2221</v>
      </c>
      <c r="D44" s="574" t="s">
        <v>2220</v>
      </c>
      <c r="E44" s="574" t="s">
        <v>2222</v>
      </c>
      <c r="F44" s="574" t="s">
        <v>2223</v>
      </c>
      <c r="G44" s="574" t="s">
        <v>2224</v>
      </c>
      <c r="H44" s="574" t="s">
        <v>2225</v>
      </c>
      <c r="I44" s="574" t="s">
        <v>2226</v>
      </c>
      <c r="J44" s="574" t="s">
        <v>2227</v>
      </c>
      <c r="K44" s="574" t="s">
        <v>2228</v>
      </c>
      <c r="L44" s="574" t="s">
        <v>2229</v>
      </c>
      <c r="M44" s="574" t="s">
        <v>2230</v>
      </c>
      <c r="N44" s="574" t="s">
        <v>2231</v>
      </c>
      <c r="O44" s="574" t="s">
        <v>2232</v>
      </c>
      <c r="P44" s="574" t="s">
        <v>2233</v>
      </c>
      <c r="Q44" s="574" t="s">
        <v>2234</v>
      </c>
      <c r="R44" s="574" t="s">
        <v>2225</v>
      </c>
      <c r="S44" s="574" t="s">
        <v>2235</v>
      </c>
      <c r="T44" s="574" t="s">
        <v>2236</v>
      </c>
      <c r="U44" s="574" t="s">
        <v>2642</v>
      </c>
      <c r="V44" s="574" t="s">
        <v>2238</v>
      </c>
      <c r="W44" s="574" t="s">
        <v>2239</v>
      </c>
      <c r="X44" s="574" t="s">
        <v>2643</v>
      </c>
      <c r="Y44" s="575" t="s">
        <v>2641</v>
      </c>
      <c r="Z44" s="575" t="s">
        <v>2641</v>
      </c>
      <c r="AA44" s="574" t="s">
        <v>2261</v>
      </c>
      <c r="AB44" s="574" t="s">
        <v>2262</v>
      </c>
      <c r="AC44" s="574" t="s">
        <v>2267</v>
      </c>
      <c r="AD44" s="574" t="s">
        <v>97</v>
      </c>
      <c r="AE44" s="574" t="s">
        <v>2268</v>
      </c>
      <c r="AF44" s="574" t="s">
        <v>97</v>
      </c>
      <c r="AG44" s="576">
        <v>600</v>
      </c>
    </row>
    <row r="45" spans="1:33" hidden="1" x14ac:dyDescent="0.25">
      <c r="A45" s="574" t="s">
        <v>2219</v>
      </c>
      <c r="B45" s="574" t="s">
        <v>2220</v>
      </c>
      <c r="C45" s="574" t="s">
        <v>2221</v>
      </c>
      <c r="D45" s="574" t="s">
        <v>2220</v>
      </c>
      <c r="E45" s="574" t="s">
        <v>2222</v>
      </c>
      <c r="F45" s="574" t="s">
        <v>2223</v>
      </c>
      <c r="G45" s="574" t="s">
        <v>2224</v>
      </c>
      <c r="H45" s="574" t="s">
        <v>2225</v>
      </c>
      <c r="I45" s="574" t="s">
        <v>2226</v>
      </c>
      <c r="J45" s="574" t="s">
        <v>2227</v>
      </c>
      <c r="K45" s="574" t="s">
        <v>2228</v>
      </c>
      <c r="L45" s="574" t="s">
        <v>2229</v>
      </c>
      <c r="M45" s="574" t="s">
        <v>2230</v>
      </c>
      <c r="N45" s="574" t="s">
        <v>2231</v>
      </c>
      <c r="O45" s="574" t="s">
        <v>2232</v>
      </c>
      <c r="P45" s="574" t="s">
        <v>2233</v>
      </c>
      <c r="Q45" s="574" t="s">
        <v>2234</v>
      </c>
      <c r="R45" s="574" t="s">
        <v>2225</v>
      </c>
      <c r="S45" s="574" t="s">
        <v>2235</v>
      </c>
      <c r="T45" s="574" t="s">
        <v>2236</v>
      </c>
      <c r="U45" s="574" t="s">
        <v>2492</v>
      </c>
      <c r="V45" s="574" t="s">
        <v>2238</v>
      </c>
      <c r="W45" s="574" t="s">
        <v>2239</v>
      </c>
      <c r="X45" s="574" t="s">
        <v>2493</v>
      </c>
      <c r="Y45" s="575" t="s">
        <v>2491</v>
      </c>
      <c r="Z45" s="575" t="s">
        <v>2491</v>
      </c>
      <c r="AA45" s="574" t="s">
        <v>2261</v>
      </c>
      <c r="AB45" s="574" t="s">
        <v>2262</v>
      </c>
      <c r="AC45" s="574" t="s">
        <v>2267</v>
      </c>
      <c r="AD45" s="574" t="s">
        <v>97</v>
      </c>
      <c r="AE45" s="574" t="s">
        <v>2268</v>
      </c>
      <c r="AF45" s="574" t="s">
        <v>97</v>
      </c>
      <c r="AG45" s="576">
        <v>835.96</v>
      </c>
    </row>
    <row r="46" spans="1:33" hidden="1" x14ac:dyDescent="0.25">
      <c r="A46" s="574" t="s">
        <v>2219</v>
      </c>
      <c r="B46" s="574" t="s">
        <v>2220</v>
      </c>
      <c r="C46" s="574" t="s">
        <v>2221</v>
      </c>
      <c r="D46" s="574" t="s">
        <v>2220</v>
      </c>
      <c r="E46" s="574" t="s">
        <v>2222</v>
      </c>
      <c r="F46" s="574" t="s">
        <v>2223</v>
      </c>
      <c r="G46" s="574" t="s">
        <v>2224</v>
      </c>
      <c r="H46" s="574" t="s">
        <v>2225</v>
      </c>
      <c r="I46" s="574" t="s">
        <v>2226</v>
      </c>
      <c r="J46" s="574" t="s">
        <v>2227</v>
      </c>
      <c r="K46" s="574" t="s">
        <v>2228</v>
      </c>
      <c r="L46" s="574" t="s">
        <v>2229</v>
      </c>
      <c r="M46" s="574" t="s">
        <v>2230</v>
      </c>
      <c r="N46" s="574" t="s">
        <v>2231</v>
      </c>
      <c r="O46" s="574" t="s">
        <v>2232</v>
      </c>
      <c r="P46" s="574" t="s">
        <v>2233</v>
      </c>
      <c r="Q46" s="574" t="s">
        <v>2234</v>
      </c>
      <c r="R46" s="574" t="s">
        <v>2225</v>
      </c>
      <c r="S46" s="574" t="s">
        <v>2235</v>
      </c>
      <c r="T46" s="574" t="s">
        <v>2236</v>
      </c>
      <c r="U46" s="574" t="s">
        <v>2642</v>
      </c>
      <c r="V46" s="574" t="s">
        <v>2238</v>
      </c>
      <c r="W46" s="574" t="s">
        <v>2239</v>
      </c>
      <c r="X46" s="574" t="s">
        <v>2643</v>
      </c>
      <c r="Y46" s="575" t="s">
        <v>2641</v>
      </c>
      <c r="Z46" s="575" t="s">
        <v>2641</v>
      </c>
      <c r="AA46" s="574" t="s">
        <v>2261</v>
      </c>
      <c r="AB46" s="574" t="s">
        <v>2262</v>
      </c>
      <c r="AC46" s="574" t="s">
        <v>2263</v>
      </c>
      <c r="AD46" s="574" t="s">
        <v>95</v>
      </c>
      <c r="AE46" s="574" t="s">
        <v>2264</v>
      </c>
      <c r="AF46" s="574" t="s">
        <v>95</v>
      </c>
      <c r="AG46" s="576">
        <v>3545</v>
      </c>
    </row>
    <row r="47" spans="1:33" hidden="1" x14ac:dyDescent="0.25">
      <c r="A47" s="574" t="s">
        <v>2219</v>
      </c>
      <c r="B47" s="574" t="s">
        <v>2220</v>
      </c>
      <c r="C47" s="574" t="s">
        <v>2221</v>
      </c>
      <c r="D47" s="574" t="s">
        <v>2220</v>
      </c>
      <c r="E47" s="574" t="s">
        <v>2222</v>
      </c>
      <c r="F47" s="574" t="s">
        <v>2223</v>
      </c>
      <c r="G47" s="574" t="s">
        <v>2224</v>
      </c>
      <c r="H47" s="574" t="s">
        <v>2225</v>
      </c>
      <c r="I47" s="574" t="s">
        <v>2226</v>
      </c>
      <c r="J47" s="574" t="s">
        <v>2227</v>
      </c>
      <c r="K47" s="574" t="s">
        <v>2228</v>
      </c>
      <c r="L47" s="574" t="s">
        <v>2229</v>
      </c>
      <c r="M47" s="574" t="s">
        <v>2230</v>
      </c>
      <c r="N47" s="574" t="s">
        <v>2231</v>
      </c>
      <c r="O47" s="574" t="s">
        <v>2232</v>
      </c>
      <c r="P47" s="574" t="s">
        <v>2233</v>
      </c>
      <c r="Q47" s="574" t="s">
        <v>2234</v>
      </c>
      <c r="R47" s="574" t="s">
        <v>2225</v>
      </c>
      <c r="S47" s="574" t="s">
        <v>2235</v>
      </c>
      <c r="T47" s="574" t="s">
        <v>2236</v>
      </c>
      <c r="U47" s="574" t="s">
        <v>2642</v>
      </c>
      <c r="V47" s="574" t="s">
        <v>2238</v>
      </c>
      <c r="W47" s="574" t="s">
        <v>2239</v>
      </c>
      <c r="X47" s="574" t="s">
        <v>2643</v>
      </c>
      <c r="Y47" s="575" t="s">
        <v>2641</v>
      </c>
      <c r="Z47" s="575" t="s">
        <v>2641</v>
      </c>
      <c r="AA47" s="574" t="s">
        <v>2261</v>
      </c>
      <c r="AB47" s="574" t="s">
        <v>2262</v>
      </c>
      <c r="AC47" s="574" t="s">
        <v>2265</v>
      </c>
      <c r="AD47" s="574" t="s">
        <v>96</v>
      </c>
      <c r="AE47" s="574" t="s">
        <v>2266</v>
      </c>
      <c r="AF47" s="574" t="s">
        <v>96</v>
      </c>
      <c r="AG47" s="576">
        <v>3550</v>
      </c>
    </row>
    <row r="48" spans="1:33" hidden="1" x14ac:dyDescent="0.25">
      <c r="A48" s="574" t="s">
        <v>2219</v>
      </c>
      <c r="B48" s="574" t="s">
        <v>2220</v>
      </c>
      <c r="C48" s="574" t="s">
        <v>2221</v>
      </c>
      <c r="D48" s="574" t="s">
        <v>2220</v>
      </c>
      <c r="E48" s="574" t="s">
        <v>2222</v>
      </c>
      <c r="F48" s="574" t="s">
        <v>2223</v>
      </c>
      <c r="G48" s="574" t="s">
        <v>2224</v>
      </c>
      <c r="H48" s="574" t="s">
        <v>2225</v>
      </c>
      <c r="I48" s="574" t="s">
        <v>2226</v>
      </c>
      <c r="J48" s="574" t="s">
        <v>2227</v>
      </c>
      <c r="K48" s="574" t="s">
        <v>2228</v>
      </c>
      <c r="L48" s="574" t="s">
        <v>2229</v>
      </c>
      <c r="M48" s="574" t="s">
        <v>2230</v>
      </c>
      <c r="N48" s="574" t="s">
        <v>2231</v>
      </c>
      <c r="O48" s="574" t="s">
        <v>2232</v>
      </c>
      <c r="P48" s="574" t="s">
        <v>2233</v>
      </c>
      <c r="Q48" s="574" t="s">
        <v>2234</v>
      </c>
      <c r="R48" s="574" t="s">
        <v>2225</v>
      </c>
      <c r="S48" s="574" t="s">
        <v>2235</v>
      </c>
      <c r="T48" s="574" t="s">
        <v>2236</v>
      </c>
      <c r="U48" s="574" t="s">
        <v>2492</v>
      </c>
      <c r="V48" s="574" t="s">
        <v>2238</v>
      </c>
      <c r="W48" s="574" t="s">
        <v>2239</v>
      </c>
      <c r="X48" s="574" t="s">
        <v>2493</v>
      </c>
      <c r="Y48" s="575" t="s">
        <v>2491</v>
      </c>
      <c r="Z48" s="575" t="s">
        <v>2491</v>
      </c>
      <c r="AA48" s="574" t="s">
        <v>2261</v>
      </c>
      <c r="AB48" s="574" t="s">
        <v>2262</v>
      </c>
      <c r="AC48" s="574" t="s">
        <v>2263</v>
      </c>
      <c r="AD48" s="574" t="s">
        <v>95</v>
      </c>
      <c r="AE48" s="574" t="s">
        <v>2264</v>
      </c>
      <c r="AF48" s="574" t="s">
        <v>95</v>
      </c>
      <c r="AG48" s="576">
        <v>4939.1099999999997</v>
      </c>
    </row>
    <row r="49" spans="1:33" hidden="1" x14ac:dyDescent="0.25">
      <c r="A49" s="574" t="s">
        <v>2219</v>
      </c>
      <c r="B49" s="574" t="s">
        <v>2220</v>
      </c>
      <c r="C49" s="574" t="s">
        <v>2221</v>
      </c>
      <c r="D49" s="574" t="s">
        <v>2220</v>
      </c>
      <c r="E49" s="574" t="s">
        <v>2222</v>
      </c>
      <c r="F49" s="574" t="s">
        <v>2223</v>
      </c>
      <c r="G49" s="574" t="s">
        <v>2224</v>
      </c>
      <c r="H49" s="574" t="s">
        <v>2225</v>
      </c>
      <c r="I49" s="574" t="s">
        <v>2226</v>
      </c>
      <c r="J49" s="574" t="s">
        <v>2227</v>
      </c>
      <c r="K49" s="574" t="s">
        <v>2228</v>
      </c>
      <c r="L49" s="574" t="s">
        <v>2229</v>
      </c>
      <c r="M49" s="574" t="s">
        <v>2230</v>
      </c>
      <c r="N49" s="574" t="s">
        <v>2231</v>
      </c>
      <c r="O49" s="574" t="s">
        <v>2232</v>
      </c>
      <c r="P49" s="574" t="s">
        <v>2233</v>
      </c>
      <c r="Q49" s="574" t="s">
        <v>2234</v>
      </c>
      <c r="R49" s="574" t="s">
        <v>2225</v>
      </c>
      <c r="S49" s="574" t="s">
        <v>2235</v>
      </c>
      <c r="T49" s="574" t="s">
        <v>2236</v>
      </c>
      <c r="U49" s="574" t="s">
        <v>2492</v>
      </c>
      <c r="V49" s="574" t="s">
        <v>2238</v>
      </c>
      <c r="W49" s="574" t="s">
        <v>2239</v>
      </c>
      <c r="X49" s="574" t="s">
        <v>2493</v>
      </c>
      <c r="Y49" s="575" t="s">
        <v>2491</v>
      </c>
      <c r="Z49" s="575" t="s">
        <v>2491</v>
      </c>
      <c r="AA49" s="574" t="s">
        <v>2261</v>
      </c>
      <c r="AB49" s="574" t="s">
        <v>2262</v>
      </c>
      <c r="AC49" s="574" t="s">
        <v>2265</v>
      </c>
      <c r="AD49" s="574" t="s">
        <v>96</v>
      </c>
      <c r="AE49" s="574" t="s">
        <v>2266</v>
      </c>
      <c r="AF49" s="574" t="s">
        <v>96</v>
      </c>
      <c r="AG49" s="576">
        <v>4946.08</v>
      </c>
    </row>
    <row r="50" spans="1:33" hidden="1" x14ac:dyDescent="0.25">
      <c r="A50" s="574" t="s">
        <v>2219</v>
      </c>
      <c r="B50" s="574" t="s">
        <v>2220</v>
      </c>
      <c r="C50" s="574" t="s">
        <v>2221</v>
      </c>
      <c r="D50" s="574" t="s">
        <v>2220</v>
      </c>
      <c r="E50" s="574" t="s">
        <v>2222</v>
      </c>
      <c r="F50" s="574" t="s">
        <v>2223</v>
      </c>
      <c r="G50" s="574" t="s">
        <v>2224</v>
      </c>
      <c r="H50" s="574" t="s">
        <v>2225</v>
      </c>
      <c r="I50" s="574" t="s">
        <v>2226</v>
      </c>
      <c r="J50" s="574" t="s">
        <v>2227</v>
      </c>
      <c r="K50" s="574" t="s">
        <v>2228</v>
      </c>
      <c r="L50" s="574" t="s">
        <v>2229</v>
      </c>
      <c r="M50" s="574" t="s">
        <v>2230</v>
      </c>
      <c r="N50" s="574" t="s">
        <v>2231</v>
      </c>
      <c r="O50" s="574" t="s">
        <v>2232</v>
      </c>
      <c r="P50" s="574" t="s">
        <v>2233</v>
      </c>
      <c r="Q50" s="574" t="s">
        <v>2234</v>
      </c>
      <c r="R50" s="574" t="s">
        <v>2225</v>
      </c>
      <c r="S50" s="574" t="s">
        <v>2235</v>
      </c>
      <c r="T50" s="574" t="s">
        <v>2236</v>
      </c>
      <c r="U50" s="574" t="s">
        <v>2269</v>
      </c>
      <c r="V50" s="574" t="s">
        <v>2238</v>
      </c>
      <c r="W50" s="574" t="s">
        <v>2239</v>
      </c>
      <c r="X50" s="574" t="s">
        <v>2270</v>
      </c>
      <c r="Y50" s="575" t="s">
        <v>2241</v>
      </c>
      <c r="Z50" s="575" t="s">
        <v>2241</v>
      </c>
      <c r="AA50" s="574" t="s">
        <v>2261</v>
      </c>
      <c r="AB50" s="574" t="s">
        <v>2262</v>
      </c>
      <c r="AC50" s="574" t="s">
        <v>2267</v>
      </c>
      <c r="AD50" s="574" t="s">
        <v>97</v>
      </c>
      <c r="AE50" s="574" t="s">
        <v>2268</v>
      </c>
      <c r="AF50" s="574" t="s">
        <v>97</v>
      </c>
      <c r="AG50" s="576">
        <v>8109.74</v>
      </c>
    </row>
    <row r="51" spans="1:33" hidden="1" x14ac:dyDescent="0.25">
      <c r="A51" s="574" t="s">
        <v>2219</v>
      </c>
      <c r="B51" s="574" t="s">
        <v>2220</v>
      </c>
      <c r="C51" s="574" t="s">
        <v>2221</v>
      </c>
      <c r="D51" s="574" t="s">
        <v>2220</v>
      </c>
      <c r="E51" s="574" t="s">
        <v>2222</v>
      </c>
      <c r="F51" s="574" t="s">
        <v>2223</v>
      </c>
      <c r="G51" s="574" t="s">
        <v>2224</v>
      </c>
      <c r="H51" s="574" t="s">
        <v>2225</v>
      </c>
      <c r="I51" s="574" t="s">
        <v>2226</v>
      </c>
      <c r="J51" s="574" t="s">
        <v>2227</v>
      </c>
      <c r="K51" s="574" t="s">
        <v>2228</v>
      </c>
      <c r="L51" s="574" t="s">
        <v>2229</v>
      </c>
      <c r="M51" s="574" t="s">
        <v>2230</v>
      </c>
      <c r="N51" s="574" t="s">
        <v>2231</v>
      </c>
      <c r="O51" s="574" t="s">
        <v>2232</v>
      </c>
      <c r="P51" s="574" t="s">
        <v>2233</v>
      </c>
      <c r="Q51" s="574" t="s">
        <v>2234</v>
      </c>
      <c r="R51" s="574" t="s">
        <v>2225</v>
      </c>
      <c r="S51" s="574" t="s">
        <v>2235</v>
      </c>
      <c r="T51" s="574" t="s">
        <v>2236</v>
      </c>
      <c r="U51" s="574" t="s">
        <v>2274</v>
      </c>
      <c r="V51" s="574" t="s">
        <v>2238</v>
      </c>
      <c r="W51" s="574" t="s">
        <v>2239</v>
      </c>
      <c r="X51" s="574" t="s">
        <v>2275</v>
      </c>
      <c r="Y51" s="575" t="s">
        <v>2276</v>
      </c>
      <c r="Z51" s="575" t="s">
        <v>2276</v>
      </c>
      <c r="AA51" s="574" t="s">
        <v>2261</v>
      </c>
      <c r="AB51" s="574" t="s">
        <v>2262</v>
      </c>
      <c r="AC51" s="574" t="s">
        <v>2267</v>
      </c>
      <c r="AD51" s="574" t="s">
        <v>97</v>
      </c>
      <c r="AE51" s="574" t="s">
        <v>2268</v>
      </c>
      <c r="AF51" s="574" t="s">
        <v>97</v>
      </c>
      <c r="AG51" s="576">
        <v>8140.96</v>
      </c>
    </row>
    <row r="52" spans="1:33" hidden="1" x14ac:dyDescent="0.25">
      <c r="A52" s="574" t="s">
        <v>2219</v>
      </c>
      <c r="B52" s="574" t="s">
        <v>2220</v>
      </c>
      <c r="C52" s="574" t="s">
        <v>2221</v>
      </c>
      <c r="D52" s="574" t="s">
        <v>2220</v>
      </c>
      <c r="E52" s="574" t="s">
        <v>2222</v>
      </c>
      <c r="F52" s="574" t="s">
        <v>2223</v>
      </c>
      <c r="G52" s="574" t="s">
        <v>2224</v>
      </c>
      <c r="H52" s="574" t="s">
        <v>2225</v>
      </c>
      <c r="I52" s="574" t="s">
        <v>2226</v>
      </c>
      <c r="J52" s="574" t="s">
        <v>2227</v>
      </c>
      <c r="K52" s="574" t="s">
        <v>2228</v>
      </c>
      <c r="L52" s="574" t="s">
        <v>2229</v>
      </c>
      <c r="M52" s="574" t="s">
        <v>2230</v>
      </c>
      <c r="N52" s="574" t="s">
        <v>2231</v>
      </c>
      <c r="O52" s="574" t="s">
        <v>2232</v>
      </c>
      <c r="P52" s="574" t="s">
        <v>2233</v>
      </c>
      <c r="Q52" s="574" t="s">
        <v>2234</v>
      </c>
      <c r="R52" s="574" t="s">
        <v>2225</v>
      </c>
      <c r="S52" s="574" t="s">
        <v>2235</v>
      </c>
      <c r="T52" s="574" t="s">
        <v>2236</v>
      </c>
      <c r="U52" s="574" t="s">
        <v>2292</v>
      </c>
      <c r="V52" s="574" t="s">
        <v>2238</v>
      </c>
      <c r="W52" s="574" t="s">
        <v>2239</v>
      </c>
      <c r="X52" s="574" t="s">
        <v>2293</v>
      </c>
      <c r="Y52" s="575" t="s">
        <v>2291</v>
      </c>
      <c r="Z52" s="575" t="s">
        <v>2291</v>
      </c>
      <c r="AA52" s="574" t="s">
        <v>2261</v>
      </c>
      <c r="AB52" s="574" t="s">
        <v>2262</v>
      </c>
      <c r="AC52" s="574" t="s">
        <v>2267</v>
      </c>
      <c r="AD52" s="574" t="s">
        <v>97</v>
      </c>
      <c r="AE52" s="574" t="s">
        <v>2268</v>
      </c>
      <c r="AF52" s="574" t="s">
        <v>97</v>
      </c>
      <c r="AG52" s="576">
        <v>8693.81</v>
      </c>
    </row>
    <row r="53" spans="1:33" hidden="1" x14ac:dyDescent="0.25">
      <c r="A53" s="574" t="s">
        <v>2219</v>
      </c>
      <c r="B53" s="574" t="s">
        <v>2220</v>
      </c>
      <c r="C53" s="574" t="s">
        <v>2221</v>
      </c>
      <c r="D53" s="574" t="s">
        <v>2220</v>
      </c>
      <c r="E53" s="574" t="s">
        <v>2222</v>
      </c>
      <c r="F53" s="574" t="s">
        <v>2223</v>
      </c>
      <c r="G53" s="574" t="s">
        <v>2224</v>
      </c>
      <c r="H53" s="574" t="s">
        <v>2225</v>
      </c>
      <c r="I53" s="574" t="s">
        <v>2226</v>
      </c>
      <c r="J53" s="574" t="s">
        <v>2227</v>
      </c>
      <c r="K53" s="574" t="s">
        <v>2228</v>
      </c>
      <c r="L53" s="574" t="s">
        <v>2229</v>
      </c>
      <c r="M53" s="574" t="s">
        <v>2230</v>
      </c>
      <c r="N53" s="574" t="s">
        <v>2231</v>
      </c>
      <c r="O53" s="574" t="s">
        <v>2232</v>
      </c>
      <c r="P53" s="574" t="s">
        <v>2233</v>
      </c>
      <c r="Q53" s="574" t="s">
        <v>2234</v>
      </c>
      <c r="R53" s="574" t="s">
        <v>2225</v>
      </c>
      <c r="S53" s="574" t="s">
        <v>2235</v>
      </c>
      <c r="T53" s="574" t="s">
        <v>2236</v>
      </c>
      <c r="U53" s="574" t="s">
        <v>2460</v>
      </c>
      <c r="V53" s="574" t="s">
        <v>2238</v>
      </c>
      <c r="W53" s="574" t="s">
        <v>2239</v>
      </c>
      <c r="X53" s="574" t="s">
        <v>2461</v>
      </c>
      <c r="Y53" s="575" t="s">
        <v>2457</v>
      </c>
      <c r="Z53" s="575" t="s">
        <v>2457</v>
      </c>
      <c r="AA53" s="574" t="s">
        <v>2261</v>
      </c>
      <c r="AB53" s="574" t="s">
        <v>2262</v>
      </c>
      <c r="AC53" s="574" t="s">
        <v>2267</v>
      </c>
      <c r="AD53" s="574" t="s">
        <v>97</v>
      </c>
      <c r="AE53" s="574" t="s">
        <v>2268</v>
      </c>
      <c r="AF53" s="574" t="s">
        <v>97</v>
      </c>
      <c r="AG53" s="576">
        <v>8693.81</v>
      </c>
    </row>
    <row r="54" spans="1:33" hidden="1" x14ac:dyDescent="0.25">
      <c r="A54" s="574" t="s">
        <v>2219</v>
      </c>
      <c r="B54" s="574" t="s">
        <v>2220</v>
      </c>
      <c r="C54" s="574" t="s">
        <v>2221</v>
      </c>
      <c r="D54" s="574" t="s">
        <v>2220</v>
      </c>
      <c r="E54" s="574" t="s">
        <v>2222</v>
      </c>
      <c r="F54" s="574" t="s">
        <v>2223</v>
      </c>
      <c r="G54" s="574" t="s">
        <v>2224</v>
      </c>
      <c r="H54" s="574" t="s">
        <v>2225</v>
      </c>
      <c r="I54" s="574" t="s">
        <v>2226</v>
      </c>
      <c r="J54" s="574" t="s">
        <v>2227</v>
      </c>
      <c r="K54" s="574" t="s">
        <v>2228</v>
      </c>
      <c r="L54" s="574" t="s">
        <v>2229</v>
      </c>
      <c r="M54" s="574" t="s">
        <v>2230</v>
      </c>
      <c r="N54" s="574" t="s">
        <v>2231</v>
      </c>
      <c r="O54" s="574" t="s">
        <v>2232</v>
      </c>
      <c r="P54" s="574" t="s">
        <v>2233</v>
      </c>
      <c r="Q54" s="574" t="s">
        <v>2234</v>
      </c>
      <c r="R54" s="574" t="s">
        <v>2225</v>
      </c>
      <c r="S54" s="574" t="s">
        <v>2235</v>
      </c>
      <c r="T54" s="574" t="s">
        <v>2236</v>
      </c>
      <c r="U54" s="574" t="s">
        <v>2510</v>
      </c>
      <c r="V54" s="574" t="s">
        <v>2238</v>
      </c>
      <c r="W54" s="574" t="s">
        <v>2239</v>
      </c>
      <c r="X54" s="574" t="s">
        <v>2511</v>
      </c>
      <c r="Y54" s="575" t="s">
        <v>2512</v>
      </c>
      <c r="Z54" s="575" t="s">
        <v>2512</v>
      </c>
      <c r="AA54" s="574" t="s">
        <v>2261</v>
      </c>
      <c r="AB54" s="574" t="s">
        <v>2262</v>
      </c>
      <c r="AC54" s="574" t="s">
        <v>2267</v>
      </c>
      <c r="AD54" s="574" t="s">
        <v>97</v>
      </c>
      <c r="AE54" s="574" t="s">
        <v>2268</v>
      </c>
      <c r="AF54" s="574" t="s">
        <v>97</v>
      </c>
      <c r="AG54" s="576">
        <v>8693.81</v>
      </c>
    </row>
    <row r="55" spans="1:33" hidden="1" x14ac:dyDescent="0.25">
      <c r="A55" s="574" t="s">
        <v>2219</v>
      </c>
      <c r="B55" s="574" t="s">
        <v>2220</v>
      </c>
      <c r="C55" s="574" t="s">
        <v>2221</v>
      </c>
      <c r="D55" s="574" t="s">
        <v>2220</v>
      </c>
      <c r="E55" s="574" t="s">
        <v>2222</v>
      </c>
      <c r="F55" s="574" t="s">
        <v>2223</v>
      </c>
      <c r="G55" s="574" t="s">
        <v>2224</v>
      </c>
      <c r="H55" s="574" t="s">
        <v>2225</v>
      </c>
      <c r="I55" s="574" t="s">
        <v>2226</v>
      </c>
      <c r="J55" s="574" t="s">
        <v>2227</v>
      </c>
      <c r="K55" s="574" t="s">
        <v>2228</v>
      </c>
      <c r="L55" s="574" t="s">
        <v>2229</v>
      </c>
      <c r="M55" s="574" t="s">
        <v>2230</v>
      </c>
      <c r="N55" s="574" t="s">
        <v>2231</v>
      </c>
      <c r="O55" s="574" t="s">
        <v>2232</v>
      </c>
      <c r="P55" s="574" t="s">
        <v>2233</v>
      </c>
      <c r="Q55" s="574" t="s">
        <v>2234</v>
      </c>
      <c r="R55" s="574" t="s">
        <v>2225</v>
      </c>
      <c r="S55" s="574" t="s">
        <v>2235</v>
      </c>
      <c r="T55" s="574" t="s">
        <v>2236</v>
      </c>
      <c r="U55" s="574" t="s">
        <v>2628</v>
      </c>
      <c r="V55" s="574" t="s">
        <v>2238</v>
      </c>
      <c r="W55" s="574" t="s">
        <v>2239</v>
      </c>
      <c r="X55" s="574" t="s">
        <v>2629</v>
      </c>
      <c r="Y55" s="575" t="s">
        <v>2599</v>
      </c>
      <c r="Z55" s="575" t="s">
        <v>2599</v>
      </c>
      <c r="AA55" s="574" t="s">
        <v>2261</v>
      </c>
      <c r="AB55" s="574" t="s">
        <v>2262</v>
      </c>
      <c r="AC55" s="574" t="s">
        <v>2267</v>
      </c>
      <c r="AD55" s="574" t="s">
        <v>97</v>
      </c>
      <c r="AE55" s="574" t="s">
        <v>2268</v>
      </c>
      <c r="AF55" s="574" t="s">
        <v>97</v>
      </c>
      <c r="AG55" s="576">
        <v>8993.81</v>
      </c>
    </row>
    <row r="56" spans="1:33" hidden="1" x14ac:dyDescent="0.25">
      <c r="A56" s="574" t="s">
        <v>2219</v>
      </c>
      <c r="B56" s="574" t="s">
        <v>2220</v>
      </c>
      <c r="C56" s="574" t="s">
        <v>2221</v>
      </c>
      <c r="D56" s="574" t="s">
        <v>2220</v>
      </c>
      <c r="E56" s="574" t="s">
        <v>2222</v>
      </c>
      <c r="F56" s="574" t="s">
        <v>2223</v>
      </c>
      <c r="G56" s="574" t="s">
        <v>2224</v>
      </c>
      <c r="H56" s="574" t="s">
        <v>2225</v>
      </c>
      <c r="I56" s="574" t="s">
        <v>2226</v>
      </c>
      <c r="J56" s="574" t="s">
        <v>2227</v>
      </c>
      <c r="K56" s="574" t="s">
        <v>2228</v>
      </c>
      <c r="L56" s="574" t="s">
        <v>2229</v>
      </c>
      <c r="M56" s="574" t="s">
        <v>2230</v>
      </c>
      <c r="N56" s="574" t="s">
        <v>2231</v>
      </c>
      <c r="O56" s="574" t="s">
        <v>2232</v>
      </c>
      <c r="P56" s="574" t="s">
        <v>2233</v>
      </c>
      <c r="Q56" s="574" t="s">
        <v>2234</v>
      </c>
      <c r="R56" s="574" t="s">
        <v>2225</v>
      </c>
      <c r="S56" s="574" t="s">
        <v>2235</v>
      </c>
      <c r="T56" s="574" t="s">
        <v>2236</v>
      </c>
      <c r="U56" s="574" t="s">
        <v>2269</v>
      </c>
      <c r="V56" s="574" t="s">
        <v>2238</v>
      </c>
      <c r="W56" s="574" t="s">
        <v>2239</v>
      </c>
      <c r="X56" s="574" t="s">
        <v>2270</v>
      </c>
      <c r="Y56" s="575" t="s">
        <v>2241</v>
      </c>
      <c r="Z56" s="575" t="s">
        <v>2241</v>
      </c>
      <c r="AA56" s="574" t="s">
        <v>2261</v>
      </c>
      <c r="AB56" s="574" t="s">
        <v>2262</v>
      </c>
      <c r="AC56" s="574" t="s">
        <v>2263</v>
      </c>
      <c r="AD56" s="574" t="s">
        <v>95</v>
      </c>
      <c r="AE56" s="574" t="s">
        <v>2264</v>
      </c>
      <c r="AF56" s="574" t="s">
        <v>95</v>
      </c>
      <c r="AG56" s="576">
        <v>48637.63</v>
      </c>
    </row>
    <row r="57" spans="1:33" hidden="1" x14ac:dyDescent="0.25">
      <c r="A57" s="574" t="s">
        <v>2219</v>
      </c>
      <c r="B57" s="574" t="s">
        <v>2220</v>
      </c>
      <c r="C57" s="574" t="s">
        <v>2221</v>
      </c>
      <c r="D57" s="574" t="s">
        <v>2220</v>
      </c>
      <c r="E57" s="574" t="s">
        <v>2222</v>
      </c>
      <c r="F57" s="574" t="s">
        <v>2223</v>
      </c>
      <c r="G57" s="574" t="s">
        <v>2224</v>
      </c>
      <c r="H57" s="574" t="s">
        <v>2225</v>
      </c>
      <c r="I57" s="574" t="s">
        <v>2226</v>
      </c>
      <c r="J57" s="574" t="s">
        <v>2227</v>
      </c>
      <c r="K57" s="574" t="s">
        <v>2228</v>
      </c>
      <c r="L57" s="574" t="s">
        <v>2229</v>
      </c>
      <c r="M57" s="574" t="s">
        <v>2230</v>
      </c>
      <c r="N57" s="574" t="s">
        <v>2231</v>
      </c>
      <c r="O57" s="574" t="s">
        <v>2232</v>
      </c>
      <c r="P57" s="574" t="s">
        <v>2233</v>
      </c>
      <c r="Q57" s="574" t="s">
        <v>2234</v>
      </c>
      <c r="R57" s="574" t="s">
        <v>2225</v>
      </c>
      <c r="S57" s="574" t="s">
        <v>2235</v>
      </c>
      <c r="T57" s="574" t="s">
        <v>2236</v>
      </c>
      <c r="U57" s="574" t="s">
        <v>2274</v>
      </c>
      <c r="V57" s="574" t="s">
        <v>2238</v>
      </c>
      <c r="W57" s="574" t="s">
        <v>2239</v>
      </c>
      <c r="X57" s="574" t="s">
        <v>2275</v>
      </c>
      <c r="Y57" s="575" t="s">
        <v>2276</v>
      </c>
      <c r="Z57" s="575" t="s">
        <v>2276</v>
      </c>
      <c r="AA57" s="574" t="s">
        <v>2261</v>
      </c>
      <c r="AB57" s="574" t="s">
        <v>2262</v>
      </c>
      <c r="AC57" s="574" t="s">
        <v>2263</v>
      </c>
      <c r="AD57" s="574" t="s">
        <v>95</v>
      </c>
      <c r="AE57" s="574" t="s">
        <v>2264</v>
      </c>
      <c r="AF57" s="574" t="s">
        <v>95</v>
      </c>
      <c r="AG57" s="576">
        <v>48637.63</v>
      </c>
    </row>
    <row r="58" spans="1:33" hidden="1" x14ac:dyDescent="0.25">
      <c r="A58" s="574" t="s">
        <v>2219</v>
      </c>
      <c r="B58" s="574" t="s">
        <v>2220</v>
      </c>
      <c r="C58" s="574" t="s">
        <v>2221</v>
      </c>
      <c r="D58" s="574" t="s">
        <v>2220</v>
      </c>
      <c r="E58" s="574" t="s">
        <v>2222</v>
      </c>
      <c r="F58" s="574" t="s">
        <v>2223</v>
      </c>
      <c r="G58" s="574" t="s">
        <v>2224</v>
      </c>
      <c r="H58" s="574" t="s">
        <v>2225</v>
      </c>
      <c r="I58" s="574" t="s">
        <v>2226</v>
      </c>
      <c r="J58" s="574" t="s">
        <v>2227</v>
      </c>
      <c r="K58" s="574" t="s">
        <v>2228</v>
      </c>
      <c r="L58" s="574" t="s">
        <v>2229</v>
      </c>
      <c r="M58" s="574" t="s">
        <v>2230</v>
      </c>
      <c r="N58" s="574" t="s">
        <v>2231</v>
      </c>
      <c r="O58" s="574" t="s">
        <v>2232</v>
      </c>
      <c r="P58" s="574" t="s">
        <v>2233</v>
      </c>
      <c r="Q58" s="574" t="s">
        <v>2234</v>
      </c>
      <c r="R58" s="574" t="s">
        <v>2225</v>
      </c>
      <c r="S58" s="574" t="s">
        <v>2235</v>
      </c>
      <c r="T58" s="574" t="s">
        <v>2236</v>
      </c>
      <c r="U58" s="574" t="s">
        <v>2269</v>
      </c>
      <c r="V58" s="574" t="s">
        <v>2238</v>
      </c>
      <c r="W58" s="574" t="s">
        <v>2239</v>
      </c>
      <c r="X58" s="574" t="s">
        <v>2270</v>
      </c>
      <c r="Y58" s="575" t="s">
        <v>2241</v>
      </c>
      <c r="Z58" s="575" t="s">
        <v>2241</v>
      </c>
      <c r="AA58" s="574" t="s">
        <v>2261</v>
      </c>
      <c r="AB58" s="574" t="s">
        <v>2262</v>
      </c>
      <c r="AC58" s="574" t="s">
        <v>2265</v>
      </c>
      <c r="AD58" s="574" t="s">
        <v>96</v>
      </c>
      <c r="AE58" s="574" t="s">
        <v>2266</v>
      </c>
      <c r="AF58" s="574" t="s">
        <v>96</v>
      </c>
      <c r="AG58" s="576">
        <v>48706.23</v>
      </c>
    </row>
    <row r="59" spans="1:33" hidden="1" x14ac:dyDescent="0.25">
      <c r="A59" s="574" t="s">
        <v>2219</v>
      </c>
      <c r="B59" s="574" t="s">
        <v>2220</v>
      </c>
      <c r="C59" s="574" t="s">
        <v>2221</v>
      </c>
      <c r="D59" s="574" t="s">
        <v>2220</v>
      </c>
      <c r="E59" s="574" t="s">
        <v>2222</v>
      </c>
      <c r="F59" s="574" t="s">
        <v>2223</v>
      </c>
      <c r="G59" s="574" t="s">
        <v>2224</v>
      </c>
      <c r="H59" s="574" t="s">
        <v>2225</v>
      </c>
      <c r="I59" s="574" t="s">
        <v>2226</v>
      </c>
      <c r="J59" s="574" t="s">
        <v>2227</v>
      </c>
      <c r="K59" s="574" t="s">
        <v>2228</v>
      </c>
      <c r="L59" s="574" t="s">
        <v>2229</v>
      </c>
      <c r="M59" s="574" t="s">
        <v>2230</v>
      </c>
      <c r="N59" s="574" t="s">
        <v>2231</v>
      </c>
      <c r="O59" s="574" t="s">
        <v>2232</v>
      </c>
      <c r="P59" s="574" t="s">
        <v>2233</v>
      </c>
      <c r="Q59" s="574" t="s">
        <v>2234</v>
      </c>
      <c r="R59" s="574" t="s">
        <v>2225</v>
      </c>
      <c r="S59" s="574" t="s">
        <v>2235</v>
      </c>
      <c r="T59" s="574" t="s">
        <v>2236</v>
      </c>
      <c r="U59" s="574" t="s">
        <v>2274</v>
      </c>
      <c r="V59" s="574" t="s">
        <v>2238</v>
      </c>
      <c r="W59" s="574" t="s">
        <v>2239</v>
      </c>
      <c r="X59" s="574" t="s">
        <v>2275</v>
      </c>
      <c r="Y59" s="575" t="s">
        <v>2276</v>
      </c>
      <c r="Z59" s="575" t="s">
        <v>2276</v>
      </c>
      <c r="AA59" s="574" t="s">
        <v>2261</v>
      </c>
      <c r="AB59" s="574" t="s">
        <v>2262</v>
      </c>
      <c r="AC59" s="574" t="s">
        <v>2265</v>
      </c>
      <c r="AD59" s="574" t="s">
        <v>96</v>
      </c>
      <c r="AE59" s="574" t="s">
        <v>2266</v>
      </c>
      <c r="AF59" s="574" t="s">
        <v>96</v>
      </c>
      <c r="AG59" s="576">
        <v>48706.23</v>
      </c>
    </row>
    <row r="60" spans="1:33" hidden="1" x14ac:dyDescent="0.25">
      <c r="A60" s="574" t="s">
        <v>2219</v>
      </c>
      <c r="B60" s="574" t="s">
        <v>2220</v>
      </c>
      <c r="C60" s="574" t="s">
        <v>2221</v>
      </c>
      <c r="D60" s="574" t="s">
        <v>2220</v>
      </c>
      <c r="E60" s="574" t="s">
        <v>2222</v>
      </c>
      <c r="F60" s="574" t="s">
        <v>2223</v>
      </c>
      <c r="G60" s="574" t="s">
        <v>2224</v>
      </c>
      <c r="H60" s="574" t="s">
        <v>2225</v>
      </c>
      <c r="I60" s="574" t="s">
        <v>2226</v>
      </c>
      <c r="J60" s="574" t="s">
        <v>2227</v>
      </c>
      <c r="K60" s="574" t="s">
        <v>2228</v>
      </c>
      <c r="L60" s="574" t="s">
        <v>2229</v>
      </c>
      <c r="M60" s="574" t="s">
        <v>2230</v>
      </c>
      <c r="N60" s="574" t="s">
        <v>2231</v>
      </c>
      <c r="O60" s="574" t="s">
        <v>2232</v>
      </c>
      <c r="P60" s="574" t="s">
        <v>2233</v>
      </c>
      <c r="Q60" s="574" t="s">
        <v>2234</v>
      </c>
      <c r="R60" s="574" t="s">
        <v>2225</v>
      </c>
      <c r="S60" s="574" t="s">
        <v>2235</v>
      </c>
      <c r="T60" s="574" t="s">
        <v>2236</v>
      </c>
      <c r="U60" s="574" t="s">
        <v>2292</v>
      </c>
      <c r="V60" s="574" t="s">
        <v>2238</v>
      </c>
      <c r="W60" s="574" t="s">
        <v>2239</v>
      </c>
      <c r="X60" s="574" t="s">
        <v>2293</v>
      </c>
      <c r="Y60" s="575" t="s">
        <v>2291</v>
      </c>
      <c r="Z60" s="575" t="s">
        <v>2291</v>
      </c>
      <c r="AA60" s="574" t="s">
        <v>2261</v>
      </c>
      <c r="AB60" s="574" t="s">
        <v>2262</v>
      </c>
      <c r="AC60" s="574" t="s">
        <v>2263</v>
      </c>
      <c r="AD60" s="574" t="s">
        <v>95</v>
      </c>
      <c r="AE60" s="574" t="s">
        <v>2264</v>
      </c>
      <c r="AF60" s="574" t="s">
        <v>95</v>
      </c>
      <c r="AG60" s="576">
        <v>51904.07</v>
      </c>
    </row>
    <row r="61" spans="1:33" hidden="1" x14ac:dyDescent="0.25">
      <c r="A61" s="574" t="s">
        <v>2219</v>
      </c>
      <c r="B61" s="574" t="s">
        <v>2220</v>
      </c>
      <c r="C61" s="574" t="s">
        <v>2221</v>
      </c>
      <c r="D61" s="574" t="s">
        <v>2220</v>
      </c>
      <c r="E61" s="574" t="s">
        <v>2222</v>
      </c>
      <c r="F61" s="574" t="s">
        <v>2223</v>
      </c>
      <c r="G61" s="574" t="s">
        <v>2224</v>
      </c>
      <c r="H61" s="574" t="s">
        <v>2225</v>
      </c>
      <c r="I61" s="574" t="s">
        <v>2226</v>
      </c>
      <c r="J61" s="574" t="s">
        <v>2227</v>
      </c>
      <c r="K61" s="574" t="s">
        <v>2228</v>
      </c>
      <c r="L61" s="574" t="s">
        <v>2229</v>
      </c>
      <c r="M61" s="574" t="s">
        <v>2230</v>
      </c>
      <c r="N61" s="574" t="s">
        <v>2231</v>
      </c>
      <c r="O61" s="574" t="s">
        <v>2232</v>
      </c>
      <c r="P61" s="574" t="s">
        <v>2233</v>
      </c>
      <c r="Q61" s="574" t="s">
        <v>2234</v>
      </c>
      <c r="R61" s="574" t="s">
        <v>2225</v>
      </c>
      <c r="S61" s="574" t="s">
        <v>2235</v>
      </c>
      <c r="T61" s="574" t="s">
        <v>2236</v>
      </c>
      <c r="U61" s="574" t="s">
        <v>2460</v>
      </c>
      <c r="V61" s="574" t="s">
        <v>2238</v>
      </c>
      <c r="W61" s="574" t="s">
        <v>2239</v>
      </c>
      <c r="X61" s="574" t="s">
        <v>2461</v>
      </c>
      <c r="Y61" s="575" t="s">
        <v>2457</v>
      </c>
      <c r="Z61" s="575" t="s">
        <v>2457</v>
      </c>
      <c r="AA61" s="574" t="s">
        <v>2261</v>
      </c>
      <c r="AB61" s="574" t="s">
        <v>2262</v>
      </c>
      <c r="AC61" s="574" t="s">
        <v>2263</v>
      </c>
      <c r="AD61" s="574" t="s">
        <v>95</v>
      </c>
      <c r="AE61" s="574" t="s">
        <v>2264</v>
      </c>
      <c r="AF61" s="574" t="s">
        <v>95</v>
      </c>
      <c r="AG61" s="576">
        <v>51904.07</v>
      </c>
    </row>
    <row r="62" spans="1:33" hidden="1" x14ac:dyDescent="0.25">
      <c r="A62" s="574" t="s">
        <v>2219</v>
      </c>
      <c r="B62" s="574" t="s">
        <v>2220</v>
      </c>
      <c r="C62" s="574" t="s">
        <v>2221</v>
      </c>
      <c r="D62" s="574" t="s">
        <v>2220</v>
      </c>
      <c r="E62" s="574" t="s">
        <v>2222</v>
      </c>
      <c r="F62" s="574" t="s">
        <v>2223</v>
      </c>
      <c r="G62" s="574" t="s">
        <v>2224</v>
      </c>
      <c r="H62" s="574" t="s">
        <v>2225</v>
      </c>
      <c r="I62" s="574" t="s">
        <v>2226</v>
      </c>
      <c r="J62" s="574" t="s">
        <v>2227</v>
      </c>
      <c r="K62" s="574" t="s">
        <v>2228</v>
      </c>
      <c r="L62" s="574" t="s">
        <v>2229</v>
      </c>
      <c r="M62" s="574" t="s">
        <v>2230</v>
      </c>
      <c r="N62" s="574" t="s">
        <v>2231</v>
      </c>
      <c r="O62" s="574" t="s">
        <v>2232</v>
      </c>
      <c r="P62" s="574" t="s">
        <v>2233</v>
      </c>
      <c r="Q62" s="574" t="s">
        <v>2234</v>
      </c>
      <c r="R62" s="574" t="s">
        <v>2225</v>
      </c>
      <c r="S62" s="574" t="s">
        <v>2235</v>
      </c>
      <c r="T62" s="574" t="s">
        <v>2236</v>
      </c>
      <c r="U62" s="574" t="s">
        <v>2510</v>
      </c>
      <c r="V62" s="574" t="s">
        <v>2238</v>
      </c>
      <c r="W62" s="574" t="s">
        <v>2239</v>
      </c>
      <c r="X62" s="574" t="s">
        <v>2511</v>
      </c>
      <c r="Y62" s="575" t="s">
        <v>2512</v>
      </c>
      <c r="Z62" s="575" t="s">
        <v>2512</v>
      </c>
      <c r="AA62" s="574" t="s">
        <v>2261</v>
      </c>
      <c r="AB62" s="574" t="s">
        <v>2262</v>
      </c>
      <c r="AC62" s="574" t="s">
        <v>2263</v>
      </c>
      <c r="AD62" s="574" t="s">
        <v>95</v>
      </c>
      <c r="AE62" s="574" t="s">
        <v>2264</v>
      </c>
      <c r="AF62" s="574" t="s">
        <v>95</v>
      </c>
      <c r="AG62" s="576">
        <v>51904.07</v>
      </c>
    </row>
    <row r="63" spans="1:33" hidden="1" x14ac:dyDescent="0.25">
      <c r="A63" s="574" t="s">
        <v>2219</v>
      </c>
      <c r="B63" s="574" t="s">
        <v>2220</v>
      </c>
      <c r="C63" s="574" t="s">
        <v>2221</v>
      </c>
      <c r="D63" s="574" t="s">
        <v>2220</v>
      </c>
      <c r="E63" s="574" t="s">
        <v>2222</v>
      </c>
      <c r="F63" s="574" t="s">
        <v>2223</v>
      </c>
      <c r="G63" s="574" t="s">
        <v>2224</v>
      </c>
      <c r="H63" s="574" t="s">
        <v>2225</v>
      </c>
      <c r="I63" s="574" t="s">
        <v>2226</v>
      </c>
      <c r="J63" s="574" t="s">
        <v>2227</v>
      </c>
      <c r="K63" s="574" t="s">
        <v>2228</v>
      </c>
      <c r="L63" s="574" t="s">
        <v>2229</v>
      </c>
      <c r="M63" s="574" t="s">
        <v>2230</v>
      </c>
      <c r="N63" s="574" t="s">
        <v>2231</v>
      </c>
      <c r="O63" s="574" t="s">
        <v>2232</v>
      </c>
      <c r="P63" s="574" t="s">
        <v>2233</v>
      </c>
      <c r="Q63" s="574" t="s">
        <v>2234</v>
      </c>
      <c r="R63" s="574" t="s">
        <v>2225</v>
      </c>
      <c r="S63" s="574" t="s">
        <v>2235</v>
      </c>
      <c r="T63" s="574" t="s">
        <v>2236</v>
      </c>
      <c r="U63" s="574" t="s">
        <v>2292</v>
      </c>
      <c r="V63" s="574" t="s">
        <v>2238</v>
      </c>
      <c r="W63" s="574" t="s">
        <v>2239</v>
      </c>
      <c r="X63" s="574" t="s">
        <v>2293</v>
      </c>
      <c r="Y63" s="575" t="s">
        <v>2291</v>
      </c>
      <c r="Z63" s="575" t="s">
        <v>2291</v>
      </c>
      <c r="AA63" s="574" t="s">
        <v>2261</v>
      </c>
      <c r="AB63" s="574" t="s">
        <v>2262</v>
      </c>
      <c r="AC63" s="574" t="s">
        <v>2265</v>
      </c>
      <c r="AD63" s="574" t="s">
        <v>96</v>
      </c>
      <c r="AE63" s="574" t="s">
        <v>2266</v>
      </c>
      <c r="AF63" s="574" t="s">
        <v>96</v>
      </c>
      <c r="AG63" s="576">
        <v>51977.27</v>
      </c>
    </row>
    <row r="64" spans="1:33" hidden="1" x14ac:dyDescent="0.25">
      <c r="A64" s="574" t="s">
        <v>2219</v>
      </c>
      <c r="B64" s="574" t="s">
        <v>2220</v>
      </c>
      <c r="C64" s="574" t="s">
        <v>2221</v>
      </c>
      <c r="D64" s="574" t="s">
        <v>2220</v>
      </c>
      <c r="E64" s="574" t="s">
        <v>2222</v>
      </c>
      <c r="F64" s="574" t="s">
        <v>2223</v>
      </c>
      <c r="G64" s="574" t="s">
        <v>2224</v>
      </c>
      <c r="H64" s="574" t="s">
        <v>2225</v>
      </c>
      <c r="I64" s="574" t="s">
        <v>2226</v>
      </c>
      <c r="J64" s="574" t="s">
        <v>2227</v>
      </c>
      <c r="K64" s="574" t="s">
        <v>2228</v>
      </c>
      <c r="L64" s="574" t="s">
        <v>2229</v>
      </c>
      <c r="M64" s="574" t="s">
        <v>2230</v>
      </c>
      <c r="N64" s="574" t="s">
        <v>2231</v>
      </c>
      <c r="O64" s="574" t="s">
        <v>2232</v>
      </c>
      <c r="P64" s="574" t="s">
        <v>2233</v>
      </c>
      <c r="Q64" s="574" t="s">
        <v>2234</v>
      </c>
      <c r="R64" s="574" t="s">
        <v>2225</v>
      </c>
      <c r="S64" s="574" t="s">
        <v>2235</v>
      </c>
      <c r="T64" s="574" t="s">
        <v>2236</v>
      </c>
      <c r="U64" s="574" t="s">
        <v>2460</v>
      </c>
      <c r="V64" s="574" t="s">
        <v>2238</v>
      </c>
      <c r="W64" s="574" t="s">
        <v>2239</v>
      </c>
      <c r="X64" s="574" t="s">
        <v>2461</v>
      </c>
      <c r="Y64" s="575" t="s">
        <v>2457</v>
      </c>
      <c r="Z64" s="575" t="s">
        <v>2457</v>
      </c>
      <c r="AA64" s="574" t="s">
        <v>2261</v>
      </c>
      <c r="AB64" s="574" t="s">
        <v>2262</v>
      </c>
      <c r="AC64" s="574" t="s">
        <v>2265</v>
      </c>
      <c r="AD64" s="574" t="s">
        <v>96</v>
      </c>
      <c r="AE64" s="574" t="s">
        <v>2266</v>
      </c>
      <c r="AF64" s="574" t="s">
        <v>96</v>
      </c>
      <c r="AG64" s="576">
        <v>51977.27</v>
      </c>
    </row>
    <row r="65" spans="1:33" hidden="1" x14ac:dyDescent="0.25">
      <c r="A65" s="574" t="s">
        <v>2219</v>
      </c>
      <c r="B65" s="574" t="s">
        <v>2220</v>
      </c>
      <c r="C65" s="574" t="s">
        <v>2221</v>
      </c>
      <c r="D65" s="574" t="s">
        <v>2220</v>
      </c>
      <c r="E65" s="574" t="s">
        <v>2222</v>
      </c>
      <c r="F65" s="574" t="s">
        <v>2223</v>
      </c>
      <c r="G65" s="574" t="s">
        <v>2224</v>
      </c>
      <c r="H65" s="574" t="s">
        <v>2225</v>
      </c>
      <c r="I65" s="574" t="s">
        <v>2226</v>
      </c>
      <c r="J65" s="574" t="s">
        <v>2227</v>
      </c>
      <c r="K65" s="574" t="s">
        <v>2228</v>
      </c>
      <c r="L65" s="574" t="s">
        <v>2229</v>
      </c>
      <c r="M65" s="574" t="s">
        <v>2230</v>
      </c>
      <c r="N65" s="574" t="s">
        <v>2231</v>
      </c>
      <c r="O65" s="574" t="s">
        <v>2232</v>
      </c>
      <c r="P65" s="574" t="s">
        <v>2233</v>
      </c>
      <c r="Q65" s="574" t="s">
        <v>2234</v>
      </c>
      <c r="R65" s="574" t="s">
        <v>2225</v>
      </c>
      <c r="S65" s="574" t="s">
        <v>2235</v>
      </c>
      <c r="T65" s="574" t="s">
        <v>2236</v>
      </c>
      <c r="U65" s="574" t="s">
        <v>2510</v>
      </c>
      <c r="V65" s="574" t="s">
        <v>2238</v>
      </c>
      <c r="W65" s="574" t="s">
        <v>2239</v>
      </c>
      <c r="X65" s="574" t="s">
        <v>2511</v>
      </c>
      <c r="Y65" s="575" t="s">
        <v>2512</v>
      </c>
      <c r="Z65" s="575" t="s">
        <v>2512</v>
      </c>
      <c r="AA65" s="574" t="s">
        <v>2261</v>
      </c>
      <c r="AB65" s="574" t="s">
        <v>2262</v>
      </c>
      <c r="AC65" s="574" t="s">
        <v>2265</v>
      </c>
      <c r="AD65" s="574" t="s">
        <v>96</v>
      </c>
      <c r="AE65" s="574" t="s">
        <v>2266</v>
      </c>
      <c r="AF65" s="574" t="s">
        <v>96</v>
      </c>
      <c r="AG65" s="576">
        <v>51977.27</v>
      </c>
    </row>
    <row r="66" spans="1:33" hidden="1" x14ac:dyDescent="0.25">
      <c r="A66" s="574" t="s">
        <v>2219</v>
      </c>
      <c r="B66" s="574" t="s">
        <v>2220</v>
      </c>
      <c r="C66" s="574" t="s">
        <v>2221</v>
      </c>
      <c r="D66" s="574" t="s">
        <v>2220</v>
      </c>
      <c r="E66" s="574" t="s">
        <v>2222</v>
      </c>
      <c r="F66" s="574" t="s">
        <v>2223</v>
      </c>
      <c r="G66" s="574" t="s">
        <v>2224</v>
      </c>
      <c r="H66" s="574" t="s">
        <v>2225</v>
      </c>
      <c r="I66" s="574" t="s">
        <v>2226</v>
      </c>
      <c r="J66" s="574" t="s">
        <v>2227</v>
      </c>
      <c r="K66" s="574" t="s">
        <v>2228</v>
      </c>
      <c r="L66" s="574" t="s">
        <v>2229</v>
      </c>
      <c r="M66" s="574" t="s">
        <v>2230</v>
      </c>
      <c r="N66" s="574" t="s">
        <v>2231</v>
      </c>
      <c r="O66" s="574" t="s">
        <v>2232</v>
      </c>
      <c r="P66" s="574" t="s">
        <v>2233</v>
      </c>
      <c r="Q66" s="574" t="s">
        <v>2234</v>
      </c>
      <c r="R66" s="574" t="s">
        <v>2225</v>
      </c>
      <c r="S66" s="574" t="s">
        <v>2235</v>
      </c>
      <c r="T66" s="574" t="s">
        <v>2236</v>
      </c>
      <c r="U66" s="574" t="s">
        <v>2628</v>
      </c>
      <c r="V66" s="574" t="s">
        <v>2238</v>
      </c>
      <c r="W66" s="574" t="s">
        <v>2239</v>
      </c>
      <c r="X66" s="574" t="s">
        <v>2629</v>
      </c>
      <c r="Y66" s="575" t="s">
        <v>2599</v>
      </c>
      <c r="Z66" s="575" t="s">
        <v>2599</v>
      </c>
      <c r="AA66" s="574" t="s">
        <v>2261</v>
      </c>
      <c r="AB66" s="574" t="s">
        <v>2262</v>
      </c>
      <c r="AC66" s="574" t="s">
        <v>2263</v>
      </c>
      <c r="AD66" s="574" t="s">
        <v>95</v>
      </c>
      <c r="AE66" s="574" t="s">
        <v>2264</v>
      </c>
      <c r="AF66" s="574" t="s">
        <v>95</v>
      </c>
      <c r="AG66" s="576">
        <v>53676.57</v>
      </c>
    </row>
    <row r="67" spans="1:33" hidden="1" x14ac:dyDescent="0.25">
      <c r="A67" s="574" t="s">
        <v>2219</v>
      </c>
      <c r="B67" s="574" t="s">
        <v>2220</v>
      </c>
      <c r="C67" s="574" t="s">
        <v>2221</v>
      </c>
      <c r="D67" s="574" t="s">
        <v>2220</v>
      </c>
      <c r="E67" s="574" t="s">
        <v>2222</v>
      </c>
      <c r="F67" s="574" t="s">
        <v>2223</v>
      </c>
      <c r="G67" s="574" t="s">
        <v>2224</v>
      </c>
      <c r="H67" s="574" t="s">
        <v>2225</v>
      </c>
      <c r="I67" s="574" t="s">
        <v>2226</v>
      </c>
      <c r="J67" s="574" t="s">
        <v>2227</v>
      </c>
      <c r="K67" s="574" t="s">
        <v>2228</v>
      </c>
      <c r="L67" s="574" t="s">
        <v>2229</v>
      </c>
      <c r="M67" s="574" t="s">
        <v>2230</v>
      </c>
      <c r="N67" s="574" t="s">
        <v>2231</v>
      </c>
      <c r="O67" s="574" t="s">
        <v>2232</v>
      </c>
      <c r="P67" s="574" t="s">
        <v>2233</v>
      </c>
      <c r="Q67" s="574" t="s">
        <v>2234</v>
      </c>
      <c r="R67" s="574" t="s">
        <v>2225</v>
      </c>
      <c r="S67" s="574" t="s">
        <v>2235</v>
      </c>
      <c r="T67" s="574" t="s">
        <v>2236</v>
      </c>
      <c r="U67" s="574" t="s">
        <v>2628</v>
      </c>
      <c r="V67" s="574" t="s">
        <v>2238</v>
      </c>
      <c r="W67" s="574" t="s">
        <v>2239</v>
      </c>
      <c r="X67" s="574" t="s">
        <v>2629</v>
      </c>
      <c r="Y67" s="575" t="s">
        <v>2599</v>
      </c>
      <c r="Z67" s="575" t="s">
        <v>2599</v>
      </c>
      <c r="AA67" s="574" t="s">
        <v>2261</v>
      </c>
      <c r="AB67" s="574" t="s">
        <v>2262</v>
      </c>
      <c r="AC67" s="574" t="s">
        <v>2265</v>
      </c>
      <c r="AD67" s="574" t="s">
        <v>96</v>
      </c>
      <c r="AE67" s="574" t="s">
        <v>2266</v>
      </c>
      <c r="AF67" s="574" t="s">
        <v>96</v>
      </c>
      <c r="AG67" s="576">
        <v>53752.27</v>
      </c>
    </row>
    <row r="68" spans="1:33" hidden="1" x14ac:dyDescent="0.25">
      <c r="A68" s="574" t="s">
        <v>2219</v>
      </c>
      <c r="B68" s="574" t="s">
        <v>2220</v>
      </c>
      <c r="C68" s="574" t="s">
        <v>2221</v>
      </c>
      <c r="D68" s="574" t="s">
        <v>2220</v>
      </c>
      <c r="E68" s="574" t="s">
        <v>2222</v>
      </c>
      <c r="F68" s="574" t="s">
        <v>2223</v>
      </c>
      <c r="G68" s="574" t="s">
        <v>2224</v>
      </c>
      <c r="H68" s="574" t="s">
        <v>2225</v>
      </c>
      <c r="I68" s="574" t="s">
        <v>2226</v>
      </c>
      <c r="J68" s="574" t="s">
        <v>2227</v>
      </c>
      <c r="K68" s="574" t="s">
        <v>2228</v>
      </c>
      <c r="L68" s="574" t="s">
        <v>2229</v>
      </c>
      <c r="M68" s="574" t="s">
        <v>2230</v>
      </c>
      <c r="N68" s="574" t="s">
        <v>2231</v>
      </c>
      <c r="O68" s="574" t="s">
        <v>2232</v>
      </c>
      <c r="P68" s="574" t="s">
        <v>2233</v>
      </c>
      <c r="Q68" s="574" t="s">
        <v>2234</v>
      </c>
      <c r="R68" s="574" t="s">
        <v>2225</v>
      </c>
      <c r="S68" s="574" t="s">
        <v>2235</v>
      </c>
      <c r="T68" s="574" t="s">
        <v>2236</v>
      </c>
      <c r="U68" s="574" t="s">
        <v>2277</v>
      </c>
      <c r="V68" s="574" t="s">
        <v>2238</v>
      </c>
      <c r="W68" s="574" t="s">
        <v>2239</v>
      </c>
      <c r="X68" s="574" t="s">
        <v>2278</v>
      </c>
      <c r="Y68" s="575" t="s">
        <v>2276</v>
      </c>
      <c r="Z68" s="575" t="s">
        <v>2276</v>
      </c>
      <c r="AA68" s="574" t="s">
        <v>2261</v>
      </c>
      <c r="AB68" s="574" t="s">
        <v>2262</v>
      </c>
      <c r="AC68" s="574" t="s">
        <v>2267</v>
      </c>
      <c r="AD68" s="574" t="s">
        <v>97</v>
      </c>
      <c r="AE68" s="574" t="s">
        <v>2268</v>
      </c>
      <c r="AF68" s="574" t="s">
        <v>97</v>
      </c>
      <c r="AG68" s="576">
        <v>566517.82999999996</v>
      </c>
    </row>
    <row r="69" spans="1:33" hidden="1" x14ac:dyDescent="0.25">
      <c r="A69" s="574" t="s">
        <v>2219</v>
      </c>
      <c r="B69" s="574" t="s">
        <v>2220</v>
      </c>
      <c r="C69" s="574" t="s">
        <v>2221</v>
      </c>
      <c r="D69" s="574" t="s">
        <v>2220</v>
      </c>
      <c r="E69" s="574" t="s">
        <v>2222</v>
      </c>
      <c r="F69" s="574" t="s">
        <v>2223</v>
      </c>
      <c r="G69" s="574" t="s">
        <v>2224</v>
      </c>
      <c r="H69" s="574" t="s">
        <v>2225</v>
      </c>
      <c r="I69" s="574" t="s">
        <v>2226</v>
      </c>
      <c r="J69" s="574" t="s">
        <v>2227</v>
      </c>
      <c r="K69" s="574" t="s">
        <v>2228</v>
      </c>
      <c r="L69" s="574" t="s">
        <v>2229</v>
      </c>
      <c r="M69" s="574" t="s">
        <v>2230</v>
      </c>
      <c r="N69" s="574" t="s">
        <v>2231</v>
      </c>
      <c r="O69" s="574" t="s">
        <v>2232</v>
      </c>
      <c r="P69" s="574" t="s">
        <v>2233</v>
      </c>
      <c r="Q69" s="574" t="s">
        <v>2234</v>
      </c>
      <c r="R69" s="574" t="s">
        <v>2225</v>
      </c>
      <c r="S69" s="574" t="s">
        <v>2235</v>
      </c>
      <c r="T69" s="574" t="s">
        <v>2236</v>
      </c>
      <c r="U69" s="574" t="s">
        <v>2289</v>
      </c>
      <c r="V69" s="574" t="s">
        <v>2238</v>
      </c>
      <c r="W69" s="574" t="s">
        <v>2239</v>
      </c>
      <c r="X69" s="574" t="s">
        <v>2290</v>
      </c>
      <c r="Y69" s="575" t="s">
        <v>2291</v>
      </c>
      <c r="Z69" s="575" t="s">
        <v>2291</v>
      </c>
      <c r="AA69" s="574" t="s">
        <v>2261</v>
      </c>
      <c r="AB69" s="574" t="s">
        <v>2262</v>
      </c>
      <c r="AC69" s="574" t="s">
        <v>2267</v>
      </c>
      <c r="AD69" s="574" t="s">
        <v>97</v>
      </c>
      <c r="AE69" s="574" t="s">
        <v>2268</v>
      </c>
      <c r="AF69" s="574" t="s">
        <v>97</v>
      </c>
      <c r="AG69" s="576">
        <v>567124.57999999996</v>
      </c>
    </row>
    <row r="70" spans="1:33" hidden="1" x14ac:dyDescent="0.25">
      <c r="A70" s="574" t="s">
        <v>2219</v>
      </c>
      <c r="B70" s="574" t="s">
        <v>2220</v>
      </c>
      <c r="C70" s="574" t="s">
        <v>2221</v>
      </c>
      <c r="D70" s="574" t="s">
        <v>2220</v>
      </c>
      <c r="E70" s="574" t="s">
        <v>2222</v>
      </c>
      <c r="F70" s="574" t="s">
        <v>2223</v>
      </c>
      <c r="G70" s="574" t="s">
        <v>2224</v>
      </c>
      <c r="H70" s="574" t="s">
        <v>2225</v>
      </c>
      <c r="I70" s="574" t="s">
        <v>2226</v>
      </c>
      <c r="J70" s="574" t="s">
        <v>2227</v>
      </c>
      <c r="K70" s="574" t="s">
        <v>2228</v>
      </c>
      <c r="L70" s="574" t="s">
        <v>2229</v>
      </c>
      <c r="M70" s="574" t="s">
        <v>2230</v>
      </c>
      <c r="N70" s="574" t="s">
        <v>2231</v>
      </c>
      <c r="O70" s="574" t="s">
        <v>2232</v>
      </c>
      <c r="P70" s="574" t="s">
        <v>2233</v>
      </c>
      <c r="Q70" s="574" t="s">
        <v>2234</v>
      </c>
      <c r="R70" s="574" t="s">
        <v>2225</v>
      </c>
      <c r="S70" s="574" t="s">
        <v>2235</v>
      </c>
      <c r="T70" s="574" t="s">
        <v>2236</v>
      </c>
      <c r="U70" s="574" t="s">
        <v>2458</v>
      </c>
      <c r="V70" s="574" t="s">
        <v>2238</v>
      </c>
      <c r="W70" s="574" t="s">
        <v>2239</v>
      </c>
      <c r="X70" s="574" t="s">
        <v>2459</v>
      </c>
      <c r="Y70" s="575" t="s">
        <v>2457</v>
      </c>
      <c r="Z70" s="575" t="s">
        <v>2457</v>
      </c>
      <c r="AA70" s="574" t="s">
        <v>2261</v>
      </c>
      <c r="AB70" s="574" t="s">
        <v>2262</v>
      </c>
      <c r="AC70" s="574" t="s">
        <v>2267</v>
      </c>
      <c r="AD70" s="574" t="s">
        <v>97</v>
      </c>
      <c r="AE70" s="574" t="s">
        <v>2268</v>
      </c>
      <c r="AF70" s="574" t="s">
        <v>97</v>
      </c>
      <c r="AG70" s="576">
        <v>567892.68999999994</v>
      </c>
    </row>
    <row r="71" spans="1:33" hidden="1" x14ac:dyDescent="0.25">
      <c r="A71" s="574" t="s">
        <v>2219</v>
      </c>
      <c r="B71" s="574" t="s">
        <v>2220</v>
      </c>
      <c r="C71" s="574" t="s">
        <v>2221</v>
      </c>
      <c r="D71" s="574" t="s">
        <v>2220</v>
      </c>
      <c r="E71" s="574" t="s">
        <v>2222</v>
      </c>
      <c r="F71" s="574" t="s">
        <v>2223</v>
      </c>
      <c r="G71" s="574" t="s">
        <v>2224</v>
      </c>
      <c r="H71" s="574" t="s">
        <v>2225</v>
      </c>
      <c r="I71" s="574" t="s">
        <v>2226</v>
      </c>
      <c r="J71" s="574" t="s">
        <v>2227</v>
      </c>
      <c r="K71" s="574" t="s">
        <v>2228</v>
      </c>
      <c r="L71" s="574" t="s">
        <v>2229</v>
      </c>
      <c r="M71" s="574" t="s">
        <v>2230</v>
      </c>
      <c r="N71" s="574" t="s">
        <v>2231</v>
      </c>
      <c r="O71" s="574" t="s">
        <v>2232</v>
      </c>
      <c r="P71" s="574" t="s">
        <v>2233</v>
      </c>
      <c r="Q71" s="574" t="s">
        <v>2234</v>
      </c>
      <c r="R71" s="574" t="s">
        <v>2225</v>
      </c>
      <c r="S71" s="574" t="s">
        <v>2235</v>
      </c>
      <c r="T71" s="574" t="s">
        <v>2236</v>
      </c>
      <c r="U71" s="574" t="s">
        <v>2513</v>
      </c>
      <c r="V71" s="574" t="s">
        <v>2238</v>
      </c>
      <c r="W71" s="574" t="s">
        <v>2239</v>
      </c>
      <c r="X71" s="574" t="s">
        <v>2514</v>
      </c>
      <c r="Y71" s="575" t="s">
        <v>2512</v>
      </c>
      <c r="Z71" s="575" t="s">
        <v>2512</v>
      </c>
      <c r="AA71" s="574" t="s">
        <v>2261</v>
      </c>
      <c r="AB71" s="574" t="s">
        <v>2262</v>
      </c>
      <c r="AC71" s="574" t="s">
        <v>2267</v>
      </c>
      <c r="AD71" s="574" t="s">
        <v>97</v>
      </c>
      <c r="AE71" s="574" t="s">
        <v>2268</v>
      </c>
      <c r="AF71" s="574" t="s">
        <v>97</v>
      </c>
      <c r="AG71" s="576">
        <v>570171.89</v>
      </c>
    </row>
    <row r="72" spans="1:33" hidden="1" x14ac:dyDescent="0.25">
      <c r="A72" s="574" t="s">
        <v>2219</v>
      </c>
      <c r="B72" s="574" t="s">
        <v>2220</v>
      </c>
      <c r="C72" s="574" t="s">
        <v>2221</v>
      </c>
      <c r="D72" s="574" t="s">
        <v>2220</v>
      </c>
      <c r="E72" s="574" t="s">
        <v>2222</v>
      </c>
      <c r="F72" s="574" t="s">
        <v>2223</v>
      </c>
      <c r="G72" s="574" t="s">
        <v>2224</v>
      </c>
      <c r="H72" s="574" t="s">
        <v>2225</v>
      </c>
      <c r="I72" s="574" t="s">
        <v>2226</v>
      </c>
      <c r="J72" s="574" t="s">
        <v>2227</v>
      </c>
      <c r="K72" s="574" t="s">
        <v>2228</v>
      </c>
      <c r="L72" s="574" t="s">
        <v>2229</v>
      </c>
      <c r="M72" s="574" t="s">
        <v>2230</v>
      </c>
      <c r="N72" s="574" t="s">
        <v>2231</v>
      </c>
      <c r="O72" s="574" t="s">
        <v>2232</v>
      </c>
      <c r="P72" s="574" t="s">
        <v>2233</v>
      </c>
      <c r="Q72" s="574" t="s">
        <v>2234</v>
      </c>
      <c r="R72" s="574" t="s">
        <v>2225</v>
      </c>
      <c r="S72" s="574" t="s">
        <v>2235</v>
      </c>
      <c r="T72" s="574" t="s">
        <v>2236</v>
      </c>
      <c r="U72" s="574" t="s">
        <v>2237</v>
      </c>
      <c r="V72" s="574" t="s">
        <v>2238</v>
      </c>
      <c r="W72" s="574" t="s">
        <v>2239</v>
      </c>
      <c r="X72" s="574" t="s">
        <v>2240</v>
      </c>
      <c r="Y72" s="575" t="s">
        <v>2241</v>
      </c>
      <c r="Z72" s="575" t="s">
        <v>2241</v>
      </c>
      <c r="AA72" s="574" t="s">
        <v>2261</v>
      </c>
      <c r="AB72" s="574" t="s">
        <v>2262</v>
      </c>
      <c r="AC72" s="574" t="s">
        <v>2267</v>
      </c>
      <c r="AD72" s="574" t="s">
        <v>97</v>
      </c>
      <c r="AE72" s="574" t="s">
        <v>2268</v>
      </c>
      <c r="AF72" s="574" t="s">
        <v>97</v>
      </c>
      <c r="AG72" s="576">
        <v>571427.64</v>
      </c>
    </row>
    <row r="73" spans="1:33" hidden="1" x14ac:dyDescent="0.25">
      <c r="A73" s="574" t="s">
        <v>2219</v>
      </c>
      <c r="B73" s="574" t="s">
        <v>2220</v>
      </c>
      <c r="C73" s="574" t="s">
        <v>2221</v>
      </c>
      <c r="D73" s="574" t="s">
        <v>2220</v>
      </c>
      <c r="E73" s="574" t="s">
        <v>2222</v>
      </c>
      <c r="F73" s="574" t="s">
        <v>2223</v>
      </c>
      <c r="G73" s="574" t="s">
        <v>2224</v>
      </c>
      <c r="H73" s="574" t="s">
        <v>2225</v>
      </c>
      <c r="I73" s="574" t="s">
        <v>2226</v>
      </c>
      <c r="J73" s="574" t="s">
        <v>2227</v>
      </c>
      <c r="K73" s="574" t="s">
        <v>2228</v>
      </c>
      <c r="L73" s="574" t="s">
        <v>2229</v>
      </c>
      <c r="M73" s="574" t="s">
        <v>2230</v>
      </c>
      <c r="N73" s="574" t="s">
        <v>2231</v>
      </c>
      <c r="O73" s="574" t="s">
        <v>2232</v>
      </c>
      <c r="P73" s="574" t="s">
        <v>2233</v>
      </c>
      <c r="Q73" s="574" t="s">
        <v>2234</v>
      </c>
      <c r="R73" s="574" t="s">
        <v>2225</v>
      </c>
      <c r="S73" s="574" t="s">
        <v>2235</v>
      </c>
      <c r="T73" s="574" t="s">
        <v>2236</v>
      </c>
      <c r="U73" s="574" t="s">
        <v>2600</v>
      </c>
      <c r="V73" s="574" t="s">
        <v>2238</v>
      </c>
      <c r="W73" s="574" t="s">
        <v>2239</v>
      </c>
      <c r="X73" s="574" t="s">
        <v>2601</v>
      </c>
      <c r="Y73" s="575" t="s">
        <v>2599</v>
      </c>
      <c r="Z73" s="575" t="s">
        <v>2599</v>
      </c>
      <c r="AA73" s="574" t="s">
        <v>2261</v>
      </c>
      <c r="AB73" s="574" t="s">
        <v>2262</v>
      </c>
      <c r="AC73" s="574" t="s">
        <v>2267</v>
      </c>
      <c r="AD73" s="574" t="s">
        <v>97</v>
      </c>
      <c r="AE73" s="574" t="s">
        <v>2268</v>
      </c>
      <c r="AF73" s="574" t="s">
        <v>97</v>
      </c>
      <c r="AG73" s="576">
        <v>573557.93000000005</v>
      </c>
    </row>
    <row r="74" spans="1:33" hidden="1" x14ac:dyDescent="0.25">
      <c r="A74" s="574" t="s">
        <v>2219</v>
      </c>
      <c r="B74" s="574" t="s">
        <v>2220</v>
      </c>
      <c r="C74" s="574" t="s">
        <v>2221</v>
      </c>
      <c r="D74" s="574" t="s">
        <v>2220</v>
      </c>
      <c r="E74" s="574" t="s">
        <v>2222</v>
      </c>
      <c r="F74" s="574" t="s">
        <v>2223</v>
      </c>
      <c r="G74" s="574" t="s">
        <v>2224</v>
      </c>
      <c r="H74" s="574" t="s">
        <v>2225</v>
      </c>
      <c r="I74" s="574" t="s">
        <v>2226</v>
      </c>
      <c r="J74" s="574" t="s">
        <v>2227</v>
      </c>
      <c r="K74" s="574" t="s">
        <v>2228</v>
      </c>
      <c r="L74" s="574" t="s">
        <v>2229</v>
      </c>
      <c r="M74" s="574" t="s">
        <v>2230</v>
      </c>
      <c r="N74" s="574" t="s">
        <v>2231</v>
      </c>
      <c r="O74" s="574" t="s">
        <v>2232</v>
      </c>
      <c r="P74" s="574" t="s">
        <v>2233</v>
      </c>
      <c r="Q74" s="574" t="s">
        <v>2234</v>
      </c>
      <c r="R74" s="574" t="s">
        <v>2225</v>
      </c>
      <c r="S74" s="574" t="s">
        <v>2235</v>
      </c>
      <c r="T74" s="574" t="s">
        <v>2236</v>
      </c>
      <c r="U74" s="574" t="s">
        <v>2277</v>
      </c>
      <c r="V74" s="574" t="s">
        <v>2238</v>
      </c>
      <c r="W74" s="574" t="s">
        <v>2239</v>
      </c>
      <c r="X74" s="574" t="s">
        <v>2278</v>
      </c>
      <c r="Y74" s="575" t="s">
        <v>2276</v>
      </c>
      <c r="Z74" s="575" t="s">
        <v>2276</v>
      </c>
      <c r="AA74" s="574" t="s">
        <v>2261</v>
      </c>
      <c r="AB74" s="574" t="s">
        <v>2262</v>
      </c>
      <c r="AC74" s="574" t="s">
        <v>2263</v>
      </c>
      <c r="AD74" s="574" t="s">
        <v>95</v>
      </c>
      <c r="AE74" s="574" t="s">
        <v>2264</v>
      </c>
      <c r="AF74" s="574" t="s">
        <v>95</v>
      </c>
      <c r="AG74" s="576">
        <v>3353718.17</v>
      </c>
    </row>
    <row r="75" spans="1:33" hidden="1" x14ac:dyDescent="0.25">
      <c r="A75" s="574" t="s">
        <v>2219</v>
      </c>
      <c r="B75" s="574" t="s">
        <v>2220</v>
      </c>
      <c r="C75" s="574" t="s">
        <v>2221</v>
      </c>
      <c r="D75" s="574" t="s">
        <v>2220</v>
      </c>
      <c r="E75" s="574" t="s">
        <v>2222</v>
      </c>
      <c r="F75" s="574" t="s">
        <v>2223</v>
      </c>
      <c r="G75" s="574" t="s">
        <v>2224</v>
      </c>
      <c r="H75" s="574" t="s">
        <v>2225</v>
      </c>
      <c r="I75" s="574" t="s">
        <v>2226</v>
      </c>
      <c r="J75" s="574" t="s">
        <v>2227</v>
      </c>
      <c r="K75" s="574" t="s">
        <v>2228</v>
      </c>
      <c r="L75" s="574" t="s">
        <v>2229</v>
      </c>
      <c r="M75" s="574" t="s">
        <v>2230</v>
      </c>
      <c r="N75" s="574" t="s">
        <v>2231</v>
      </c>
      <c r="O75" s="574" t="s">
        <v>2232</v>
      </c>
      <c r="P75" s="574" t="s">
        <v>2233</v>
      </c>
      <c r="Q75" s="574" t="s">
        <v>2234</v>
      </c>
      <c r="R75" s="574" t="s">
        <v>2225</v>
      </c>
      <c r="S75" s="574" t="s">
        <v>2235</v>
      </c>
      <c r="T75" s="574" t="s">
        <v>2236</v>
      </c>
      <c r="U75" s="574" t="s">
        <v>2289</v>
      </c>
      <c r="V75" s="574" t="s">
        <v>2238</v>
      </c>
      <c r="W75" s="574" t="s">
        <v>2239</v>
      </c>
      <c r="X75" s="574" t="s">
        <v>2290</v>
      </c>
      <c r="Y75" s="575" t="s">
        <v>2291</v>
      </c>
      <c r="Z75" s="575" t="s">
        <v>2291</v>
      </c>
      <c r="AA75" s="574" t="s">
        <v>2261</v>
      </c>
      <c r="AB75" s="574" t="s">
        <v>2262</v>
      </c>
      <c r="AC75" s="574" t="s">
        <v>2263</v>
      </c>
      <c r="AD75" s="574" t="s">
        <v>95</v>
      </c>
      <c r="AE75" s="574" t="s">
        <v>2264</v>
      </c>
      <c r="AF75" s="574" t="s">
        <v>95</v>
      </c>
      <c r="AG75" s="576">
        <v>3357303.06</v>
      </c>
    </row>
    <row r="76" spans="1:33" hidden="1" x14ac:dyDescent="0.25">
      <c r="A76" s="574" t="s">
        <v>2219</v>
      </c>
      <c r="B76" s="574" t="s">
        <v>2220</v>
      </c>
      <c r="C76" s="574" t="s">
        <v>2221</v>
      </c>
      <c r="D76" s="574" t="s">
        <v>2220</v>
      </c>
      <c r="E76" s="574" t="s">
        <v>2222</v>
      </c>
      <c r="F76" s="574" t="s">
        <v>2223</v>
      </c>
      <c r="G76" s="574" t="s">
        <v>2224</v>
      </c>
      <c r="H76" s="574" t="s">
        <v>2225</v>
      </c>
      <c r="I76" s="574" t="s">
        <v>2226</v>
      </c>
      <c r="J76" s="574" t="s">
        <v>2227</v>
      </c>
      <c r="K76" s="574" t="s">
        <v>2228</v>
      </c>
      <c r="L76" s="574" t="s">
        <v>2229</v>
      </c>
      <c r="M76" s="574" t="s">
        <v>2230</v>
      </c>
      <c r="N76" s="574" t="s">
        <v>2231</v>
      </c>
      <c r="O76" s="574" t="s">
        <v>2232</v>
      </c>
      <c r="P76" s="574" t="s">
        <v>2233</v>
      </c>
      <c r="Q76" s="574" t="s">
        <v>2234</v>
      </c>
      <c r="R76" s="574" t="s">
        <v>2225</v>
      </c>
      <c r="S76" s="574" t="s">
        <v>2235</v>
      </c>
      <c r="T76" s="574" t="s">
        <v>2236</v>
      </c>
      <c r="U76" s="574" t="s">
        <v>2277</v>
      </c>
      <c r="V76" s="574" t="s">
        <v>2238</v>
      </c>
      <c r="W76" s="574" t="s">
        <v>2239</v>
      </c>
      <c r="X76" s="574" t="s">
        <v>2278</v>
      </c>
      <c r="Y76" s="575" t="s">
        <v>2276</v>
      </c>
      <c r="Z76" s="575" t="s">
        <v>2276</v>
      </c>
      <c r="AA76" s="574" t="s">
        <v>2261</v>
      </c>
      <c r="AB76" s="574" t="s">
        <v>2262</v>
      </c>
      <c r="AC76" s="574" t="s">
        <v>2265</v>
      </c>
      <c r="AD76" s="574" t="s">
        <v>96</v>
      </c>
      <c r="AE76" s="574" t="s">
        <v>2266</v>
      </c>
      <c r="AF76" s="574" t="s">
        <v>96</v>
      </c>
      <c r="AG76" s="576">
        <v>3358448.81</v>
      </c>
    </row>
    <row r="77" spans="1:33" hidden="1" x14ac:dyDescent="0.25">
      <c r="A77" s="574" t="s">
        <v>2219</v>
      </c>
      <c r="B77" s="574" t="s">
        <v>2220</v>
      </c>
      <c r="C77" s="574" t="s">
        <v>2221</v>
      </c>
      <c r="D77" s="574" t="s">
        <v>2220</v>
      </c>
      <c r="E77" s="574" t="s">
        <v>2222</v>
      </c>
      <c r="F77" s="574" t="s">
        <v>2223</v>
      </c>
      <c r="G77" s="574" t="s">
        <v>2224</v>
      </c>
      <c r="H77" s="574" t="s">
        <v>2225</v>
      </c>
      <c r="I77" s="574" t="s">
        <v>2226</v>
      </c>
      <c r="J77" s="574" t="s">
        <v>2227</v>
      </c>
      <c r="K77" s="574" t="s">
        <v>2228</v>
      </c>
      <c r="L77" s="574" t="s">
        <v>2229</v>
      </c>
      <c r="M77" s="574" t="s">
        <v>2230</v>
      </c>
      <c r="N77" s="574" t="s">
        <v>2231</v>
      </c>
      <c r="O77" s="574" t="s">
        <v>2232</v>
      </c>
      <c r="P77" s="574" t="s">
        <v>2233</v>
      </c>
      <c r="Q77" s="574" t="s">
        <v>2234</v>
      </c>
      <c r="R77" s="574" t="s">
        <v>2225</v>
      </c>
      <c r="S77" s="574" t="s">
        <v>2235</v>
      </c>
      <c r="T77" s="574" t="s">
        <v>2236</v>
      </c>
      <c r="U77" s="574" t="s">
        <v>2458</v>
      </c>
      <c r="V77" s="574" t="s">
        <v>2238</v>
      </c>
      <c r="W77" s="574" t="s">
        <v>2239</v>
      </c>
      <c r="X77" s="574" t="s">
        <v>2459</v>
      </c>
      <c r="Y77" s="575" t="s">
        <v>2457</v>
      </c>
      <c r="Z77" s="575" t="s">
        <v>2457</v>
      </c>
      <c r="AA77" s="574" t="s">
        <v>2261</v>
      </c>
      <c r="AB77" s="574" t="s">
        <v>2262</v>
      </c>
      <c r="AC77" s="574" t="s">
        <v>2263</v>
      </c>
      <c r="AD77" s="574" t="s">
        <v>95</v>
      </c>
      <c r="AE77" s="574" t="s">
        <v>2264</v>
      </c>
      <c r="AF77" s="574" t="s">
        <v>95</v>
      </c>
      <c r="AG77" s="576">
        <v>3361841.41</v>
      </c>
    </row>
    <row r="78" spans="1:33" hidden="1" x14ac:dyDescent="0.25">
      <c r="A78" s="574" t="s">
        <v>2219</v>
      </c>
      <c r="B78" s="574" t="s">
        <v>2220</v>
      </c>
      <c r="C78" s="574" t="s">
        <v>2221</v>
      </c>
      <c r="D78" s="574" t="s">
        <v>2220</v>
      </c>
      <c r="E78" s="574" t="s">
        <v>2222</v>
      </c>
      <c r="F78" s="574" t="s">
        <v>2223</v>
      </c>
      <c r="G78" s="574" t="s">
        <v>2224</v>
      </c>
      <c r="H78" s="574" t="s">
        <v>2225</v>
      </c>
      <c r="I78" s="574" t="s">
        <v>2226</v>
      </c>
      <c r="J78" s="574" t="s">
        <v>2227</v>
      </c>
      <c r="K78" s="574" t="s">
        <v>2228</v>
      </c>
      <c r="L78" s="574" t="s">
        <v>2229</v>
      </c>
      <c r="M78" s="574" t="s">
        <v>2230</v>
      </c>
      <c r="N78" s="574" t="s">
        <v>2231</v>
      </c>
      <c r="O78" s="574" t="s">
        <v>2232</v>
      </c>
      <c r="P78" s="574" t="s">
        <v>2233</v>
      </c>
      <c r="Q78" s="574" t="s">
        <v>2234</v>
      </c>
      <c r="R78" s="574" t="s">
        <v>2225</v>
      </c>
      <c r="S78" s="574" t="s">
        <v>2235</v>
      </c>
      <c r="T78" s="574" t="s">
        <v>2236</v>
      </c>
      <c r="U78" s="574" t="s">
        <v>2289</v>
      </c>
      <c r="V78" s="574" t="s">
        <v>2238</v>
      </c>
      <c r="W78" s="574" t="s">
        <v>2239</v>
      </c>
      <c r="X78" s="574" t="s">
        <v>2290</v>
      </c>
      <c r="Y78" s="575" t="s">
        <v>2291</v>
      </c>
      <c r="Z78" s="575" t="s">
        <v>2291</v>
      </c>
      <c r="AA78" s="574" t="s">
        <v>2261</v>
      </c>
      <c r="AB78" s="574" t="s">
        <v>2262</v>
      </c>
      <c r="AC78" s="574" t="s">
        <v>2265</v>
      </c>
      <c r="AD78" s="574" t="s">
        <v>96</v>
      </c>
      <c r="AE78" s="574" t="s">
        <v>2266</v>
      </c>
      <c r="AF78" s="574" t="s">
        <v>96</v>
      </c>
      <c r="AG78" s="576">
        <v>3362038.76</v>
      </c>
    </row>
    <row r="79" spans="1:33" hidden="1" x14ac:dyDescent="0.25">
      <c r="A79" s="574" t="s">
        <v>2219</v>
      </c>
      <c r="B79" s="574" t="s">
        <v>2220</v>
      </c>
      <c r="C79" s="574" t="s">
        <v>2221</v>
      </c>
      <c r="D79" s="574" t="s">
        <v>2220</v>
      </c>
      <c r="E79" s="574" t="s">
        <v>2222</v>
      </c>
      <c r="F79" s="574" t="s">
        <v>2223</v>
      </c>
      <c r="G79" s="574" t="s">
        <v>2224</v>
      </c>
      <c r="H79" s="574" t="s">
        <v>2225</v>
      </c>
      <c r="I79" s="574" t="s">
        <v>2226</v>
      </c>
      <c r="J79" s="574" t="s">
        <v>2227</v>
      </c>
      <c r="K79" s="574" t="s">
        <v>2228</v>
      </c>
      <c r="L79" s="574" t="s">
        <v>2229</v>
      </c>
      <c r="M79" s="574" t="s">
        <v>2230</v>
      </c>
      <c r="N79" s="574" t="s">
        <v>2231</v>
      </c>
      <c r="O79" s="574" t="s">
        <v>2232</v>
      </c>
      <c r="P79" s="574" t="s">
        <v>2233</v>
      </c>
      <c r="Q79" s="574" t="s">
        <v>2234</v>
      </c>
      <c r="R79" s="574" t="s">
        <v>2225</v>
      </c>
      <c r="S79" s="574" t="s">
        <v>2235</v>
      </c>
      <c r="T79" s="574" t="s">
        <v>2236</v>
      </c>
      <c r="U79" s="574" t="s">
        <v>2458</v>
      </c>
      <c r="V79" s="574" t="s">
        <v>2238</v>
      </c>
      <c r="W79" s="574" t="s">
        <v>2239</v>
      </c>
      <c r="X79" s="574" t="s">
        <v>2459</v>
      </c>
      <c r="Y79" s="575" t="s">
        <v>2457</v>
      </c>
      <c r="Z79" s="575" t="s">
        <v>2457</v>
      </c>
      <c r="AA79" s="574" t="s">
        <v>2261</v>
      </c>
      <c r="AB79" s="574" t="s">
        <v>2262</v>
      </c>
      <c r="AC79" s="574" t="s">
        <v>2265</v>
      </c>
      <c r="AD79" s="574" t="s">
        <v>96</v>
      </c>
      <c r="AE79" s="574" t="s">
        <v>2266</v>
      </c>
      <c r="AF79" s="574" t="s">
        <v>96</v>
      </c>
      <c r="AG79" s="576">
        <v>3366583.5</v>
      </c>
    </row>
    <row r="80" spans="1:33" hidden="1" x14ac:dyDescent="0.25">
      <c r="A80" s="574" t="s">
        <v>2219</v>
      </c>
      <c r="B80" s="574" t="s">
        <v>2220</v>
      </c>
      <c r="C80" s="574" t="s">
        <v>2221</v>
      </c>
      <c r="D80" s="574" t="s">
        <v>2220</v>
      </c>
      <c r="E80" s="574" t="s">
        <v>2222</v>
      </c>
      <c r="F80" s="574" t="s">
        <v>2223</v>
      </c>
      <c r="G80" s="574" t="s">
        <v>2224</v>
      </c>
      <c r="H80" s="574" t="s">
        <v>2225</v>
      </c>
      <c r="I80" s="574" t="s">
        <v>2226</v>
      </c>
      <c r="J80" s="574" t="s">
        <v>2227</v>
      </c>
      <c r="K80" s="574" t="s">
        <v>2228</v>
      </c>
      <c r="L80" s="574" t="s">
        <v>2229</v>
      </c>
      <c r="M80" s="574" t="s">
        <v>2230</v>
      </c>
      <c r="N80" s="574" t="s">
        <v>2231</v>
      </c>
      <c r="O80" s="574" t="s">
        <v>2232</v>
      </c>
      <c r="P80" s="574" t="s">
        <v>2233</v>
      </c>
      <c r="Q80" s="574" t="s">
        <v>2234</v>
      </c>
      <c r="R80" s="574" t="s">
        <v>2225</v>
      </c>
      <c r="S80" s="574" t="s">
        <v>2235</v>
      </c>
      <c r="T80" s="574" t="s">
        <v>2236</v>
      </c>
      <c r="U80" s="574" t="s">
        <v>2513</v>
      </c>
      <c r="V80" s="574" t="s">
        <v>2238</v>
      </c>
      <c r="W80" s="574" t="s">
        <v>2239</v>
      </c>
      <c r="X80" s="574" t="s">
        <v>2514</v>
      </c>
      <c r="Y80" s="575" t="s">
        <v>2512</v>
      </c>
      <c r="Z80" s="575" t="s">
        <v>2512</v>
      </c>
      <c r="AA80" s="574" t="s">
        <v>2261</v>
      </c>
      <c r="AB80" s="574" t="s">
        <v>2262</v>
      </c>
      <c r="AC80" s="574" t="s">
        <v>2263</v>
      </c>
      <c r="AD80" s="574" t="s">
        <v>95</v>
      </c>
      <c r="AE80" s="574" t="s">
        <v>2264</v>
      </c>
      <c r="AF80" s="574" t="s">
        <v>95</v>
      </c>
      <c r="AG80" s="576">
        <v>3375307.68</v>
      </c>
    </row>
    <row r="81" spans="1:33" hidden="1" x14ac:dyDescent="0.25">
      <c r="A81" s="574" t="s">
        <v>2219</v>
      </c>
      <c r="B81" s="574" t="s">
        <v>2220</v>
      </c>
      <c r="C81" s="574" t="s">
        <v>2221</v>
      </c>
      <c r="D81" s="574" t="s">
        <v>2220</v>
      </c>
      <c r="E81" s="574" t="s">
        <v>2222</v>
      </c>
      <c r="F81" s="574" t="s">
        <v>2223</v>
      </c>
      <c r="G81" s="574" t="s">
        <v>2224</v>
      </c>
      <c r="H81" s="574" t="s">
        <v>2225</v>
      </c>
      <c r="I81" s="574" t="s">
        <v>2226</v>
      </c>
      <c r="J81" s="574" t="s">
        <v>2227</v>
      </c>
      <c r="K81" s="574" t="s">
        <v>2228</v>
      </c>
      <c r="L81" s="574" t="s">
        <v>2229</v>
      </c>
      <c r="M81" s="574" t="s">
        <v>2230</v>
      </c>
      <c r="N81" s="574" t="s">
        <v>2231</v>
      </c>
      <c r="O81" s="574" t="s">
        <v>2232</v>
      </c>
      <c r="P81" s="574" t="s">
        <v>2233</v>
      </c>
      <c r="Q81" s="574" t="s">
        <v>2234</v>
      </c>
      <c r="R81" s="574" t="s">
        <v>2225</v>
      </c>
      <c r="S81" s="574" t="s">
        <v>2235</v>
      </c>
      <c r="T81" s="574" t="s">
        <v>2236</v>
      </c>
      <c r="U81" s="574" t="s">
        <v>2513</v>
      </c>
      <c r="V81" s="574" t="s">
        <v>2238</v>
      </c>
      <c r="W81" s="574" t="s">
        <v>2239</v>
      </c>
      <c r="X81" s="574" t="s">
        <v>2514</v>
      </c>
      <c r="Y81" s="575" t="s">
        <v>2512</v>
      </c>
      <c r="Z81" s="575" t="s">
        <v>2512</v>
      </c>
      <c r="AA81" s="574" t="s">
        <v>2261</v>
      </c>
      <c r="AB81" s="574" t="s">
        <v>2262</v>
      </c>
      <c r="AC81" s="574" t="s">
        <v>2265</v>
      </c>
      <c r="AD81" s="574" t="s">
        <v>96</v>
      </c>
      <c r="AE81" s="574" t="s">
        <v>2266</v>
      </c>
      <c r="AF81" s="574" t="s">
        <v>96</v>
      </c>
      <c r="AG81" s="576">
        <v>3380068.77</v>
      </c>
    </row>
    <row r="82" spans="1:33" hidden="1" x14ac:dyDescent="0.25">
      <c r="A82" s="574" t="s">
        <v>2219</v>
      </c>
      <c r="B82" s="574" t="s">
        <v>2220</v>
      </c>
      <c r="C82" s="574" t="s">
        <v>2221</v>
      </c>
      <c r="D82" s="574" t="s">
        <v>2220</v>
      </c>
      <c r="E82" s="574" t="s">
        <v>2222</v>
      </c>
      <c r="F82" s="574" t="s">
        <v>2223</v>
      </c>
      <c r="G82" s="574" t="s">
        <v>2224</v>
      </c>
      <c r="H82" s="574" t="s">
        <v>2225</v>
      </c>
      <c r="I82" s="574" t="s">
        <v>2226</v>
      </c>
      <c r="J82" s="574" t="s">
        <v>2227</v>
      </c>
      <c r="K82" s="574" t="s">
        <v>2228</v>
      </c>
      <c r="L82" s="574" t="s">
        <v>2229</v>
      </c>
      <c r="M82" s="574" t="s">
        <v>2230</v>
      </c>
      <c r="N82" s="574" t="s">
        <v>2231</v>
      </c>
      <c r="O82" s="574" t="s">
        <v>2232</v>
      </c>
      <c r="P82" s="574" t="s">
        <v>2233</v>
      </c>
      <c r="Q82" s="574" t="s">
        <v>2234</v>
      </c>
      <c r="R82" s="574" t="s">
        <v>2225</v>
      </c>
      <c r="S82" s="574" t="s">
        <v>2235</v>
      </c>
      <c r="T82" s="574" t="s">
        <v>2236</v>
      </c>
      <c r="U82" s="574" t="s">
        <v>2237</v>
      </c>
      <c r="V82" s="574" t="s">
        <v>2238</v>
      </c>
      <c r="W82" s="574" t="s">
        <v>2239</v>
      </c>
      <c r="X82" s="574" t="s">
        <v>2240</v>
      </c>
      <c r="Y82" s="575" t="s">
        <v>2241</v>
      </c>
      <c r="Z82" s="575" t="s">
        <v>2241</v>
      </c>
      <c r="AA82" s="574" t="s">
        <v>2261</v>
      </c>
      <c r="AB82" s="574" t="s">
        <v>2262</v>
      </c>
      <c r="AC82" s="574" t="s">
        <v>2263</v>
      </c>
      <c r="AD82" s="574" t="s">
        <v>95</v>
      </c>
      <c r="AE82" s="574" t="s">
        <v>2264</v>
      </c>
      <c r="AF82" s="574" t="s">
        <v>95</v>
      </c>
      <c r="AG82" s="576">
        <v>3383280.05</v>
      </c>
    </row>
    <row r="83" spans="1:33" hidden="1" x14ac:dyDescent="0.25">
      <c r="A83" s="574" t="s">
        <v>2219</v>
      </c>
      <c r="B83" s="574" t="s">
        <v>2220</v>
      </c>
      <c r="C83" s="574" t="s">
        <v>2221</v>
      </c>
      <c r="D83" s="574" t="s">
        <v>2220</v>
      </c>
      <c r="E83" s="574" t="s">
        <v>2222</v>
      </c>
      <c r="F83" s="574" t="s">
        <v>2223</v>
      </c>
      <c r="G83" s="574" t="s">
        <v>2224</v>
      </c>
      <c r="H83" s="574" t="s">
        <v>2225</v>
      </c>
      <c r="I83" s="574" t="s">
        <v>2226</v>
      </c>
      <c r="J83" s="574" t="s">
        <v>2227</v>
      </c>
      <c r="K83" s="574" t="s">
        <v>2228</v>
      </c>
      <c r="L83" s="574" t="s">
        <v>2229</v>
      </c>
      <c r="M83" s="574" t="s">
        <v>2230</v>
      </c>
      <c r="N83" s="574" t="s">
        <v>2231</v>
      </c>
      <c r="O83" s="574" t="s">
        <v>2232</v>
      </c>
      <c r="P83" s="574" t="s">
        <v>2233</v>
      </c>
      <c r="Q83" s="574" t="s">
        <v>2234</v>
      </c>
      <c r="R83" s="574" t="s">
        <v>2225</v>
      </c>
      <c r="S83" s="574" t="s">
        <v>2235</v>
      </c>
      <c r="T83" s="574" t="s">
        <v>2236</v>
      </c>
      <c r="U83" s="574" t="s">
        <v>2237</v>
      </c>
      <c r="V83" s="574" t="s">
        <v>2238</v>
      </c>
      <c r="W83" s="574" t="s">
        <v>2239</v>
      </c>
      <c r="X83" s="574" t="s">
        <v>2240</v>
      </c>
      <c r="Y83" s="575" t="s">
        <v>2241</v>
      </c>
      <c r="Z83" s="575" t="s">
        <v>2241</v>
      </c>
      <c r="AA83" s="574" t="s">
        <v>2261</v>
      </c>
      <c r="AB83" s="574" t="s">
        <v>2262</v>
      </c>
      <c r="AC83" s="574" t="s">
        <v>2265</v>
      </c>
      <c r="AD83" s="574" t="s">
        <v>96</v>
      </c>
      <c r="AE83" s="574" t="s">
        <v>2266</v>
      </c>
      <c r="AF83" s="574" t="s">
        <v>96</v>
      </c>
      <c r="AG83" s="576">
        <v>3388052.38</v>
      </c>
    </row>
    <row r="84" spans="1:33" hidden="1" x14ac:dyDescent="0.25">
      <c r="A84" s="574" t="s">
        <v>2219</v>
      </c>
      <c r="B84" s="574" t="s">
        <v>2220</v>
      </c>
      <c r="C84" s="574" t="s">
        <v>2221</v>
      </c>
      <c r="D84" s="574" t="s">
        <v>2220</v>
      </c>
      <c r="E84" s="574" t="s">
        <v>2222</v>
      </c>
      <c r="F84" s="574" t="s">
        <v>2223</v>
      </c>
      <c r="G84" s="574" t="s">
        <v>2224</v>
      </c>
      <c r="H84" s="574" t="s">
        <v>2225</v>
      </c>
      <c r="I84" s="574" t="s">
        <v>2226</v>
      </c>
      <c r="J84" s="574" t="s">
        <v>2227</v>
      </c>
      <c r="K84" s="574" t="s">
        <v>2228</v>
      </c>
      <c r="L84" s="574" t="s">
        <v>2229</v>
      </c>
      <c r="M84" s="574" t="s">
        <v>2230</v>
      </c>
      <c r="N84" s="574" t="s">
        <v>2231</v>
      </c>
      <c r="O84" s="574" t="s">
        <v>2232</v>
      </c>
      <c r="P84" s="574" t="s">
        <v>2233</v>
      </c>
      <c r="Q84" s="574" t="s">
        <v>2234</v>
      </c>
      <c r="R84" s="574" t="s">
        <v>2225</v>
      </c>
      <c r="S84" s="574" t="s">
        <v>2235</v>
      </c>
      <c r="T84" s="574" t="s">
        <v>2236</v>
      </c>
      <c r="U84" s="574" t="s">
        <v>2600</v>
      </c>
      <c r="V84" s="574" t="s">
        <v>2238</v>
      </c>
      <c r="W84" s="574" t="s">
        <v>2239</v>
      </c>
      <c r="X84" s="574" t="s">
        <v>2601</v>
      </c>
      <c r="Y84" s="575" t="s">
        <v>2599</v>
      </c>
      <c r="Z84" s="575" t="s">
        <v>2599</v>
      </c>
      <c r="AA84" s="574" t="s">
        <v>2261</v>
      </c>
      <c r="AB84" s="574" t="s">
        <v>2262</v>
      </c>
      <c r="AC84" s="574" t="s">
        <v>2263</v>
      </c>
      <c r="AD84" s="574" t="s">
        <v>95</v>
      </c>
      <c r="AE84" s="574" t="s">
        <v>2264</v>
      </c>
      <c r="AF84" s="574" t="s">
        <v>95</v>
      </c>
      <c r="AG84" s="576">
        <v>3395313.6</v>
      </c>
    </row>
    <row r="85" spans="1:33" hidden="1" x14ac:dyDescent="0.25">
      <c r="A85" s="574" t="s">
        <v>2219</v>
      </c>
      <c r="B85" s="574" t="s">
        <v>2220</v>
      </c>
      <c r="C85" s="574" t="s">
        <v>2221</v>
      </c>
      <c r="D85" s="574" t="s">
        <v>2220</v>
      </c>
      <c r="E85" s="574" t="s">
        <v>2222</v>
      </c>
      <c r="F85" s="574" t="s">
        <v>2223</v>
      </c>
      <c r="G85" s="574" t="s">
        <v>2224</v>
      </c>
      <c r="H85" s="574" t="s">
        <v>2225</v>
      </c>
      <c r="I85" s="574" t="s">
        <v>2226</v>
      </c>
      <c r="J85" s="574" t="s">
        <v>2227</v>
      </c>
      <c r="K85" s="574" t="s">
        <v>2228</v>
      </c>
      <c r="L85" s="574" t="s">
        <v>2229</v>
      </c>
      <c r="M85" s="574" t="s">
        <v>2230</v>
      </c>
      <c r="N85" s="574" t="s">
        <v>2231</v>
      </c>
      <c r="O85" s="574" t="s">
        <v>2232</v>
      </c>
      <c r="P85" s="574" t="s">
        <v>2233</v>
      </c>
      <c r="Q85" s="574" t="s">
        <v>2234</v>
      </c>
      <c r="R85" s="574" t="s">
        <v>2225</v>
      </c>
      <c r="S85" s="574" t="s">
        <v>2235</v>
      </c>
      <c r="T85" s="574" t="s">
        <v>2236</v>
      </c>
      <c r="U85" s="574" t="s">
        <v>2600</v>
      </c>
      <c r="V85" s="574" t="s">
        <v>2238</v>
      </c>
      <c r="W85" s="574" t="s">
        <v>2239</v>
      </c>
      <c r="X85" s="574" t="s">
        <v>2601</v>
      </c>
      <c r="Y85" s="575" t="s">
        <v>2599</v>
      </c>
      <c r="Z85" s="575" t="s">
        <v>2599</v>
      </c>
      <c r="AA85" s="574" t="s">
        <v>2261</v>
      </c>
      <c r="AB85" s="574" t="s">
        <v>2262</v>
      </c>
      <c r="AC85" s="574" t="s">
        <v>2265</v>
      </c>
      <c r="AD85" s="574" t="s">
        <v>96</v>
      </c>
      <c r="AE85" s="574" t="s">
        <v>2266</v>
      </c>
      <c r="AF85" s="574" t="s">
        <v>96</v>
      </c>
      <c r="AG85" s="576">
        <v>3400102.9</v>
      </c>
    </row>
    <row r="86" spans="1:33" hidden="1" x14ac:dyDescent="0.25">
      <c r="A86" s="574" t="s">
        <v>2219</v>
      </c>
      <c r="B86" s="574" t="s">
        <v>2220</v>
      </c>
      <c r="C86" s="574" t="s">
        <v>2221</v>
      </c>
      <c r="D86" s="574" t="s">
        <v>2220</v>
      </c>
      <c r="E86" s="574" t="s">
        <v>2222</v>
      </c>
      <c r="F86" s="574" t="s">
        <v>2223</v>
      </c>
      <c r="G86" s="574" t="s">
        <v>2224</v>
      </c>
      <c r="H86" s="574" t="s">
        <v>2225</v>
      </c>
      <c r="I86" s="574" t="s">
        <v>2226</v>
      </c>
      <c r="J86" s="574" t="s">
        <v>2227</v>
      </c>
      <c r="K86" s="574" t="s">
        <v>2228</v>
      </c>
      <c r="L86" s="574" t="s">
        <v>2229</v>
      </c>
      <c r="M86" s="574" t="s">
        <v>2230</v>
      </c>
      <c r="N86" s="574" t="s">
        <v>2231</v>
      </c>
      <c r="O86" s="574" t="s">
        <v>2759</v>
      </c>
      <c r="P86" s="574" t="s">
        <v>2932</v>
      </c>
      <c r="Q86" s="574" t="s">
        <v>2234</v>
      </c>
      <c r="R86" s="574" t="s">
        <v>2225</v>
      </c>
      <c r="S86" s="574" t="s">
        <v>2235</v>
      </c>
      <c r="T86" s="574" t="s">
        <v>2236</v>
      </c>
      <c r="U86" s="574" t="s">
        <v>2370</v>
      </c>
      <c r="V86" s="574" t="s">
        <v>2238</v>
      </c>
      <c r="W86" s="574" t="s">
        <v>2239</v>
      </c>
      <c r="X86" s="574" t="s">
        <v>2371</v>
      </c>
      <c r="Y86" s="575" t="s">
        <v>2372</v>
      </c>
      <c r="Z86" s="575" t="s">
        <v>2372</v>
      </c>
      <c r="AA86" s="574" t="s">
        <v>1684</v>
      </c>
      <c r="AB86" s="574" t="s">
        <v>2933</v>
      </c>
      <c r="AC86" s="574" t="s">
        <v>2934</v>
      </c>
      <c r="AD86" s="574" t="s">
        <v>137</v>
      </c>
      <c r="AE86" s="574" t="s">
        <v>1461</v>
      </c>
      <c r="AF86" s="574" t="s">
        <v>137</v>
      </c>
      <c r="AG86" s="576">
        <v>34791.839999999997</v>
      </c>
    </row>
    <row r="87" spans="1:33" hidden="1" x14ac:dyDescent="0.25">
      <c r="A87" s="574" t="s">
        <v>2219</v>
      </c>
      <c r="B87" s="574" t="s">
        <v>2220</v>
      </c>
      <c r="C87" s="574" t="s">
        <v>2221</v>
      </c>
      <c r="D87" s="574" t="s">
        <v>2220</v>
      </c>
      <c r="E87" s="574" t="s">
        <v>2222</v>
      </c>
      <c r="F87" s="574" t="s">
        <v>2223</v>
      </c>
      <c r="G87" s="574" t="s">
        <v>2224</v>
      </c>
      <c r="H87" s="574" t="s">
        <v>2225</v>
      </c>
      <c r="I87" s="574" t="s">
        <v>2226</v>
      </c>
      <c r="J87" s="574" t="s">
        <v>2227</v>
      </c>
      <c r="K87" s="574" t="s">
        <v>2228</v>
      </c>
      <c r="L87" s="574" t="s">
        <v>2229</v>
      </c>
      <c r="M87" s="574" t="s">
        <v>2230</v>
      </c>
      <c r="N87" s="574" t="s">
        <v>2231</v>
      </c>
      <c r="O87" s="574" t="s">
        <v>2759</v>
      </c>
      <c r="P87" s="574" t="s">
        <v>2932</v>
      </c>
      <c r="Q87" s="574" t="s">
        <v>2234</v>
      </c>
      <c r="R87" s="574" t="s">
        <v>2225</v>
      </c>
      <c r="S87" s="574" t="s">
        <v>2235</v>
      </c>
      <c r="T87" s="574" t="s">
        <v>2236</v>
      </c>
      <c r="U87" s="574" t="s">
        <v>3219</v>
      </c>
      <c r="V87" s="574" t="s">
        <v>2238</v>
      </c>
      <c r="W87" s="574" t="s">
        <v>2239</v>
      </c>
      <c r="X87" s="574" t="s">
        <v>3220</v>
      </c>
      <c r="Y87" s="575" t="s">
        <v>2568</v>
      </c>
      <c r="Z87" s="575" t="s">
        <v>2568</v>
      </c>
      <c r="AA87" s="574" t="s">
        <v>1684</v>
      </c>
      <c r="AB87" s="574" t="s">
        <v>2933</v>
      </c>
      <c r="AC87" s="574" t="s">
        <v>2934</v>
      </c>
      <c r="AD87" s="574" t="s">
        <v>137</v>
      </c>
      <c r="AE87" s="574" t="s">
        <v>1461</v>
      </c>
      <c r="AF87" s="574" t="s">
        <v>137</v>
      </c>
      <c r="AG87" s="576">
        <v>202624.15</v>
      </c>
    </row>
    <row r="88" spans="1:33" hidden="1" x14ac:dyDescent="0.25">
      <c r="A88" s="574" t="s">
        <v>2219</v>
      </c>
      <c r="B88" s="574" t="s">
        <v>2220</v>
      </c>
      <c r="C88" s="574" t="s">
        <v>2221</v>
      </c>
      <c r="D88" s="574" t="s">
        <v>2220</v>
      </c>
      <c r="E88" s="574" t="s">
        <v>2222</v>
      </c>
      <c r="F88" s="574" t="s">
        <v>2223</v>
      </c>
      <c r="G88" s="574" t="s">
        <v>2224</v>
      </c>
      <c r="H88" s="574" t="s">
        <v>2225</v>
      </c>
      <c r="I88" s="574" t="s">
        <v>2226</v>
      </c>
      <c r="J88" s="574" t="s">
        <v>2227</v>
      </c>
      <c r="K88" s="574" t="s">
        <v>2228</v>
      </c>
      <c r="L88" s="574" t="s">
        <v>2229</v>
      </c>
      <c r="M88" s="574" t="s">
        <v>2230</v>
      </c>
      <c r="N88" s="574" t="s">
        <v>2231</v>
      </c>
      <c r="O88" s="574" t="s">
        <v>2759</v>
      </c>
      <c r="P88" s="574" t="s">
        <v>2932</v>
      </c>
      <c r="Q88" s="574" t="s">
        <v>2234</v>
      </c>
      <c r="R88" s="574" t="s">
        <v>2225</v>
      </c>
      <c r="S88" s="574" t="s">
        <v>2235</v>
      </c>
      <c r="T88" s="574" t="s">
        <v>2236</v>
      </c>
      <c r="U88" s="574" t="s">
        <v>2370</v>
      </c>
      <c r="V88" s="574" t="s">
        <v>2238</v>
      </c>
      <c r="W88" s="574" t="s">
        <v>2239</v>
      </c>
      <c r="X88" s="574" t="s">
        <v>2371</v>
      </c>
      <c r="Y88" s="575" t="s">
        <v>2372</v>
      </c>
      <c r="Z88" s="575" t="s">
        <v>2372</v>
      </c>
      <c r="AA88" s="574" t="s">
        <v>1685</v>
      </c>
      <c r="AB88" s="574" t="s">
        <v>2935</v>
      </c>
      <c r="AC88" s="574" t="s">
        <v>2936</v>
      </c>
      <c r="AD88" s="574" t="s">
        <v>2937</v>
      </c>
      <c r="AE88" s="574" t="s">
        <v>2938</v>
      </c>
      <c r="AF88" s="574" t="s">
        <v>2939</v>
      </c>
      <c r="AG88" s="576">
        <v>16089.95</v>
      </c>
    </row>
    <row r="89" spans="1:33" hidden="1" x14ac:dyDescent="0.25">
      <c r="A89" s="574" t="s">
        <v>2219</v>
      </c>
      <c r="B89" s="574" t="s">
        <v>2220</v>
      </c>
      <c r="C89" s="574" t="s">
        <v>2221</v>
      </c>
      <c r="D89" s="574" t="s">
        <v>2220</v>
      </c>
      <c r="E89" s="574" t="s">
        <v>2222</v>
      </c>
      <c r="F89" s="574" t="s">
        <v>2223</v>
      </c>
      <c r="G89" s="574" t="s">
        <v>2224</v>
      </c>
      <c r="H89" s="574" t="s">
        <v>2225</v>
      </c>
      <c r="I89" s="574" t="s">
        <v>2226</v>
      </c>
      <c r="J89" s="574" t="s">
        <v>2227</v>
      </c>
      <c r="K89" s="574" t="s">
        <v>2228</v>
      </c>
      <c r="L89" s="574" t="s">
        <v>2229</v>
      </c>
      <c r="M89" s="574" t="s">
        <v>2230</v>
      </c>
      <c r="N89" s="574" t="s">
        <v>2231</v>
      </c>
      <c r="O89" s="574" t="s">
        <v>2759</v>
      </c>
      <c r="P89" s="574" t="s">
        <v>2932</v>
      </c>
      <c r="Q89" s="574" t="s">
        <v>2234</v>
      </c>
      <c r="R89" s="574" t="s">
        <v>2225</v>
      </c>
      <c r="S89" s="574" t="s">
        <v>2235</v>
      </c>
      <c r="T89" s="574" t="s">
        <v>2236</v>
      </c>
      <c r="U89" s="574" t="s">
        <v>3219</v>
      </c>
      <c r="V89" s="574" t="s">
        <v>2238</v>
      </c>
      <c r="W89" s="574" t="s">
        <v>2239</v>
      </c>
      <c r="X89" s="574" t="s">
        <v>3220</v>
      </c>
      <c r="Y89" s="575" t="s">
        <v>2568</v>
      </c>
      <c r="Z89" s="575" t="s">
        <v>2568</v>
      </c>
      <c r="AA89" s="574" t="s">
        <v>1685</v>
      </c>
      <c r="AB89" s="574" t="s">
        <v>2935</v>
      </c>
      <c r="AC89" s="574" t="s">
        <v>2936</v>
      </c>
      <c r="AD89" s="574" t="s">
        <v>2937</v>
      </c>
      <c r="AE89" s="574" t="s">
        <v>2938</v>
      </c>
      <c r="AF89" s="574" t="s">
        <v>2939</v>
      </c>
      <c r="AG89" s="576">
        <v>16089.95</v>
      </c>
    </row>
    <row r="90" spans="1:33" hidden="1" x14ac:dyDescent="0.25">
      <c r="A90" s="574" t="s">
        <v>2219</v>
      </c>
      <c r="B90" s="574" t="s">
        <v>2220</v>
      </c>
      <c r="C90" s="574" t="s">
        <v>2221</v>
      </c>
      <c r="D90" s="574" t="s">
        <v>2220</v>
      </c>
      <c r="E90" s="574" t="s">
        <v>2222</v>
      </c>
      <c r="F90" s="574" t="s">
        <v>2223</v>
      </c>
      <c r="G90" s="574" t="s">
        <v>2224</v>
      </c>
      <c r="H90" s="574" t="s">
        <v>2225</v>
      </c>
      <c r="I90" s="574" t="s">
        <v>2226</v>
      </c>
      <c r="J90" s="574" t="s">
        <v>2227</v>
      </c>
      <c r="K90" s="574" t="s">
        <v>2228</v>
      </c>
      <c r="L90" s="574" t="s">
        <v>2229</v>
      </c>
      <c r="M90" s="574" t="s">
        <v>2230</v>
      </c>
      <c r="N90" s="574" t="s">
        <v>2231</v>
      </c>
      <c r="O90" s="574" t="s">
        <v>2759</v>
      </c>
      <c r="P90" s="574" t="s">
        <v>2932</v>
      </c>
      <c r="Q90" s="574" t="s">
        <v>2234</v>
      </c>
      <c r="R90" s="574" t="s">
        <v>2225</v>
      </c>
      <c r="S90" s="574" t="s">
        <v>2235</v>
      </c>
      <c r="T90" s="574" t="s">
        <v>2236</v>
      </c>
      <c r="U90" s="574" t="s">
        <v>2448</v>
      </c>
      <c r="V90" s="574" t="s">
        <v>2238</v>
      </c>
      <c r="W90" s="574" t="s">
        <v>2239</v>
      </c>
      <c r="X90" s="574" t="s">
        <v>2449</v>
      </c>
      <c r="Y90" s="575" t="s">
        <v>2429</v>
      </c>
      <c r="Z90" s="575" t="s">
        <v>2429</v>
      </c>
      <c r="AA90" s="574" t="s">
        <v>1686</v>
      </c>
      <c r="AB90" s="574" t="s">
        <v>2965</v>
      </c>
      <c r="AC90" s="574" t="s">
        <v>2966</v>
      </c>
      <c r="AD90" s="574" t="s">
        <v>2967</v>
      </c>
      <c r="AE90" s="574" t="s">
        <v>3000</v>
      </c>
      <c r="AF90" s="574" t="s">
        <v>3001</v>
      </c>
      <c r="AG90" s="576">
        <v>38444.400000000001</v>
      </c>
    </row>
    <row r="91" spans="1:33" hidden="1" x14ac:dyDescent="0.25">
      <c r="A91" s="574" t="s">
        <v>2219</v>
      </c>
      <c r="B91" s="574" t="s">
        <v>2220</v>
      </c>
      <c r="C91" s="574" t="s">
        <v>2221</v>
      </c>
      <c r="D91" s="574" t="s">
        <v>2220</v>
      </c>
      <c r="E91" s="574" t="s">
        <v>2222</v>
      </c>
      <c r="F91" s="574" t="s">
        <v>2223</v>
      </c>
      <c r="G91" s="574" t="s">
        <v>2224</v>
      </c>
      <c r="H91" s="574" t="s">
        <v>2225</v>
      </c>
      <c r="I91" s="574" t="s">
        <v>2226</v>
      </c>
      <c r="J91" s="574" t="s">
        <v>2227</v>
      </c>
      <c r="K91" s="574" t="s">
        <v>2228</v>
      </c>
      <c r="L91" s="574" t="s">
        <v>2229</v>
      </c>
      <c r="M91" s="574" t="s">
        <v>2230</v>
      </c>
      <c r="N91" s="574" t="s">
        <v>2231</v>
      </c>
      <c r="O91" s="574" t="s">
        <v>2759</v>
      </c>
      <c r="P91" s="574" t="s">
        <v>2932</v>
      </c>
      <c r="Q91" s="574" t="s">
        <v>2234</v>
      </c>
      <c r="R91" s="574" t="s">
        <v>2225</v>
      </c>
      <c r="S91" s="574" t="s">
        <v>2235</v>
      </c>
      <c r="T91" s="574" t="s">
        <v>2236</v>
      </c>
      <c r="U91" s="574" t="s">
        <v>3011</v>
      </c>
      <c r="V91" s="574" t="s">
        <v>2238</v>
      </c>
      <c r="W91" s="574" t="s">
        <v>2239</v>
      </c>
      <c r="X91" s="574" t="s">
        <v>3012</v>
      </c>
      <c r="Y91" s="575" t="s">
        <v>2429</v>
      </c>
      <c r="Z91" s="575" t="s">
        <v>2429</v>
      </c>
      <c r="AA91" s="574" t="s">
        <v>1686</v>
      </c>
      <c r="AB91" s="574" t="s">
        <v>2965</v>
      </c>
      <c r="AC91" s="574" t="s">
        <v>2966</v>
      </c>
      <c r="AD91" s="574" t="s">
        <v>2967</v>
      </c>
      <c r="AE91" s="574" t="s">
        <v>3000</v>
      </c>
      <c r="AF91" s="574" t="s">
        <v>3001</v>
      </c>
      <c r="AG91" s="576">
        <v>41300</v>
      </c>
    </row>
    <row r="92" spans="1:33" hidden="1" x14ac:dyDescent="0.25">
      <c r="A92" s="574" t="s">
        <v>2219</v>
      </c>
      <c r="B92" s="574" t="s">
        <v>2220</v>
      </c>
      <c r="C92" s="574" t="s">
        <v>2221</v>
      </c>
      <c r="D92" s="574" t="s">
        <v>2220</v>
      </c>
      <c r="E92" s="574" t="s">
        <v>2222</v>
      </c>
      <c r="F92" s="574" t="s">
        <v>2223</v>
      </c>
      <c r="G92" s="574" t="s">
        <v>2224</v>
      </c>
      <c r="H92" s="574" t="s">
        <v>2225</v>
      </c>
      <c r="I92" s="574" t="s">
        <v>2226</v>
      </c>
      <c r="J92" s="574" t="s">
        <v>2227</v>
      </c>
      <c r="K92" s="574" t="s">
        <v>2228</v>
      </c>
      <c r="L92" s="574" t="s">
        <v>2229</v>
      </c>
      <c r="M92" s="574" t="s">
        <v>2230</v>
      </c>
      <c r="N92" s="574" t="s">
        <v>2231</v>
      </c>
      <c r="O92" s="574" t="s">
        <v>2759</v>
      </c>
      <c r="P92" s="574" t="s">
        <v>2932</v>
      </c>
      <c r="Q92" s="574" t="s">
        <v>2234</v>
      </c>
      <c r="R92" s="574" t="s">
        <v>2225</v>
      </c>
      <c r="S92" s="574" t="s">
        <v>2235</v>
      </c>
      <c r="T92" s="574" t="s">
        <v>2236</v>
      </c>
      <c r="U92" s="574" t="s">
        <v>2499</v>
      </c>
      <c r="V92" s="574" t="s">
        <v>2238</v>
      </c>
      <c r="W92" s="574" t="s">
        <v>2239</v>
      </c>
      <c r="X92" s="574" t="s">
        <v>2500</v>
      </c>
      <c r="Y92" s="575" t="s">
        <v>2501</v>
      </c>
      <c r="Z92" s="575" t="s">
        <v>2501</v>
      </c>
      <c r="AA92" s="574" t="s">
        <v>1686</v>
      </c>
      <c r="AB92" s="574" t="s">
        <v>2965</v>
      </c>
      <c r="AC92" s="574" t="s">
        <v>2966</v>
      </c>
      <c r="AD92" s="574" t="s">
        <v>2967</v>
      </c>
      <c r="AE92" s="574" t="s">
        <v>3000</v>
      </c>
      <c r="AF92" s="574" t="s">
        <v>3001</v>
      </c>
      <c r="AG92" s="576">
        <v>106766.39999999999</v>
      </c>
    </row>
    <row r="93" spans="1:33" hidden="1" x14ac:dyDescent="0.25">
      <c r="A93" s="574" t="s">
        <v>2219</v>
      </c>
      <c r="B93" s="574" t="s">
        <v>2220</v>
      </c>
      <c r="C93" s="574" t="s">
        <v>2221</v>
      </c>
      <c r="D93" s="574" t="s">
        <v>2220</v>
      </c>
      <c r="E93" s="574" t="s">
        <v>2222</v>
      </c>
      <c r="F93" s="574" t="s">
        <v>2223</v>
      </c>
      <c r="G93" s="574" t="s">
        <v>2224</v>
      </c>
      <c r="H93" s="574" t="s">
        <v>2225</v>
      </c>
      <c r="I93" s="574" t="s">
        <v>2226</v>
      </c>
      <c r="J93" s="574" t="s">
        <v>2227</v>
      </c>
      <c r="K93" s="574" t="s">
        <v>2228</v>
      </c>
      <c r="L93" s="574" t="s">
        <v>2229</v>
      </c>
      <c r="M93" s="574" t="s">
        <v>2230</v>
      </c>
      <c r="N93" s="574" t="s">
        <v>2231</v>
      </c>
      <c r="O93" s="574" t="s">
        <v>2759</v>
      </c>
      <c r="P93" s="574" t="s">
        <v>2932</v>
      </c>
      <c r="Q93" s="574" t="s">
        <v>2234</v>
      </c>
      <c r="R93" s="574" t="s">
        <v>2225</v>
      </c>
      <c r="S93" s="574" t="s">
        <v>2235</v>
      </c>
      <c r="T93" s="574" t="s">
        <v>2236</v>
      </c>
      <c r="U93" s="574" t="s">
        <v>2963</v>
      </c>
      <c r="V93" s="574" t="s">
        <v>2238</v>
      </c>
      <c r="W93" s="574" t="s">
        <v>2239</v>
      </c>
      <c r="X93" s="574" t="s">
        <v>2964</v>
      </c>
      <c r="Y93" s="575" t="s">
        <v>2424</v>
      </c>
      <c r="Z93" s="575" t="s">
        <v>2424</v>
      </c>
      <c r="AA93" s="574" t="s">
        <v>1686</v>
      </c>
      <c r="AB93" s="574" t="s">
        <v>2965</v>
      </c>
      <c r="AC93" s="574" t="s">
        <v>2966</v>
      </c>
      <c r="AD93" s="574" t="s">
        <v>2967</v>
      </c>
      <c r="AE93" s="574" t="s">
        <v>2968</v>
      </c>
      <c r="AF93" s="574" t="s">
        <v>2969</v>
      </c>
      <c r="AG93" s="576">
        <v>413472</v>
      </c>
    </row>
    <row r="94" spans="1:33" hidden="1" x14ac:dyDescent="0.25">
      <c r="A94" s="574" t="s">
        <v>2219</v>
      </c>
      <c r="B94" s="574" t="s">
        <v>2220</v>
      </c>
      <c r="C94" s="574" t="s">
        <v>2221</v>
      </c>
      <c r="D94" s="574" t="s">
        <v>2220</v>
      </c>
      <c r="E94" s="574" t="s">
        <v>2222</v>
      </c>
      <c r="F94" s="574" t="s">
        <v>2223</v>
      </c>
      <c r="G94" s="574" t="s">
        <v>2224</v>
      </c>
      <c r="H94" s="574" t="s">
        <v>2225</v>
      </c>
      <c r="I94" s="574" t="s">
        <v>2226</v>
      </c>
      <c r="J94" s="574" t="s">
        <v>2227</v>
      </c>
      <c r="K94" s="574" t="s">
        <v>2228</v>
      </c>
      <c r="L94" s="574" t="s">
        <v>2229</v>
      </c>
      <c r="M94" s="574" t="s">
        <v>2230</v>
      </c>
      <c r="N94" s="574" t="s">
        <v>2231</v>
      </c>
      <c r="O94" s="574" t="s">
        <v>2759</v>
      </c>
      <c r="P94" s="574" t="s">
        <v>2932</v>
      </c>
      <c r="Q94" s="574" t="s">
        <v>2234</v>
      </c>
      <c r="R94" s="574" t="s">
        <v>2225</v>
      </c>
      <c r="S94" s="574" t="s">
        <v>2235</v>
      </c>
      <c r="T94" s="574" t="s">
        <v>2236</v>
      </c>
      <c r="U94" s="574" t="s">
        <v>2992</v>
      </c>
      <c r="V94" s="574" t="s">
        <v>2238</v>
      </c>
      <c r="W94" s="574" t="s">
        <v>2239</v>
      </c>
      <c r="X94" s="574" t="s">
        <v>2993</v>
      </c>
      <c r="Y94" s="575" t="s">
        <v>2424</v>
      </c>
      <c r="Z94" s="575" t="s">
        <v>2424</v>
      </c>
      <c r="AA94" s="574" t="s">
        <v>1686</v>
      </c>
      <c r="AB94" s="574" t="s">
        <v>2965</v>
      </c>
      <c r="AC94" s="574" t="s">
        <v>2966</v>
      </c>
      <c r="AD94" s="574" t="s">
        <v>2967</v>
      </c>
      <c r="AE94" s="574" t="s">
        <v>2968</v>
      </c>
      <c r="AF94" s="574" t="s">
        <v>2969</v>
      </c>
      <c r="AG94" s="576">
        <v>868608</v>
      </c>
    </row>
    <row r="95" spans="1:33" hidden="1" x14ac:dyDescent="0.25">
      <c r="A95" s="574" t="s">
        <v>2219</v>
      </c>
      <c r="B95" s="574" t="s">
        <v>2220</v>
      </c>
      <c r="C95" s="574" t="s">
        <v>2221</v>
      </c>
      <c r="D95" s="574" t="s">
        <v>2220</v>
      </c>
      <c r="E95" s="574" t="s">
        <v>2222</v>
      </c>
      <c r="F95" s="574" t="s">
        <v>2223</v>
      </c>
      <c r="G95" s="574" t="s">
        <v>2224</v>
      </c>
      <c r="H95" s="574" t="s">
        <v>2225</v>
      </c>
      <c r="I95" s="574" t="s">
        <v>2226</v>
      </c>
      <c r="J95" s="574" t="s">
        <v>2227</v>
      </c>
      <c r="K95" s="574" t="s">
        <v>2228</v>
      </c>
      <c r="L95" s="574" t="s">
        <v>2229</v>
      </c>
      <c r="M95" s="574" t="s">
        <v>2230</v>
      </c>
      <c r="N95" s="574" t="s">
        <v>2231</v>
      </c>
      <c r="O95" s="574" t="s">
        <v>2759</v>
      </c>
      <c r="P95" s="574" t="s">
        <v>2932</v>
      </c>
      <c r="Q95" s="574" t="s">
        <v>2234</v>
      </c>
      <c r="R95" s="574" t="s">
        <v>2225</v>
      </c>
      <c r="S95" s="574" t="s">
        <v>2235</v>
      </c>
      <c r="T95" s="574" t="s">
        <v>2236</v>
      </c>
      <c r="U95" s="574" t="s">
        <v>3298</v>
      </c>
      <c r="V95" s="574" t="s">
        <v>2238</v>
      </c>
      <c r="W95" s="574" t="s">
        <v>2239</v>
      </c>
      <c r="X95" s="574" t="s">
        <v>3299</v>
      </c>
      <c r="Y95" s="575" t="s">
        <v>2641</v>
      </c>
      <c r="Z95" s="575" t="s">
        <v>2641</v>
      </c>
      <c r="AA95" s="574" t="s">
        <v>1686</v>
      </c>
      <c r="AB95" s="574" t="s">
        <v>2965</v>
      </c>
      <c r="AC95" s="574" t="s">
        <v>3300</v>
      </c>
      <c r="AD95" s="574" t="s">
        <v>3301</v>
      </c>
      <c r="AE95" s="574" t="s">
        <v>3302</v>
      </c>
      <c r="AF95" s="574" t="s">
        <v>3303</v>
      </c>
      <c r="AG95" s="576">
        <v>1180000</v>
      </c>
    </row>
    <row r="96" spans="1:33" hidden="1" x14ac:dyDescent="0.25">
      <c r="A96" s="574" t="s">
        <v>2219</v>
      </c>
      <c r="B96" s="574" t="s">
        <v>2220</v>
      </c>
      <c r="C96" s="574" t="s">
        <v>2221</v>
      </c>
      <c r="D96" s="574" t="s">
        <v>2220</v>
      </c>
      <c r="E96" s="574" t="s">
        <v>2222</v>
      </c>
      <c r="F96" s="574" t="s">
        <v>2223</v>
      </c>
      <c r="G96" s="574" t="s">
        <v>2224</v>
      </c>
      <c r="H96" s="574" t="s">
        <v>2225</v>
      </c>
      <c r="I96" s="574" t="s">
        <v>2226</v>
      </c>
      <c r="J96" s="574" t="s">
        <v>2227</v>
      </c>
      <c r="K96" s="574" t="s">
        <v>2228</v>
      </c>
      <c r="L96" s="574" t="s">
        <v>2229</v>
      </c>
      <c r="M96" s="574" t="s">
        <v>2230</v>
      </c>
      <c r="N96" s="574" t="s">
        <v>2231</v>
      </c>
      <c r="O96" s="574" t="s">
        <v>2759</v>
      </c>
      <c r="P96" s="574" t="s">
        <v>2932</v>
      </c>
      <c r="Q96" s="574" t="s">
        <v>2234</v>
      </c>
      <c r="R96" s="574" t="s">
        <v>2225</v>
      </c>
      <c r="S96" s="574" t="s">
        <v>2235</v>
      </c>
      <c r="T96" s="574" t="s">
        <v>2236</v>
      </c>
      <c r="U96" s="574" t="s">
        <v>3029</v>
      </c>
      <c r="V96" s="574" t="s">
        <v>2238</v>
      </c>
      <c r="W96" s="574" t="s">
        <v>2239</v>
      </c>
      <c r="X96" s="574" t="s">
        <v>3030</v>
      </c>
      <c r="Y96" s="575" t="s">
        <v>2464</v>
      </c>
      <c r="Z96" s="575" t="s">
        <v>2464</v>
      </c>
      <c r="AA96" s="574" t="s">
        <v>2942</v>
      </c>
      <c r="AB96" s="574" t="s">
        <v>2943</v>
      </c>
      <c r="AC96" s="574" t="s">
        <v>2944</v>
      </c>
      <c r="AD96" s="574" t="s">
        <v>2945</v>
      </c>
      <c r="AE96" s="574" t="s">
        <v>2946</v>
      </c>
      <c r="AF96" s="574" t="s">
        <v>2945</v>
      </c>
      <c r="AG96" s="576">
        <v>21063</v>
      </c>
    </row>
    <row r="97" spans="1:33" hidden="1" x14ac:dyDescent="0.25">
      <c r="A97" s="574" t="s">
        <v>2219</v>
      </c>
      <c r="B97" s="574" t="s">
        <v>2220</v>
      </c>
      <c r="C97" s="574" t="s">
        <v>2221</v>
      </c>
      <c r="D97" s="574" t="s">
        <v>2220</v>
      </c>
      <c r="E97" s="574" t="s">
        <v>2222</v>
      </c>
      <c r="F97" s="574" t="s">
        <v>2223</v>
      </c>
      <c r="G97" s="574" t="s">
        <v>2224</v>
      </c>
      <c r="H97" s="574" t="s">
        <v>2225</v>
      </c>
      <c r="I97" s="574" t="s">
        <v>2226</v>
      </c>
      <c r="J97" s="574" t="s">
        <v>2227</v>
      </c>
      <c r="K97" s="574" t="s">
        <v>2228</v>
      </c>
      <c r="L97" s="574" t="s">
        <v>2229</v>
      </c>
      <c r="M97" s="574" t="s">
        <v>2230</v>
      </c>
      <c r="N97" s="574" t="s">
        <v>2231</v>
      </c>
      <c r="O97" s="574" t="s">
        <v>2759</v>
      </c>
      <c r="P97" s="574" t="s">
        <v>2932</v>
      </c>
      <c r="Q97" s="574" t="s">
        <v>2234</v>
      </c>
      <c r="R97" s="574" t="s">
        <v>2225</v>
      </c>
      <c r="S97" s="574" t="s">
        <v>2235</v>
      </c>
      <c r="T97" s="574" t="s">
        <v>2236</v>
      </c>
      <c r="U97" s="574" t="s">
        <v>2940</v>
      </c>
      <c r="V97" s="574" t="s">
        <v>2238</v>
      </c>
      <c r="W97" s="574" t="s">
        <v>2239</v>
      </c>
      <c r="X97" s="574" t="s">
        <v>2941</v>
      </c>
      <c r="Y97" s="575" t="s">
        <v>2424</v>
      </c>
      <c r="Z97" s="575" t="s">
        <v>2424</v>
      </c>
      <c r="AA97" s="574" t="s">
        <v>2942</v>
      </c>
      <c r="AB97" s="574" t="s">
        <v>2943</v>
      </c>
      <c r="AC97" s="574" t="s">
        <v>2944</v>
      </c>
      <c r="AD97" s="574" t="s">
        <v>2945</v>
      </c>
      <c r="AE97" s="574" t="s">
        <v>2946</v>
      </c>
      <c r="AF97" s="574" t="s">
        <v>2945</v>
      </c>
      <c r="AG97" s="576">
        <v>105315</v>
      </c>
    </row>
    <row r="98" spans="1:33" hidden="1" x14ac:dyDescent="0.25">
      <c r="A98" s="574" t="s">
        <v>2219</v>
      </c>
      <c r="B98" s="574" t="s">
        <v>2220</v>
      </c>
      <c r="C98" s="574" t="s">
        <v>2221</v>
      </c>
      <c r="D98" s="574" t="s">
        <v>2220</v>
      </c>
      <c r="E98" s="574" t="s">
        <v>2222</v>
      </c>
      <c r="F98" s="574" t="s">
        <v>2223</v>
      </c>
      <c r="G98" s="574" t="s">
        <v>2224</v>
      </c>
      <c r="H98" s="574" t="s">
        <v>2225</v>
      </c>
      <c r="I98" s="574" t="s">
        <v>2226</v>
      </c>
      <c r="J98" s="574" t="s">
        <v>2227</v>
      </c>
      <c r="K98" s="574" t="s">
        <v>2228</v>
      </c>
      <c r="L98" s="574" t="s">
        <v>2229</v>
      </c>
      <c r="M98" s="574" t="s">
        <v>2230</v>
      </c>
      <c r="N98" s="574" t="s">
        <v>2231</v>
      </c>
      <c r="O98" s="574" t="s">
        <v>2759</v>
      </c>
      <c r="P98" s="574" t="s">
        <v>2932</v>
      </c>
      <c r="Q98" s="574" t="s">
        <v>2234</v>
      </c>
      <c r="R98" s="574" t="s">
        <v>2225</v>
      </c>
      <c r="S98" s="574" t="s">
        <v>2235</v>
      </c>
      <c r="T98" s="574" t="s">
        <v>2236</v>
      </c>
      <c r="U98" s="574" t="s">
        <v>2970</v>
      </c>
      <c r="V98" s="574" t="s">
        <v>2238</v>
      </c>
      <c r="W98" s="574" t="s">
        <v>2239</v>
      </c>
      <c r="X98" s="574" t="s">
        <v>2971</v>
      </c>
      <c r="Y98" s="575" t="s">
        <v>2424</v>
      </c>
      <c r="Z98" s="575" t="s">
        <v>2424</v>
      </c>
      <c r="AA98" s="574" t="s">
        <v>1688</v>
      </c>
      <c r="AB98" s="574" t="s">
        <v>2430</v>
      </c>
      <c r="AC98" s="574" t="s">
        <v>2431</v>
      </c>
      <c r="AD98" s="574" t="s">
        <v>99</v>
      </c>
      <c r="AE98" s="574" t="s">
        <v>1531</v>
      </c>
      <c r="AF98" s="574" t="s">
        <v>99</v>
      </c>
      <c r="AG98" s="576">
        <v>69393.05</v>
      </c>
    </row>
    <row r="99" spans="1:33" hidden="1" x14ac:dyDescent="0.25">
      <c r="A99" s="574" t="s">
        <v>2219</v>
      </c>
      <c r="B99" s="574" t="s">
        <v>2220</v>
      </c>
      <c r="C99" s="574" t="s">
        <v>2221</v>
      </c>
      <c r="D99" s="574" t="s">
        <v>2220</v>
      </c>
      <c r="E99" s="574" t="s">
        <v>2222</v>
      </c>
      <c r="F99" s="574" t="s">
        <v>2223</v>
      </c>
      <c r="G99" s="574" t="s">
        <v>2224</v>
      </c>
      <c r="H99" s="574" t="s">
        <v>2225</v>
      </c>
      <c r="I99" s="574" t="s">
        <v>2226</v>
      </c>
      <c r="J99" s="574" t="s">
        <v>2227</v>
      </c>
      <c r="K99" s="574" t="s">
        <v>2228</v>
      </c>
      <c r="L99" s="574" t="s">
        <v>2229</v>
      </c>
      <c r="M99" s="574" t="s">
        <v>2230</v>
      </c>
      <c r="N99" s="574" t="s">
        <v>2231</v>
      </c>
      <c r="O99" s="574" t="s">
        <v>2759</v>
      </c>
      <c r="P99" s="574" t="s">
        <v>2932</v>
      </c>
      <c r="Q99" s="574" t="s">
        <v>2234</v>
      </c>
      <c r="R99" s="574" t="s">
        <v>2225</v>
      </c>
      <c r="S99" s="574" t="s">
        <v>2235</v>
      </c>
      <c r="T99" s="574" t="s">
        <v>2236</v>
      </c>
      <c r="U99" s="574" t="s">
        <v>3174</v>
      </c>
      <c r="V99" s="574" t="s">
        <v>2238</v>
      </c>
      <c r="W99" s="574" t="s">
        <v>2239</v>
      </c>
      <c r="X99" s="574" t="s">
        <v>3175</v>
      </c>
      <c r="Y99" s="575" t="s">
        <v>2531</v>
      </c>
      <c r="Z99" s="575" t="s">
        <v>2531</v>
      </c>
      <c r="AA99" s="574" t="s">
        <v>1688</v>
      </c>
      <c r="AB99" s="574" t="s">
        <v>2430</v>
      </c>
      <c r="AC99" s="574" t="s">
        <v>2431</v>
      </c>
      <c r="AD99" s="574" t="s">
        <v>99</v>
      </c>
      <c r="AE99" s="574" t="s">
        <v>1531</v>
      </c>
      <c r="AF99" s="574" t="s">
        <v>99</v>
      </c>
      <c r="AG99" s="576">
        <v>76832</v>
      </c>
    </row>
    <row r="100" spans="1:33" hidden="1" x14ac:dyDescent="0.25">
      <c r="A100" s="574" t="s">
        <v>2219</v>
      </c>
      <c r="B100" s="574" t="s">
        <v>2220</v>
      </c>
      <c r="C100" s="574" t="s">
        <v>2221</v>
      </c>
      <c r="D100" s="574" t="s">
        <v>2220</v>
      </c>
      <c r="E100" s="574" t="s">
        <v>2222</v>
      </c>
      <c r="F100" s="574" t="s">
        <v>2223</v>
      </c>
      <c r="G100" s="574" t="s">
        <v>2224</v>
      </c>
      <c r="H100" s="574" t="s">
        <v>2225</v>
      </c>
      <c r="I100" s="574" t="s">
        <v>2226</v>
      </c>
      <c r="J100" s="574" t="s">
        <v>2227</v>
      </c>
      <c r="K100" s="574" t="s">
        <v>2228</v>
      </c>
      <c r="L100" s="574" t="s">
        <v>2229</v>
      </c>
      <c r="M100" s="574" t="s">
        <v>2230</v>
      </c>
      <c r="N100" s="574" t="s">
        <v>2231</v>
      </c>
      <c r="O100" s="574" t="s">
        <v>2759</v>
      </c>
      <c r="P100" s="574" t="s">
        <v>2932</v>
      </c>
      <c r="Q100" s="574" t="s">
        <v>2234</v>
      </c>
      <c r="R100" s="574" t="s">
        <v>2225</v>
      </c>
      <c r="S100" s="574" t="s">
        <v>2235</v>
      </c>
      <c r="T100" s="574" t="s">
        <v>2236</v>
      </c>
      <c r="U100" s="574" t="s">
        <v>2977</v>
      </c>
      <c r="V100" s="574" t="s">
        <v>2238</v>
      </c>
      <c r="W100" s="574" t="s">
        <v>2239</v>
      </c>
      <c r="X100" s="574" t="s">
        <v>2978</v>
      </c>
      <c r="Y100" s="575" t="s">
        <v>2424</v>
      </c>
      <c r="Z100" s="575" t="s">
        <v>2424</v>
      </c>
      <c r="AA100" s="574" t="s">
        <v>1688</v>
      </c>
      <c r="AB100" s="574" t="s">
        <v>2430</v>
      </c>
      <c r="AC100" s="574" t="s">
        <v>2431</v>
      </c>
      <c r="AD100" s="574" t="s">
        <v>99</v>
      </c>
      <c r="AE100" s="574" t="s">
        <v>1531</v>
      </c>
      <c r="AF100" s="574" t="s">
        <v>99</v>
      </c>
      <c r="AG100" s="576">
        <v>103785</v>
      </c>
    </row>
    <row r="101" spans="1:33" hidden="1" x14ac:dyDescent="0.25">
      <c r="A101" s="574" t="s">
        <v>2219</v>
      </c>
      <c r="B101" s="574" t="s">
        <v>2220</v>
      </c>
      <c r="C101" s="574" t="s">
        <v>2221</v>
      </c>
      <c r="D101" s="574" t="s">
        <v>2220</v>
      </c>
      <c r="E101" s="574" t="s">
        <v>2222</v>
      </c>
      <c r="F101" s="574" t="s">
        <v>2223</v>
      </c>
      <c r="G101" s="574" t="s">
        <v>2224</v>
      </c>
      <c r="H101" s="574" t="s">
        <v>2225</v>
      </c>
      <c r="I101" s="574" t="s">
        <v>2226</v>
      </c>
      <c r="J101" s="574" t="s">
        <v>2227</v>
      </c>
      <c r="K101" s="574" t="s">
        <v>2228</v>
      </c>
      <c r="L101" s="574" t="s">
        <v>2229</v>
      </c>
      <c r="M101" s="574" t="s">
        <v>2230</v>
      </c>
      <c r="N101" s="574" t="s">
        <v>2231</v>
      </c>
      <c r="O101" s="574" t="s">
        <v>2759</v>
      </c>
      <c r="P101" s="574" t="s">
        <v>2932</v>
      </c>
      <c r="Q101" s="574" t="s">
        <v>2234</v>
      </c>
      <c r="R101" s="574" t="s">
        <v>2225</v>
      </c>
      <c r="S101" s="574" t="s">
        <v>2235</v>
      </c>
      <c r="T101" s="574" t="s">
        <v>2236</v>
      </c>
      <c r="U101" s="574" t="s">
        <v>3101</v>
      </c>
      <c r="V101" s="574" t="s">
        <v>2238</v>
      </c>
      <c r="W101" s="574" t="s">
        <v>2239</v>
      </c>
      <c r="X101" s="574" t="s">
        <v>3102</v>
      </c>
      <c r="Y101" s="575" t="s">
        <v>2724</v>
      </c>
      <c r="Z101" s="575" t="s">
        <v>2724</v>
      </c>
      <c r="AA101" s="574" t="s">
        <v>1688</v>
      </c>
      <c r="AB101" s="574" t="s">
        <v>2430</v>
      </c>
      <c r="AC101" s="574" t="s">
        <v>2431</v>
      </c>
      <c r="AD101" s="574" t="s">
        <v>99</v>
      </c>
      <c r="AE101" s="574" t="s">
        <v>1531</v>
      </c>
      <c r="AF101" s="574" t="s">
        <v>99</v>
      </c>
      <c r="AG101" s="576">
        <v>115000</v>
      </c>
    </row>
    <row r="102" spans="1:33" hidden="1" x14ac:dyDescent="0.25">
      <c r="A102" s="574" t="s">
        <v>2219</v>
      </c>
      <c r="B102" s="574" t="s">
        <v>2220</v>
      </c>
      <c r="C102" s="574" t="s">
        <v>2221</v>
      </c>
      <c r="D102" s="574" t="s">
        <v>2220</v>
      </c>
      <c r="E102" s="574" t="s">
        <v>2222</v>
      </c>
      <c r="F102" s="574" t="s">
        <v>2223</v>
      </c>
      <c r="G102" s="574" t="s">
        <v>2224</v>
      </c>
      <c r="H102" s="574" t="s">
        <v>2225</v>
      </c>
      <c r="I102" s="574" t="s">
        <v>2226</v>
      </c>
      <c r="J102" s="574" t="s">
        <v>2227</v>
      </c>
      <c r="K102" s="574" t="s">
        <v>2228</v>
      </c>
      <c r="L102" s="574" t="s">
        <v>2229</v>
      </c>
      <c r="M102" s="574" t="s">
        <v>2230</v>
      </c>
      <c r="N102" s="574" t="s">
        <v>2231</v>
      </c>
      <c r="O102" s="574" t="s">
        <v>2759</v>
      </c>
      <c r="P102" s="574" t="s">
        <v>2932</v>
      </c>
      <c r="Q102" s="574" t="s">
        <v>2234</v>
      </c>
      <c r="R102" s="574" t="s">
        <v>2225</v>
      </c>
      <c r="S102" s="574" t="s">
        <v>2235</v>
      </c>
      <c r="T102" s="574" t="s">
        <v>2236</v>
      </c>
      <c r="U102" s="574" t="s">
        <v>3097</v>
      </c>
      <c r="V102" s="574" t="s">
        <v>2238</v>
      </c>
      <c r="W102" s="574" t="s">
        <v>2239</v>
      </c>
      <c r="X102" s="574" t="s">
        <v>3098</v>
      </c>
      <c r="Y102" s="575" t="s">
        <v>2496</v>
      </c>
      <c r="Z102" s="575" t="s">
        <v>2496</v>
      </c>
      <c r="AA102" s="574" t="s">
        <v>1688</v>
      </c>
      <c r="AB102" s="574" t="s">
        <v>2430</v>
      </c>
      <c r="AC102" s="574" t="s">
        <v>2431</v>
      </c>
      <c r="AD102" s="574" t="s">
        <v>99</v>
      </c>
      <c r="AE102" s="574" t="s">
        <v>1531</v>
      </c>
      <c r="AF102" s="574" t="s">
        <v>99</v>
      </c>
      <c r="AG102" s="576">
        <v>183950</v>
      </c>
    </row>
    <row r="103" spans="1:33" hidden="1" x14ac:dyDescent="0.25">
      <c r="A103" s="574" t="s">
        <v>2219</v>
      </c>
      <c r="B103" s="574" t="s">
        <v>2220</v>
      </c>
      <c r="C103" s="574" t="s">
        <v>2221</v>
      </c>
      <c r="D103" s="574" t="s">
        <v>2220</v>
      </c>
      <c r="E103" s="574" t="s">
        <v>2222</v>
      </c>
      <c r="F103" s="574" t="s">
        <v>2223</v>
      </c>
      <c r="G103" s="574" t="s">
        <v>2224</v>
      </c>
      <c r="H103" s="574" t="s">
        <v>2225</v>
      </c>
      <c r="I103" s="574" t="s">
        <v>2226</v>
      </c>
      <c r="J103" s="574" t="s">
        <v>2227</v>
      </c>
      <c r="K103" s="574" t="s">
        <v>2228</v>
      </c>
      <c r="L103" s="574" t="s">
        <v>2229</v>
      </c>
      <c r="M103" s="574" t="s">
        <v>2230</v>
      </c>
      <c r="N103" s="574" t="s">
        <v>2231</v>
      </c>
      <c r="O103" s="574" t="s">
        <v>2759</v>
      </c>
      <c r="P103" s="574" t="s">
        <v>2932</v>
      </c>
      <c r="Q103" s="574" t="s">
        <v>2234</v>
      </c>
      <c r="R103" s="574" t="s">
        <v>2225</v>
      </c>
      <c r="S103" s="574" t="s">
        <v>2235</v>
      </c>
      <c r="T103" s="574" t="s">
        <v>2236</v>
      </c>
      <c r="U103" s="574" t="s">
        <v>3312</v>
      </c>
      <c r="V103" s="574" t="s">
        <v>2238</v>
      </c>
      <c r="W103" s="574" t="s">
        <v>2239</v>
      </c>
      <c r="X103" s="574" t="s">
        <v>3313</v>
      </c>
      <c r="Y103" s="575" t="s">
        <v>2683</v>
      </c>
      <c r="Z103" s="575" t="s">
        <v>2683</v>
      </c>
      <c r="AA103" s="574" t="s">
        <v>1688</v>
      </c>
      <c r="AB103" s="574" t="s">
        <v>2430</v>
      </c>
      <c r="AC103" s="574" t="s">
        <v>2431</v>
      </c>
      <c r="AD103" s="574" t="s">
        <v>99</v>
      </c>
      <c r="AE103" s="574" t="s">
        <v>1531</v>
      </c>
      <c r="AF103" s="574" t="s">
        <v>99</v>
      </c>
      <c r="AG103" s="576">
        <v>193945</v>
      </c>
    </row>
    <row r="104" spans="1:33" hidden="1" x14ac:dyDescent="0.25">
      <c r="A104" s="574" t="s">
        <v>2219</v>
      </c>
      <c r="B104" s="574" t="s">
        <v>2220</v>
      </c>
      <c r="C104" s="574" t="s">
        <v>2221</v>
      </c>
      <c r="D104" s="574" t="s">
        <v>2220</v>
      </c>
      <c r="E104" s="574" t="s">
        <v>2222</v>
      </c>
      <c r="F104" s="574" t="s">
        <v>2223</v>
      </c>
      <c r="G104" s="574" t="s">
        <v>2224</v>
      </c>
      <c r="H104" s="574" t="s">
        <v>2225</v>
      </c>
      <c r="I104" s="574" t="s">
        <v>2226</v>
      </c>
      <c r="J104" s="574" t="s">
        <v>2227</v>
      </c>
      <c r="K104" s="574" t="s">
        <v>2228</v>
      </c>
      <c r="L104" s="574" t="s">
        <v>2229</v>
      </c>
      <c r="M104" s="574" t="s">
        <v>2230</v>
      </c>
      <c r="N104" s="574" t="s">
        <v>2231</v>
      </c>
      <c r="O104" s="574" t="s">
        <v>2759</v>
      </c>
      <c r="P104" s="574" t="s">
        <v>2932</v>
      </c>
      <c r="Q104" s="574" t="s">
        <v>2234</v>
      </c>
      <c r="R104" s="574" t="s">
        <v>2225</v>
      </c>
      <c r="S104" s="574" t="s">
        <v>2235</v>
      </c>
      <c r="T104" s="574" t="s">
        <v>2236</v>
      </c>
      <c r="U104" s="574" t="s">
        <v>589</v>
      </c>
      <c r="V104" s="574" t="s">
        <v>2238</v>
      </c>
      <c r="W104" s="574" t="s">
        <v>2239</v>
      </c>
      <c r="X104" s="574" t="s">
        <v>2991</v>
      </c>
      <c r="Y104" s="575" t="s">
        <v>2424</v>
      </c>
      <c r="Z104" s="575" t="s">
        <v>2424</v>
      </c>
      <c r="AA104" s="574" t="s">
        <v>1688</v>
      </c>
      <c r="AB104" s="574" t="s">
        <v>2430</v>
      </c>
      <c r="AC104" s="574" t="s">
        <v>2431</v>
      </c>
      <c r="AD104" s="574" t="s">
        <v>99</v>
      </c>
      <c r="AE104" s="574" t="s">
        <v>1531</v>
      </c>
      <c r="AF104" s="574" t="s">
        <v>99</v>
      </c>
      <c r="AG104" s="576">
        <v>211250</v>
      </c>
    </row>
    <row r="105" spans="1:33" hidden="1" x14ac:dyDescent="0.25">
      <c r="A105" s="574" t="s">
        <v>2219</v>
      </c>
      <c r="B105" s="574" t="s">
        <v>2220</v>
      </c>
      <c r="C105" s="574" t="s">
        <v>2221</v>
      </c>
      <c r="D105" s="574" t="s">
        <v>2220</v>
      </c>
      <c r="E105" s="574" t="s">
        <v>2222</v>
      </c>
      <c r="F105" s="574" t="s">
        <v>2223</v>
      </c>
      <c r="G105" s="574" t="s">
        <v>2224</v>
      </c>
      <c r="H105" s="574" t="s">
        <v>2225</v>
      </c>
      <c r="I105" s="574" t="s">
        <v>2226</v>
      </c>
      <c r="J105" s="574" t="s">
        <v>2227</v>
      </c>
      <c r="K105" s="574" t="s">
        <v>2228</v>
      </c>
      <c r="L105" s="574" t="s">
        <v>2229</v>
      </c>
      <c r="M105" s="574" t="s">
        <v>2230</v>
      </c>
      <c r="N105" s="574" t="s">
        <v>2231</v>
      </c>
      <c r="O105" s="574" t="s">
        <v>2232</v>
      </c>
      <c r="P105" s="574" t="s">
        <v>2233</v>
      </c>
      <c r="Q105" s="574" t="s">
        <v>2234</v>
      </c>
      <c r="R105" s="574" t="s">
        <v>2225</v>
      </c>
      <c r="S105" s="574" t="s">
        <v>2235</v>
      </c>
      <c r="T105" s="574" t="s">
        <v>2236</v>
      </c>
      <c r="U105" s="574" t="s">
        <v>2432</v>
      </c>
      <c r="V105" s="574" t="s">
        <v>2238</v>
      </c>
      <c r="W105" s="574" t="s">
        <v>2239</v>
      </c>
      <c r="X105" s="574" t="s">
        <v>2433</v>
      </c>
      <c r="Y105" s="575" t="s">
        <v>2429</v>
      </c>
      <c r="Z105" s="575" t="s">
        <v>2429</v>
      </c>
      <c r="AA105" s="574" t="s">
        <v>1688</v>
      </c>
      <c r="AB105" s="574" t="s">
        <v>2430</v>
      </c>
      <c r="AC105" s="574" t="s">
        <v>2431</v>
      </c>
      <c r="AD105" s="574" t="s">
        <v>99</v>
      </c>
      <c r="AE105" s="574" t="s">
        <v>1531</v>
      </c>
      <c r="AF105" s="574" t="s">
        <v>99</v>
      </c>
      <c r="AG105" s="576">
        <v>337500</v>
      </c>
    </row>
    <row r="106" spans="1:33" hidden="1" x14ac:dyDescent="0.25">
      <c r="A106" s="574" t="s">
        <v>2219</v>
      </c>
      <c r="B106" s="574" t="s">
        <v>2220</v>
      </c>
      <c r="C106" s="574" t="s">
        <v>2221</v>
      </c>
      <c r="D106" s="574" t="s">
        <v>2220</v>
      </c>
      <c r="E106" s="574" t="s">
        <v>2222</v>
      </c>
      <c r="F106" s="574" t="s">
        <v>2223</v>
      </c>
      <c r="G106" s="574" t="s">
        <v>2224</v>
      </c>
      <c r="H106" s="574" t="s">
        <v>2225</v>
      </c>
      <c r="I106" s="574" t="s">
        <v>2226</v>
      </c>
      <c r="J106" s="574" t="s">
        <v>2227</v>
      </c>
      <c r="K106" s="574" t="s">
        <v>2228</v>
      </c>
      <c r="L106" s="574" t="s">
        <v>2229</v>
      </c>
      <c r="M106" s="574" t="s">
        <v>2230</v>
      </c>
      <c r="N106" s="574" t="s">
        <v>2231</v>
      </c>
      <c r="O106" s="574" t="s">
        <v>2759</v>
      </c>
      <c r="P106" s="574" t="s">
        <v>2932</v>
      </c>
      <c r="Q106" s="574" t="s">
        <v>2234</v>
      </c>
      <c r="R106" s="574" t="s">
        <v>2225</v>
      </c>
      <c r="S106" s="574" t="s">
        <v>2235</v>
      </c>
      <c r="T106" s="574" t="s">
        <v>2236</v>
      </c>
      <c r="U106" s="574" t="s">
        <v>2979</v>
      </c>
      <c r="V106" s="574" t="s">
        <v>2238</v>
      </c>
      <c r="W106" s="574" t="s">
        <v>2239</v>
      </c>
      <c r="X106" s="574" t="s">
        <v>2980</v>
      </c>
      <c r="Y106" s="575" t="s">
        <v>2424</v>
      </c>
      <c r="Z106" s="575" t="s">
        <v>2424</v>
      </c>
      <c r="AA106" s="574" t="s">
        <v>1688</v>
      </c>
      <c r="AB106" s="574" t="s">
        <v>2430</v>
      </c>
      <c r="AC106" s="574" t="s">
        <v>2431</v>
      </c>
      <c r="AD106" s="574" t="s">
        <v>99</v>
      </c>
      <c r="AE106" s="574" t="s">
        <v>1531</v>
      </c>
      <c r="AF106" s="574" t="s">
        <v>99</v>
      </c>
      <c r="AG106" s="576">
        <v>348600</v>
      </c>
    </row>
    <row r="107" spans="1:33" hidden="1" x14ac:dyDescent="0.25">
      <c r="A107" s="574" t="s">
        <v>2219</v>
      </c>
      <c r="B107" s="574" t="s">
        <v>2220</v>
      </c>
      <c r="C107" s="574" t="s">
        <v>2221</v>
      </c>
      <c r="D107" s="574" t="s">
        <v>2220</v>
      </c>
      <c r="E107" s="574" t="s">
        <v>2222</v>
      </c>
      <c r="F107" s="574" t="s">
        <v>2223</v>
      </c>
      <c r="G107" s="574" t="s">
        <v>2224</v>
      </c>
      <c r="H107" s="574" t="s">
        <v>2225</v>
      </c>
      <c r="I107" s="574" t="s">
        <v>2226</v>
      </c>
      <c r="J107" s="574" t="s">
        <v>2227</v>
      </c>
      <c r="K107" s="574" t="s">
        <v>2228</v>
      </c>
      <c r="L107" s="574" t="s">
        <v>2229</v>
      </c>
      <c r="M107" s="574" t="s">
        <v>2230</v>
      </c>
      <c r="N107" s="574" t="s">
        <v>2231</v>
      </c>
      <c r="O107" s="574" t="s">
        <v>2232</v>
      </c>
      <c r="P107" s="574" t="s">
        <v>2233</v>
      </c>
      <c r="Q107" s="574" t="s">
        <v>2234</v>
      </c>
      <c r="R107" s="574" t="s">
        <v>2225</v>
      </c>
      <c r="S107" s="574" t="s">
        <v>2235</v>
      </c>
      <c r="T107" s="574" t="s">
        <v>2236</v>
      </c>
      <c r="U107" s="574" t="s">
        <v>2455</v>
      </c>
      <c r="V107" s="574" t="s">
        <v>2238</v>
      </c>
      <c r="W107" s="574" t="s">
        <v>2239</v>
      </c>
      <c r="X107" s="574" t="s">
        <v>2456</v>
      </c>
      <c r="Y107" s="575" t="s">
        <v>2457</v>
      </c>
      <c r="Z107" s="575" t="s">
        <v>2457</v>
      </c>
      <c r="AA107" s="574" t="s">
        <v>1688</v>
      </c>
      <c r="AB107" s="574" t="s">
        <v>2430</v>
      </c>
      <c r="AC107" s="574" t="s">
        <v>2431</v>
      </c>
      <c r="AD107" s="574" t="s">
        <v>99</v>
      </c>
      <c r="AE107" s="574" t="s">
        <v>1531</v>
      </c>
      <c r="AF107" s="574" t="s">
        <v>99</v>
      </c>
      <c r="AG107" s="576">
        <v>361801</v>
      </c>
    </row>
    <row r="108" spans="1:33" hidden="1" x14ac:dyDescent="0.25">
      <c r="A108" s="574" t="s">
        <v>2219</v>
      </c>
      <c r="B108" s="574" t="s">
        <v>2220</v>
      </c>
      <c r="C108" s="574" t="s">
        <v>2221</v>
      </c>
      <c r="D108" s="574" t="s">
        <v>2220</v>
      </c>
      <c r="E108" s="574" t="s">
        <v>2222</v>
      </c>
      <c r="F108" s="574" t="s">
        <v>2223</v>
      </c>
      <c r="G108" s="574" t="s">
        <v>2224</v>
      </c>
      <c r="H108" s="574" t="s">
        <v>2225</v>
      </c>
      <c r="I108" s="574" t="s">
        <v>2226</v>
      </c>
      <c r="J108" s="574" t="s">
        <v>2227</v>
      </c>
      <c r="K108" s="574" t="s">
        <v>2228</v>
      </c>
      <c r="L108" s="574" t="s">
        <v>2229</v>
      </c>
      <c r="M108" s="574" t="s">
        <v>2230</v>
      </c>
      <c r="N108" s="574" t="s">
        <v>2231</v>
      </c>
      <c r="O108" s="574" t="s">
        <v>2759</v>
      </c>
      <c r="P108" s="574" t="s">
        <v>2932</v>
      </c>
      <c r="Q108" s="574" t="s">
        <v>2234</v>
      </c>
      <c r="R108" s="574" t="s">
        <v>2225</v>
      </c>
      <c r="S108" s="574" t="s">
        <v>2235</v>
      </c>
      <c r="T108" s="574" t="s">
        <v>2236</v>
      </c>
      <c r="U108" s="574" t="s">
        <v>3251</v>
      </c>
      <c r="V108" s="574" t="s">
        <v>2238</v>
      </c>
      <c r="W108" s="574" t="s">
        <v>2239</v>
      </c>
      <c r="X108" s="574" t="s">
        <v>3252</v>
      </c>
      <c r="Y108" s="575" t="s">
        <v>2579</v>
      </c>
      <c r="Z108" s="575" t="s">
        <v>2579</v>
      </c>
      <c r="AA108" s="574" t="s">
        <v>1688</v>
      </c>
      <c r="AB108" s="574" t="s">
        <v>2430</v>
      </c>
      <c r="AC108" s="574" t="s">
        <v>2431</v>
      </c>
      <c r="AD108" s="574" t="s">
        <v>99</v>
      </c>
      <c r="AE108" s="574" t="s">
        <v>1531</v>
      </c>
      <c r="AF108" s="574" t="s">
        <v>99</v>
      </c>
      <c r="AG108" s="576">
        <v>371459</v>
      </c>
    </row>
    <row r="109" spans="1:33" hidden="1" x14ac:dyDescent="0.25">
      <c r="A109" s="574" t="s">
        <v>2219</v>
      </c>
      <c r="B109" s="574" t="s">
        <v>2220</v>
      </c>
      <c r="C109" s="574" t="s">
        <v>2221</v>
      </c>
      <c r="D109" s="574" t="s">
        <v>2220</v>
      </c>
      <c r="E109" s="574" t="s">
        <v>2222</v>
      </c>
      <c r="F109" s="574" t="s">
        <v>2223</v>
      </c>
      <c r="G109" s="574" t="s">
        <v>2224</v>
      </c>
      <c r="H109" s="574" t="s">
        <v>2225</v>
      </c>
      <c r="I109" s="574" t="s">
        <v>2226</v>
      </c>
      <c r="J109" s="574" t="s">
        <v>2227</v>
      </c>
      <c r="K109" s="574" t="s">
        <v>2228</v>
      </c>
      <c r="L109" s="574" t="s">
        <v>2229</v>
      </c>
      <c r="M109" s="574" t="s">
        <v>2230</v>
      </c>
      <c r="N109" s="574" t="s">
        <v>2231</v>
      </c>
      <c r="O109" s="574" t="s">
        <v>2232</v>
      </c>
      <c r="P109" s="574" t="s">
        <v>2233</v>
      </c>
      <c r="Q109" s="574" t="s">
        <v>2234</v>
      </c>
      <c r="R109" s="574" t="s">
        <v>2225</v>
      </c>
      <c r="S109" s="574" t="s">
        <v>2235</v>
      </c>
      <c r="T109" s="574" t="s">
        <v>2236</v>
      </c>
      <c r="U109" s="574" t="s">
        <v>2462</v>
      </c>
      <c r="V109" s="574" t="s">
        <v>2238</v>
      </c>
      <c r="W109" s="574" t="s">
        <v>2239</v>
      </c>
      <c r="X109" s="574" t="s">
        <v>2463</v>
      </c>
      <c r="Y109" s="575" t="s">
        <v>2464</v>
      </c>
      <c r="Z109" s="575" t="s">
        <v>2464</v>
      </c>
      <c r="AA109" s="574" t="s">
        <v>1688</v>
      </c>
      <c r="AB109" s="574" t="s">
        <v>2430</v>
      </c>
      <c r="AC109" s="574" t="s">
        <v>2431</v>
      </c>
      <c r="AD109" s="574" t="s">
        <v>99</v>
      </c>
      <c r="AE109" s="574" t="s">
        <v>1531</v>
      </c>
      <c r="AF109" s="574" t="s">
        <v>99</v>
      </c>
      <c r="AG109" s="576">
        <v>436518</v>
      </c>
    </row>
    <row r="110" spans="1:33" hidden="1" x14ac:dyDescent="0.25">
      <c r="A110" s="574" t="s">
        <v>2219</v>
      </c>
      <c r="B110" s="574" t="s">
        <v>2220</v>
      </c>
      <c r="C110" s="574" t="s">
        <v>2221</v>
      </c>
      <c r="D110" s="574" t="s">
        <v>2220</v>
      </c>
      <c r="E110" s="574" t="s">
        <v>2222</v>
      </c>
      <c r="F110" s="574" t="s">
        <v>2223</v>
      </c>
      <c r="G110" s="574" t="s">
        <v>2224</v>
      </c>
      <c r="H110" s="574" t="s">
        <v>2225</v>
      </c>
      <c r="I110" s="574" t="s">
        <v>2226</v>
      </c>
      <c r="J110" s="574" t="s">
        <v>2227</v>
      </c>
      <c r="K110" s="574" t="s">
        <v>2228</v>
      </c>
      <c r="L110" s="574" t="s">
        <v>2229</v>
      </c>
      <c r="M110" s="574" t="s">
        <v>2230</v>
      </c>
      <c r="N110" s="574" t="s">
        <v>2231</v>
      </c>
      <c r="O110" s="574" t="s">
        <v>2759</v>
      </c>
      <c r="P110" s="574" t="s">
        <v>2932</v>
      </c>
      <c r="Q110" s="574" t="s">
        <v>2234</v>
      </c>
      <c r="R110" s="574" t="s">
        <v>2225</v>
      </c>
      <c r="S110" s="574" t="s">
        <v>2235</v>
      </c>
      <c r="T110" s="574" t="s">
        <v>2236</v>
      </c>
      <c r="U110" s="574" t="s">
        <v>2577</v>
      </c>
      <c r="V110" s="574" t="s">
        <v>2238</v>
      </c>
      <c r="W110" s="574" t="s">
        <v>2239</v>
      </c>
      <c r="X110" s="574" t="s">
        <v>2578</v>
      </c>
      <c r="Y110" s="575" t="s">
        <v>2579</v>
      </c>
      <c r="Z110" s="575" t="s">
        <v>2579</v>
      </c>
      <c r="AA110" s="574" t="s">
        <v>1688</v>
      </c>
      <c r="AB110" s="574" t="s">
        <v>2430</v>
      </c>
      <c r="AC110" s="574" t="s">
        <v>2431</v>
      </c>
      <c r="AD110" s="574" t="s">
        <v>99</v>
      </c>
      <c r="AE110" s="574" t="s">
        <v>1531</v>
      </c>
      <c r="AF110" s="574" t="s">
        <v>99</v>
      </c>
      <c r="AG110" s="576">
        <v>471506.2</v>
      </c>
    </row>
    <row r="111" spans="1:33" hidden="1" x14ac:dyDescent="0.25">
      <c r="A111" s="574" t="s">
        <v>2219</v>
      </c>
      <c r="B111" s="574" t="s">
        <v>2220</v>
      </c>
      <c r="C111" s="574" t="s">
        <v>2221</v>
      </c>
      <c r="D111" s="574" t="s">
        <v>2220</v>
      </c>
      <c r="E111" s="574" t="s">
        <v>2222</v>
      </c>
      <c r="F111" s="574" t="s">
        <v>2223</v>
      </c>
      <c r="G111" s="574" t="s">
        <v>2224</v>
      </c>
      <c r="H111" s="574" t="s">
        <v>2225</v>
      </c>
      <c r="I111" s="574" t="s">
        <v>2226</v>
      </c>
      <c r="J111" s="574" t="s">
        <v>2227</v>
      </c>
      <c r="K111" s="574" t="s">
        <v>2228</v>
      </c>
      <c r="L111" s="574" t="s">
        <v>2229</v>
      </c>
      <c r="M111" s="574" t="s">
        <v>2230</v>
      </c>
      <c r="N111" s="574" t="s">
        <v>2231</v>
      </c>
      <c r="O111" s="574" t="s">
        <v>2759</v>
      </c>
      <c r="P111" s="574" t="s">
        <v>2932</v>
      </c>
      <c r="Q111" s="574" t="s">
        <v>2234</v>
      </c>
      <c r="R111" s="574" t="s">
        <v>2225</v>
      </c>
      <c r="S111" s="574" t="s">
        <v>2235</v>
      </c>
      <c r="T111" s="574" t="s">
        <v>2236</v>
      </c>
      <c r="U111" s="574" t="s">
        <v>3239</v>
      </c>
      <c r="V111" s="574" t="s">
        <v>2238</v>
      </c>
      <c r="W111" s="574" t="s">
        <v>2239</v>
      </c>
      <c r="X111" s="574" t="s">
        <v>3240</v>
      </c>
      <c r="Y111" s="575" t="s">
        <v>2571</v>
      </c>
      <c r="Z111" s="575" t="s">
        <v>2571</v>
      </c>
      <c r="AA111" s="574" t="s">
        <v>1688</v>
      </c>
      <c r="AB111" s="574" t="s">
        <v>2430</v>
      </c>
      <c r="AC111" s="574" t="s">
        <v>2431</v>
      </c>
      <c r="AD111" s="574" t="s">
        <v>99</v>
      </c>
      <c r="AE111" s="574" t="s">
        <v>1531</v>
      </c>
      <c r="AF111" s="574" t="s">
        <v>99</v>
      </c>
      <c r="AG111" s="576">
        <v>487261</v>
      </c>
    </row>
    <row r="112" spans="1:33" hidden="1" x14ac:dyDescent="0.25">
      <c r="A112" s="574" t="s">
        <v>2219</v>
      </c>
      <c r="B112" s="574" t="s">
        <v>2220</v>
      </c>
      <c r="C112" s="574" t="s">
        <v>2221</v>
      </c>
      <c r="D112" s="574" t="s">
        <v>2220</v>
      </c>
      <c r="E112" s="574" t="s">
        <v>2222</v>
      </c>
      <c r="F112" s="574" t="s">
        <v>2223</v>
      </c>
      <c r="G112" s="574" t="s">
        <v>2224</v>
      </c>
      <c r="H112" s="574" t="s">
        <v>2225</v>
      </c>
      <c r="I112" s="574" t="s">
        <v>2226</v>
      </c>
      <c r="J112" s="574" t="s">
        <v>2227</v>
      </c>
      <c r="K112" s="574" t="s">
        <v>2228</v>
      </c>
      <c r="L112" s="574" t="s">
        <v>2229</v>
      </c>
      <c r="M112" s="574" t="s">
        <v>2230</v>
      </c>
      <c r="N112" s="574" t="s">
        <v>2231</v>
      </c>
      <c r="O112" s="574" t="s">
        <v>2759</v>
      </c>
      <c r="P112" s="574" t="s">
        <v>2932</v>
      </c>
      <c r="Q112" s="574" t="s">
        <v>2234</v>
      </c>
      <c r="R112" s="574" t="s">
        <v>2225</v>
      </c>
      <c r="S112" s="574" t="s">
        <v>2235</v>
      </c>
      <c r="T112" s="574" t="s">
        <v>2236</v>
      </c>
      <c r="U112" s="574" t="s">
        <v>2532</v>
      </c>
      <c r="V112" s="574" t="s">
        <v>2238</v>
      </c>
      <c r="W112" s="574" t="s">
        <v>2239</v>
      </c>
      <c r="X112" s="574" t="s">
        <v>2533</v>
      </c>
      <c r="Y112" s="575" t="s">
        <v>2531</v>
      </c>
      <c r="Z112" s="575" t="s">
        <v>2531</v>
      </c>
      <c r="AA112" s="574" t="s">
        <v>1688</v>
      </c>
      <c r="AB112" s="574" t="s">
        <v>2430</v>
      </c>
      <c r="AC112" s="574" t="s">
        <v>2431</v>
      </c>
      <c r="AD112" s="574" t="s">
        <v>99</v>
      </c>
      <c r="AE112" s="574" t="s">
        <v>1531</v>
      </c>
      <c r="AF112" s="574" t="s">
        <v>99</v>
      </c>
      <c r="AG112" s="576">
        <v>533958.91</v>
      </c>
    </row>
    <row r="113" spans="1:33" hidden="1" x14ac:dyDescent="0.25">
      <c r="A113" s="574" t="s">
        <v>2219</v>
      </c>
      <c r="B113" s="574" t="s">
        <v>2220</v>
      </c>
      <c r="C113" s="574" t="s">
        <v>2221</v>
      </c>
      <c r="D113" s="574" t="s">
        <v>2220</v>
      </c>
      <c r="E113" s="574" t="s">
        <v>2222</v>
      </c>
      <c r="F113" s="574" t="s">
        <v>2223</v>
      </c>
      <c r="G113" s="574" t="s">
        <v>2224</v>
      </c>
      <c r="H113" s="574" t="s">
        <v>2225</v>
      </c>
      <c r="I113" s="574" t="s">
        <v>2226</v>
      </c>
      <c r="J113" s="574" t="s">
        <v>2227</v>
      </c>
      <c r="K113" s="574" t="s">
        <v>2228</v>
      </c>
      <c r="L113" s="574" t="s">
        <v>2229</v>
      </c>
      <c r="M113" s="574" t="s">
        <v>2230</v>
      </c>
      <c r="N113" s="574" t="s">
        <v>2231</v>
      </c>
      <c r="O113" s="574" t="s">
        <v>2759</v>
      </c>
      <c r="P113" s="574" t="s">
        <v>2932</v>
      </c>
      <c r="Q113" s="574" t="s">
        <v>2234</v>
      </c>
      <c r="R113" s="574" t="s">
        <v>2225</v>
      </c>
      <c r="S113" s="574" t="s">
        <v>2235</v>
      </c>
      <c r="T113" s="574" t="s">
        <v>2236</v>
      </c>
      <c r="U113" s="574" t="s">
        <v>3164</v>
      </c>
      <c r="V113" s="574" t="s">
        <v>2238</v>
      </c>
      <c r="W113" s="574" t="s">
        <v>2239</v>
      </c>
      <c r="X113" s="574" t="s">
        <v>3165</v>
      </c>
      <c r="Y113" s="575" t="s">
        <v>2528</v>
      </c>
      <c r="Z113" s="575" t="s">
        <v>2528</v>
      </c>
      <c r="AA113" s="574" t="s">
        <v>1688</v>
      </c>
      <c r="AB113" s="574" t="s">
        <v>2430</v>
      </c>
      <c r="AC113" s="574" t="s">
        <v>2431</v>
      </c>
      <c r="AD113" s="574" t="s">
        <v>99</v>
      </c>
      <c r="AE113" s="574" t="s">
        <v>1531</v>
      </c>
      <c r="AF113" s="574" t="s">
        <v>99</v>
      </c>
      <c r="AG113" s="576">
        <v>572725</v>
      </c>
    </row>
    <row r="114" spans="1:33" hidden="1" x14ac:dyDescent="0.25">
      <c r="A114" s="574" t="s">
        <v>2219</v>
      </c>
      <c r="B114" s="574" t="s">
        <v>2220</v>
      </c>
      <c r="C114" s="574" t="s">
        <v>2221</v>
      </c>
      <c r="D114" s="574" t="s">
        <v>2220</v>
      </c>
      <c r="E114" s="574" t="s">
        <v>2222</v>
      </c>
      <c r="F114" s="574" t="s">
        <v>2223</v>
      </c>
      <c r="G114" s="574" t="s">
        <v>2224</v>
      </c>
      <c r="H114" s="574" t="s">
        <v>2225</v>
      </c>
      <c r="I114" s="574" t="s">
        <v>2226</v>
      </c>
      <c r="J114" s="574" t="s">
        <v>2227</v>
      </c>
      <c r="K114" s="574" t="s">
        <v>2228</v>
      </c>
      <c r="L114" s="574" t="s">
        <v>2229</v>
      </c>
      <c r="M114" s="574" t="s">
        <v>2230</v>
      </c>
      <c r="N114" s="574" t="s">
        <v>2231</v>
      </c>
      <c r="O114" s="574" t="s">
        <v>2232</v>
      </c>
      <c r="P114" s="574" t="s">
        <v>2233</v>
      </c>
      <c r="Q114" s="574" t="s">
        <v>2234</v>
      </c>
      <c r="R114" s="574" t="s">
        <v>2225</v>
      </c>
      <c r="S114" s="574" t="s">
        <v>2235</v>
      </c>
      <c r="T114" s="574" t="s">
        <v>2236</v>
      </c>
      <c r="U114" s="574" t="s">
        <v>2563</v>
      </c>
      <c r="V114" s="574" t="s">
        <v>2238</v>
      </c>
      <c r="W114" s="574" t="s">
        <v>2239</v>
      </c>
      <c r="X114" s="574" t="s">
        <v>2564</v>
      </c>
      <c r="Y114" s="575" t="s">
        <v>2565</v>
      </c>
      <c r="Z114" s="575" t="s">
        <v>2565</v>
      </c>
      <c r="AA114" s="574" t="s">
        <v>1688</v>
      </c>
      <c r="AB114" s="574" t="s">
        <v>2430</v>
      </c>
      <c r="AC114" s="574" t="s">
        <v>2431</v>
      </c>
      <c r="AD114" s="574" t="s">
        <v>99</v>
      </c>
      <c r="AE114" s="574" t="s">
        <v>1531</v>
      </c>
      <c r="AF114" s="574" t="s">
        <v>99</v>
      </c>
      <c r="AG114" s="576">
        <v>699300</v>
      </c>
    </row>
    <row r="115" spans="1:33" hidden="1" x14ac:dyDescent="0.25">
      <c r="A115" s="574" t="s">
        <v>2219</v>
      </c>
      <c r="B115" s="574" t="s">
        <v>2220</v>
      </c>
      <c r="C115" s="574" t="s">
        <v>2221</v>
      </c>
      <c r="D115" s="574" t="s">
        <v>2220</v>
      </c>
      <c r="E115" s="574" t="s">
        <v>2222</v>
      </c>
      <c r="F115" s="574" t="s">
        <v>2223</v>
      </c>
      <c r="G115" s="574" t="s">
        <v>2224</v>
      </c>
      <c r="H115" s="574" t="s">
        <v>2225</v>
      </c>
      <c r="I115" s="574" t="s">
        <v>2226</v>
      </c>
      <c r="J115" s="574" t="s">
        <v>2227</v>
      </c>
      <c r="K115" s="574" t="s">
        <v>2228</v>
      </c>
      <c r="L115" s="574" t="s">
        <v>2229</v>
      </c>
      <c r="M115" s="574" t="s">
        <v>2230</v>
      </c>
      <c r="N115" s="574" t="s">
        <v>2231</v>
      </c>
      <c r="O115" s="574" t="s">
        <v>2232</v>
      </c>
      <c r="P115" s="574" t="s">
        <v>2233</v>
      </c>
      <c r="Q115" s="574" t="s">
        <v>2234</v>
      </c>
      <c r="R115" s="574" t="s">
        <v>2225</v>
      </c>
      <c r="S115" s="574" t="s">
        <v>2235</v>
      </c>
      <c r="T115" s="574" t="s">
        <v>2236</v>
      </c>
      <c r="U115" s="574" t="s">
        <v>2434</v>
      </c>
      <c r="V115" s="574" t="s">
        <v>2238</v>
      </c>
      <c r="W115" s="574" t="s">
        <v>2239</v>
      </c>
      <c r="X115" s="574" t="s">
        <v>2435</v>
      </c>
      <c r="Y115" s="575" t="s">
        <v>2429</v>
      </c>
      <c r="Z115" s="575" t="s">
        <v>2429</v>
      </c>
      <c r="AA115" s="574" t="s">
        <v>1688</v>
      </c>
      <c r="AB115" s="574" t="s">
        <v>2430</v>
      </c>
      <c r="AC115" s="574" t="s">
        <v>2431</v>
      </c>
      <c r="AD115" s="574" t="s">
        <v>99</v>
      </c>
      <c r="AE115" s="574" t="s">
        <v>1531</v>
      </c>
      <c r="AF115" s="574" t="s">
        <v>99</v>
      </c>
      <c r="AG115" s="576">
        <v>791125</v>
      </c>
    </row>
    <row r="116" spans="1:33" hidden="1" x14ac:dyDescent="0.25">
      <c r="A116" s="574" t="s">
        <v>2219</v>
      </c>
      <c r="B116" s="574" t="s">
        <v>2220</v>
      </c>
      <c r="C116" s="574" t="s">
        <v>2221</v>
      </c>
      <c r="D116" s="574" t="s">
        <v>2220</v>
      </c>
      <c r="E116" s="574" t="s">
        <v>2222</v>
      </c>
      <c r="F116" s="574" t="s">
        <v>2223</v>
      </c>
      <c r="G116" s="574" t="s">
        <v>2224</v>
      </c>
      <c r="H116" s="574" t="s">
        <v>2225</v>
      </c>
      <c r="I116" s="574" t="s">
        <v>2226</v>
      </c>
      <c r="J116" s="574" t="s">
        <v>2227</v>
      </c>
      <c r="K116" s="574" t="s">
        <v>2228</v>
      </c>
      <c r="L116" s="574" t="s">
        <v>2229</v>
      </c>
      <c r="M116" s="574" t="s">
        <v>2230</v>
      </c>
      <c r="N116" s="574" t="s">
        <v>2231</v>
      </c>
      <c r="O116" s="574" t="s">
        <v>2232</v>
      </c>
      <c r="P116" s="574" t="s">
        <v>2233</v>
      </c>
      <c r="Q116" s="574" t="s">
        <v>2234</v>
      </c>
      <c r="R116" s="574" t="s">
        <v>2225</v>
      </c>
      <c r="S116" s="574" t="s">
        <v>2235</v>
      </c>
      <c r="T116" s="574" t="s">
        <v>2236</v>
      </c>
      <c r="U116" s="574" t="s">
        <v>2485</v>
      </c>
      <c r="V116" s="574" t="s">
        <v>2238</v>
      </c>
      <c r="W116" s="574" t="s">
        <v>2239</v>
      </c>
      <c r="X116" s="574" t="s">
        <v>2486</v>
      </c>
      <c r="Y116" s="575" t="s">
        <v>2484</v>
      </c>
      <c r="Z116" s="575" t="s">
        <v>2484</v>
      </c>
      <c r="AA116" s="574" t="s">
        <v>1688</v>
      </c>
      <c r="AB116" s="574" t="s">
        <v>2430</v>
      </c>
      <c r="AC116" s="574" t="s">
        <v>2431</v>
      </c>
      <c r="AD116" s="574" t="s">
        <v>99</v>
      </c>
      <c r="AE116" s="574" t="s">
        <v>1531</v>
      </c>
      <c r="AF116" s="574" t="s">
        <v>99</v>
      </c>
      <c r="AG116" s="576">
        <v>851100</v>
      </c>
    </row>
    <row r="117" spans="1:33" hidden="1" x14ac:dyDescent="0.25">
      <c r="A117" s="574" t="s">
        <v>2219</v>
      </c>
      <c r="B117" s="574" t="s">
        <v>2220</v>
      </c>
      <c r="C117" s="574" t="s">
        <v>2221</v>
      </c>
      <c r="D117" s="574" t="s">
        <v>2220</v>
      </c>
      <c r="E117" s="574" t="s">
        <v>2222</v>
      </c>
      <c r="F117" s="574" t="s">
        <v>2223</v>
      </c>
      <c r="G117" s="574" t="s">
        <v>2224</v>
      </c>
      <c r="H117" s="574" t="s">
        <v>2225</v>
      </c>
      <c r="I117" s="574" t="s">
        <v>2226</v>
      </c>
      <c r="J117" s="574" t="s">
        <v>2227</v>
      </c>
      <c r="K117" s="574" t="s">
        <v>2228</v>
      </c>
      <c r="L117" s="574" t="s">
        <v>2229</v>
      </c>
      <c r="M117" s="574" t="s">
        <v>2230</v>
      </c>
      <c r="N117" s="574" t="s">
        <v>2231</v>
      </c>
      <c r="O117" s="574" t="s">
        <v>2232</v>
      </c>
      <c r="P117" s="574" t="s">
        <v>2233</v>
      </c>
      <c r="Q117" s="574" t="s">
        <v>2234</v>
      </c>
      <c r="R117" s="574" t="s">
        <v>2225</v>
      </c>
      <c r="S117" s="574" t="s">
        <v>2235</v>
      </c>
      <c r="T117" s="574" t="s">
        <v>2236</v>
      </c>
      <c r="U117" s="574" t="s">
        <v>2427</v>
      </c>
      <c r="V117" s="574" t="s">
        <v>2238</v>
      </c>
      <c r="W117" s="574" t="s">
        <v>2239</v>
      </c>
      <c r="X117" s="574" t="s">
        <v>2428</v>
      </c>
      <c r="Y117" s="575" t="s">
        <v>2429</v>
      </c>
      <c r="Z117" s="575" t="s">
        <v>2429</v>
      </c>
      <c r="AA117" s="574" t="s">
        <v>1688</v>
      </c>
      <c r="AB117" s="574" t="s">
        <v>2430</v>
      </c>
      <c r="AC117" s="574" t="s">
        <v>2431</v>
      </c>
      <c r="AD117" s="574" t="s">
        <v>99</v>
      </c>
      <c r="AE117" s="574" t="s">
        <v>1531</v>
      </c>
      <c r="AF117" s="574" t="s">
        <v>99</v>
      </c>
      <c r="AG117" s="576">
        <v>929768</v>
      </c>
    </row>
    <row r="118" spans="1:33" hidden="1" x14ac:dyDescent="0.25">
      <c r="A118" s="574" t="s">
        <v>2219</v>
      </c>
      <c r="B118" s="574" t="s">
        <v>2220</v>
      </c>
      <c r="C118" s="574" t="s">
        <v>2221</v>
      </c>
      <c r="D118" s="574" t="s">
        <v>2220</v>
      </c>
      <c r="E118" s="574" t="s">
        <v>2222</v>
      </c>
      <c r="F118" s="574" t="s">
        <v>2223</v>
      </c>
      <c r="G118" s="574" t="s">
        <v>2224</v>
      </c>
      <c r="H118" s="574" t="s">
        <v>2225</v>
      </c>
      <c r="I118" s="574" t="s">
        <v>2226</v>
      </c>
      <c r="J118" s="574" t="s">
        <v>2227</v>
      </c>
      <c r="K118" s="574" t="s">
        <v>2228</v>
      </c>
      <c r="L118" s="574" t="s">
        <v>2229</v>
      </c>
      <c r="M118" s="574" t="s">
        <v>2230</v>
      </c>
      <c r="N118" s="574" t="s">
        <v>2231</v>
      </c>
      <c r="O118" s="574" t="s">
        <v>2232</v>
      </c>
      <c r="P118" s="574" t="s">
        <v>2233</v>
      </c>
      <c r="Q118" s="574" t="s">
        <v>2234</v>
      </c>
      <c r="R118" s="574" t="s">
        <v>2225</v>
      </c>
      <c r="S118" s="574" t="s">
        <v>2235</v>
      </c>
      <c r="T118" s="574" t="s">
        <v>2236</v>
      </c>
      <c r="U118" s="574" t="s">
        <v>2436</v>
      </c>
      <c r="V118" s="574" t="s">
        <v>2238</v>
      </c>
      <c r="W118" s="574" t="s">
        <v>2239</v>
      </c>
      <c r="X118" s="574" t="s">
        <v>2437</v>
      </c>
      <c r="Y118" s="575" t="s">
        <v>2429</v>
      </c>
      <c r="Z118" s="575" t="s">
        <v>2429</v>
      </c>
      <c r="AA118" s="574" t="s">
        <v>1688</v>
      </c>
      <c r="AB118" s="574" t="s">
        <v>2430</v>
      </c>
      <c r="AC118" s="574" t="s">
        <v>2431</v>
      </c>
      <c r="AD118" s="574" t="s">
        <v>99</v>
      </c>
      <c r="AE118" s="574" t="s">
        <v>1531</v>
      </c>
      <c r="AF118" s="574" t="s">
        <v>99</v>
      </c>
      <c r="AG118" s="576">
        <v>1253100</v>
      </c>
    </row>
    <row r="119" spans="1:33" hidden="1" x14ac:dyDescent="0.25">
      <c r="A119" s="574" t="s">
        <v>2219</v>
      </c>
      <c r="B119" s="574" t="s">
        <v>2220</v>
      </c>
      <c r="C119" s="574" t="s">
        <v>2221</v>
      </c>
      <c r="D119" s="574" t="s">
        <v>2220</v>
      </c>
      <c r="E119" s="574" t="s">
        <v>2222</v>
      </c>
      <c r="F119" s="574" t="s">
        <v>2223</v>
      </c>
      <c r="G119" s="574" t="s">
        <v>2224</v>
      </c>
      <c r="H119" s="574" t="s">
        <v>2225</v>
      </c>
      <c r="I119" s="574" t="s">
        <v>3638</v>
      </c>
      <c r="J119" s="574" t="s">
        <v>3639</v>
      </c>
      <c r="K119" s="574" t="s">
        <v>2228</v>
      </c>
      <c r="L119" s="574" t="s">
        <v>2229</v>
      </c>
      <c r="M119" s="574" t="s">
        <v>2230</v>
      </c>
      <c r="N119" s="574" t="s">
        <v>2231</v>
      </c>
      <c r="O119" s="574" t="s">
        <v>2232</v>
      </c>
      <c r="P119" s="574" t="s">
        <v>2233</v>
      </c>
      <c r="Q119" s="574" t="s">
        <v>2234</v>
      </c>
      <c r="R119" s="574" t="s">
        <v>2225</v>
      </c>
      <c r="S119" s="574" t="s">
        <v>2235</v>
      </c>
      <c r="T119" s="574" t="s">
        <v>2236</v>
      </c>
      <c r="U119" s="574" t="s">
        <v>3646</v>
      </c>
      <c r="V119" s="574" t="s">
        <v>2238</v>
      </c>
      <c r="W119" s="574" t="s">
        <v>2239</v>
      </c>
      <c r="X119" s="574" t="s">
        <v>3647</v>
      </c>
      <c r="Y119" s="575" t="s">
        <v>2543</v>
      </c>
      <c r="Z119" s="575" t="s">
        <v>2543</v>
      </c>
      <c r="AA119" s="574" t="s">
        <v>1689</v>
      </c>
      <c r="AB119" s="574" t="s">
        <v>3648</v>
      </c>
      <c r="AC119" s="574" t="s">
        <v>3649</v>
      </c>
      <c r="AD119" s="574" t="s">
        <v>3650</v>
      </c>
      <c r="AE119" s="574" t="s">
        <v>3651</v>
      </c>
      <c r="AF119" s="574" t="s">
        <v>3650</v>
      </c>
      <c r="AG119" s="576">
        <v>122460.17</v>
      </c>
    </row>
    <row r="120" spans="1:33" hidden="1" x14ac:dyDescent="0.25">
      <c r="A120" s="574" t="s">
        <v>2219</v>
      </c>
      <c r="B120" s="574" t="s">
        <v>2220</v>
      </c>
      <c r="C120" s="574" t="s">
        <v>2221</v>
      </c>
      <c r="D120" s="574" t="s">
        <v>2220</v>
      </c>
      <c r="E120" s="574" t="s">
        <v>2222</v>
      </c>
      <c r="F120" s="574" t="s">
        <v>2223</v>
      </c>
      <c r="G120" s="574" t="s">
        <v>2224</v>
      </c>
      <c r="H120" s="574" t="s">
        <v>2225</v>
      </c>
      <c r="I120" s="574" t="s">
        <v>3638</v>
      </c>
      <c r="J120" s="574" t="s">
        <v>3639</v>
      </c>
      <c r="K120" s="574" t="s">
        <v>2228</v>
      </c>
      <c r="L120" s="574" t="s">
        <v>2229</v>
      </c>
      <c r="M120" s="574" t="s">
        <v>2230</v>
      </c>
      <c r="N120" s="574" t="s">
        <v>2231</v>
      </c>
      <c r="O120" s="574" t="s">
        <v>2232</v>
      </c>
      <c r="P120" s="574" t="s">
        <v>2233</v>
      </c>
      <c r="Q120" s="574" t="s">
        <v>2234</v>
      </c>
      <c r="R120" s="574" t="s">
        <v>2225</v>
      </c>
      <c r="S120" s="574" t="s">
        <v>2235</v>
      </c>
      <c r="T120" s="574" t="s">
        <v>2236</v>
      </c>
      <c r="U120" s="574" t="s">
        <v>3652</v>
      </c>
      <c r="V120" s="574" t="s">
        <v>2238</v>
      </c>
      <c r="W120" s="574" t="s">
        <v>2239</v>
      </c>
      <c r="X120" s="574" t="s">
        <v>2725</v>
      </c>
      <c r="Y120" s="575" t="s">
        <v>2565</v>
      </c>
      <c r="Z120" s="575" t="s">
        <v>2565</v>
      </c>
      <c r="AA120" s="574" t="s">
        <v>1689</v>
      </c>
      <c r="AB120" s="574" t="s">
        <v>3648</v>
      </c>
      <c r="AC120" s="574" t="s">
        <v>3653</v>
      </c>
      <c r="AD120" s="574" t="s">
        <v>101</v>
      </c>
      <c r="AE120" s="574" t="s">
        <v>3654</v>
      </c>
      <c r="AF120" s="574" t="s">
        <v>101</v>
      </c>
      <c r="AG120" s="576">
        <v>518019.87</v>
      </c>
    </row>
    <row r="121" spans="1:33" hidden="1" x14ac:dyDescent="0.25">
      <c r="A121" s="574" t="s">
        <v>2219</v>
      </c>
      <c r="B121" s="574" t="s">
        <v>2220</v>
      </c>
      <c r="C121" s="574" t="s">
        <v>2221</v>
      </c>
      <c r="D121" s="574" t="s">
        <v>2220</v>
      </c>
      <c r="E121" s="574" t="s">
        <v>2222</v>
      </c>
      <c r="F121" s="574" t="s">
        <v>2223</v>
      </c>
      <c r="G121" s="574" t="s">
        <v>2224</v>
      </c>
      <c r="H121" s="574" t="s">
        <v>2225</v>
      </c>
      <c r="I121" s="574" t="s">
        <v>2226</v>
      </c>
      <c r="J121" s="574" t="s">
        <v>2227</v>
      </c>
      <c r="K121" s="574" t="s">
        <v>2228</v>
      </c>
      <c r="L121" s="574" t="s">
        <v>2229</v>
      </c>
      <c r="M121" s="574" t="s">
        <v>2230</v>
      </c>
      <c r="N121" s="574" t="s">
        <v>2231</v>
      </c>
      <c r="O121" s="574" t="s">
        <v>2232</v>
      </c>
      <c r="P121" s="574" t="s">
        <v>2233</v>
      </c>
      <c r="Q121" s="574" t="s">
        <v>2234</v>
      </c>
      <c r="R121" s="574" t="s">
        <v>2225</v>
      </c>
      <c r="S121" s="574" t="s">
        <v>2235</v>
      </c>
      <c r="T121" s="574" t="s">
        <v>2236</v>
      </c>
      <c r="U121" s="574" t="s">
        <v>2472</v>
      </c>
      <c r="V121" s="574" t="s">
        <v>2238</v>
      </c>
      <c r="W121" s="574" t="s">
        <v>2239</v>
      </c>
      <c r="X121" s="574" t="s">
        <v>2473</v>
      </c>
      <c r="Y121" s="575" t="s">
        <v>2474</v>
      </c>
      <c r="Z121" s="575" t="s">
        <v>2474</v>
      </c>
      <c r="AA121" s="574" t="s">
        <v>1690</v>
      </c>
      <c r="AB121" s="574" t="s">
        <v>2475</v>
      </c>
      <c r="AC121" s="574" t="s">
        <v>2476</v>
      </c>
      <c r="AD121" s="574" t="s">
        <v>104</v>
      </c>
      <c r="AE121" s="574" t="s">
        <v>1676</v>
      </c>
      <c r="AF121" s="574" t="s">
        <v>104</v>
      </c>
      <c r="AG121" s="576">
        <v>627.16999999999996</v>
      </c>
    </row>
    <row r="122" spans="1:33" hidden="1" x14ac:dyDescent="0.25">
      <c r="A122" s="574" t="s">
        <v>2219</v>
      </c>
      <c r="B122" s="574" t="s">
        <v>2220</v>
      </c>
      <c r="C122" s="574" t="s">
        <v>2221</v>
      </c>
      <c r="D122" s="574" t="s">
        <v>2220</v>
      </c>
      <c r="E122" s="574" t="s">
        <v>2222</v>
      </c>
      <c r="F122" s="574" t="s">
        <v>2223</v>
      </c>
      <c r="G122" s="574" t="s">
        <v>2224</v>
      </c>
      <c r="H122" s="574" t="s">
        <v>2225</v>
      </c>
      <c r="I122" s="574" t="s">
        <v>2226</v>
      </c>
      <c r="J122" s="574" t="s">
        <v>2227</v>
      </c>
      <c r="K122" s="574" t="s">
        <v>2228</v>
      </c>
      <c r="L122" s="574" t="s">
        <v>2229</v>
      </c>
      <c r="M122" s="574" t="s">
        <v>2230</v>
      </c>
      <c r="N122" s="574" t="s">
        <v>2231</v>
      </c>
      <c r="O122" s="574" t="s">
        <v>2232</v>
      </c>
      <c r="P122" s="574" t="s">
        <v>2233</v>
      </c>
      <c r="Q122" s="574" t="s">
        <v>2234</v>
      </c>
      <c r="R122" s="574" t="s">
        <v>2225</v>
      </c>
      <c r="S122" s="574" t="s">
        <v>2235</v>
      </c>
      <c r="T122" s="574" t="s">
        <v>2236</v>
      </c>
      <c r="U122" s="574" t="s">
        <v>2610</v>
      </c>
      <c r="V122" s="574" t="s">
        <v>2238</v>
      </c>
      <c r="W122" s="574" t="s">
        <v>2239</v>
      </c>
      <c r="X122" s="574" t="s">
        <v>2611</v>
      </c>
      <c r="Y122" s="575" t="s">
        <v>2599</v>
      </c>
      <c r="Z122" s="575" t="s">
        <v>2599</v>
      </c>
      <c r="AA122" s="574" t="s">
        <v>1690</v>
      </c>
      <c r="AB122" s="574" t="s">
        <v>2475</v>
      </c>
      <c r="AC122" s="574" t="s">
        <v>2524</v>
      </c>
      <c r="AD122" s="574" t="s">
        <v>2525</v>
      </c>
      <c r="AE122" s="574" t="s">
        <v>1457</v>
      </c>
      <c r="AF122" s="574" t="s">
        <v>2525</v>
      </c>
      <c r="AG122" s="576">
        <v>10620</v>
      </c>
    </row>
    <row r="123" spans="1:33" hidden="1" x14ac:dyDescent="0.25">
      <c r="A123" s="574" t="s">
        <v>2219</v>
      </c>
      <c r="B123" s="574" t="s">
        <v>2220</v>
      </c>
      <c r="C123" s="574" t="s">
        <v>2221</v>
      </c>
      <c r="D123" s="574" t="s">
        <v>2220</v>
      </c>
      <c r="E123" s="574" t="s">
        <v>2222</v>
      </c>
      <c r="F123" s="574" t="s">
        <v>2223</v>
      </c>
      <c r="G123" s="574" t="s">
        <v>2224</v>
      </c>
      <c r="H123" s="574" t="s">
        <v>2225</v>
      </c>
      <c r="I123" s="574" t="s">
        <v>2226</v>
      </c>
      <c r="J123" s="574" t="s">
        <v>2227</v>
      </c>
      <c r="K123" s="574" t="s">
        <v>2228</v>
      </c>
      <c r="L123" s="574" t="s">
        <v>2229</v>
      </c>
      <c r="M123" s="574" t="s">
        <v>2230</v>
      </c>
      <c r="N123" s="574" t="s">
        <v>2231</v>
      </c>
      <c r="O123" s="574" t="s">
        <v>2232</v>
      </c>
      <c r="P123" s="574" t="s">
        <v>2233</v>
      </c>
      <c r="Q123" s="574" t="s">
        <v>2234</v>
      </c>
      <c r="R123" s="574" t="s">
        <v>2225</v>
      </c>
      <c r="S123" s="574" t="s">
        <v>2235</v>
      </c>
      <c r="T123" s="574" t="s">
        <v>2236</v>
      </c>
      <c r="U123" s="574" t="s">
        <v>2577</v>
      </c>
      <c r="V123" s="574" t="s">
        <v>2238</v>
      </c>
      <c r="W123" s="574" t="s">
        <v>2239</v>
      </c>
      <c r="X123" s="574" t="s">
        <v>2578</v>
      </c>
      <c r="Y123" s="575" t="s">
        <v>2579</v>
      </c>
      <c r="Z123" s="575" t="s">
        <v>2579</v>
      </c>
      <c r="AA123" s="574" t="s">
        <v>1690</v>
      </c>
      <c r="AB123" s="574" t="s">
        <v>2475</v>
      </c>
      <c r="AC123" s="574" t="s">
        <v>2534</v>
      </c>
      <c r="AD123" s="574" t="s">
        <v>2535</v>
      </c>
      <c r="AE123" s="574" t="s">
        <v>2536</v>
      </c>
      <c r="AF123" s="574" t="s">
        <v>2535</v>
      </c>
      <c r="AG123" s="576">
        <v>11552.2</v>
      </c>
    </row>
    <row r="124" spans="1:33" hidden="1" x14ac:dyDescent="0.25">
      <c r="A124" s="574" t="s">
        <v>2219</v>
      </c>
      <c r="B124" s="574" t="s">
        <v>2220</v>
      </c>
      <c r="C124" s="574" t="s">
        <v>2221</v>
      </c>
      <c r="D124" s="574" t="s">
        <v>2220</v>
      </c>
      <c r="E124" s="574" t="s">
        <v>2222</v>
      </c>
      <c r="F124" s="574" t="s">
        <v>2223</v>
      </c>
      <c r="G124" s="574" t="s">
        <v>2224</v>
      </c>
      <c r="H124" s="574" t="s">
        <v>2225</v>
      </c>
      <c r="I124" s="574" t="s">
        <v>2226</v>
      </c>
      <c r="J124" s="574" t="s">
        <v>2227</v>
      </c>
      <c r="K124" s="574" t="s">
        <v>2228</v>
      </c>
      <c r="L124" s="574" t="s">
        <v>2229</v>
      </c>
      <c r="M124" s="574" t="s">
        <v>2230</v>
      </c>
      <c r="N124" s="574" t="s">
        <v>2231</v>
      </c>
      <c r="O124" s="574" t="s">
        <v>2232</v>
      </c>
      <c r="P124" s="574" t="s">
        <v>2233</v>
      </c>
      <c r="Q124" s="574" t="s">
        <v>2234</v>
      </c>
      <c r="R124" s="574" t="s">
        <v>2225</v>
      </c>
      <c r="S124" s="574" t="s">
        <v>2235</v>
      </c>
      <c r="T124" s="574" t="s">
        <v>2236</v>
      </c>
      <c r="U124" s="574" t="s">
        <v>2532</v>
      </c>
      <c r="V124" s="574" t="s">
        <v>2238</v>
      </c>
      <c r="W124" s="574" t="s">
        <v>2239</v>
      </c>
      <c r="X124" s="574" t="s">
        <v>2533</v>
      </c>
      <c r="Y124" s="575" t="s">
        <v>2531</v>
      </c>
      <c r="Z124" s="575" t="s">
        <v>2531</v>
      </c>
      <c r="AA124" s="574" t="s">
        <v>1690</v>
      </c>
      <c r="AB124" s="574" t="s">
        <v>2475</v>
      </c>
      <c r="AC124" s="574" t="s">
        <v>2534</v>
      </c>
      <c r="AD124" s="574" t="s">
        <v>2535</v>
      </c>
      <c r="AE124" s="574" t="s">
        <v>2536</v>
      </c>
      <c r="AF124" s="574" t="s">
        <v>2535</v>
      </c>
      <c r="AG124" s="576">
        <v>23364</v>
      </c>
    </row>
    <row r="125" spans="1:33" hidden="1" x14ac:dyDescent="0.25">
      <c r="A125" s="574" t="s">
        <v>2219</v>
      </c>
      <c r="B125" s="574" t="s">
        <v>2220</v>
      </c>
      <c r="C125" s="574" t="s">
        <v>2221</v>
      </c>
      <c r="D125" s="574" t="s">
        <v>2220</v>
      </c>
      <c r="E125" s="574" t="s">
        <v>2222</v>
      </c>
      <c r="F125" s="574" t="s">
        <v>2223</v>
      </c>
      <c r="G125" s="574" t="s">
        <v>2224</v>
      </c>
      <c r="H125" s="574" t="s">
        <v>2225</v>
      </c>
      <c r="I125" s="574" t="s">
        <v>2226</v>
      </c>
      <c r="J125" s="574" t="s">
        <v>2227</v>
      </c>
      <c r="K125" s="574" t="s">
        <v>2228</v>
      </c>
      <c r="L125" s="574" t="s">
        <v>2229</v>
      </c>
      <c r="M125" s="574" t="s">
        <v>2230</v>
      </c>
      <c r="N125" s="574" t="s">
        <v>2231</v>
      </c>
      <c r="O125" s="574" t="s">
        <v>2232</v>
      </c>
      <c r="P125" s="574" t="s">
        <v>2233</v>
      </c>
      <c r="Q125" s="574" t="s">
        <v>2234</v>
      </c>
      <c r="R125" s="574" t="s">
        <v>2225</v>
      </c>
      <c r="S125" s="574" t="s">
        <v>2235</v>
      </c>
      <c r="T125" s="574" t="s">
        <v>2236</v>
      </c>
      <c r="U125" s="574" t="s">
        <v>2529</v>
      </c>
      <c r="V125" s="574" t="s">
        <v>2238</v>
      </c>
      <c r="W125" s="574" t="s">
        <v>2239</v>
      </c>
      <c r="X125" s="574" t="s">
        <v>2530</v>
      </c>
      <c r="Y125" s="575" t="s">
        <v>2531</v>
      </c>
      <c r="Z125" s="575" t="s">
        <v>2531</v>
      </c>
      <c r="AA125" s="574" t="s">
        <v>1690</v>
      </c>
      <c r="AB125" s="574" t="s">
        <v>2475</v>
      </c>
      <c r="AC125" s="574" t="s">
        <v>2524</v>
      </c>
      <c r="AD125" s="574" t="s">
        <v>2525</v>
      </c>
      <c r="AE125" s="574" t="s">
        <v>1457</v>
      </c>
      <c r="AF125" s="574" t="s">
        <v>2525</v>
      </c>
      <c r="AG125" s="576">
        <v>429225</v>
      </c>
    </row>
    <row r="126" spans="1:33" hidden="1" x14ac:dyDescent="0.25">
      <c r="A126" s="574" t="s">
        <v>2219</v>
      </c>
      <c r="B126" s="574" t="s">
        <v>2220</v>
      </c>
      <c r="C126" s="574" t="s">
        <v>2221</v>
      </c>
      <c r="D126" s="574" t="s">
        <v>2220</v>
      </c>
      <c r="E126" s="574" t="s">
        <v>2222</v>
      </c>
      <c r="F126" s="574" t="s">
        <v>2223</v>
      </c>
      <c r="G126" s="574" t="s">
        <v>2224</v>
      </c>
      <c r="H126" s="574" t="s">
        <v>2225</v>
      </c>
      <c r="I126" s="574" t="s">
        <v>2226</v>
      </c>
      <c r="J126" s="574" t="s">
        <v>2227</v>
      </c>
      <c r="K126" s="574" t="s">
        <v>2228</v>
      </c>
      <c r="L126" s="574" t="s">
        <v>2229</v>
      </c>
      <c r="M126" s="574" t="s">
        <v>2230</v>
      </c>
      <c r="N126" s="574" t="s">
        <v>2231</v>
      </c>
      <c r="O126" s="574" t="s">
        <v>2232</v>
      </c>
      <c r="P126" s="574" t="s">
        <v>2233</v>
      </c>
      <c r="Q126" s="574" t="s">
        <v>2234</v>
      </c>
      <c r="R126" s="574" t="s">
        <v>2225</v>
      </c>
      <c r="S126" s="574" t="s">
        <v>2235</v>
      </c>
      <c r="T126" s="574" t="s">
        <v>2236</v>
      </c>
      <c r="U126" s="574" t="s">
        <v>2522</v>
      </c>
      <c r="V126" s="574" t="s">
        <v>2238</v>
      </c>
      <c r="W126" s="574" t="s">
        <v>2239</v>
      </c>
      <c r="X126" s="574" t="s">
        <v>2523</v>
      </c>
      <c r="Y126" s="575" t="s">
        <v>2517</v>
      </c>
      <c r="Z126" s="575" t="s">
        <v>2517</v>
      </c>
      <c r="AA126" s="574" t="s">
        <v>1690</v>
      </c>
      <c r="AB126" s="574" t="s">
        <v>2475</v>
      </c>
      <c r="AC126" s="574" t="s">
        <v>2524</v>
      </c>
      <c r="AD126" s="574" t="s">
        <v>2525</v>
      </c>
      <c r="AE126" s="574" t="s">
        <v>1457</v>
      </c>
      <c r="AF126" s="574" t="s">
        <v>2525</v>
      </c>
      <c r="AG126" s="576">
        <v>435632.4</v>
      </c>
    </row>
    <row r="127" spans="1:33" hidden="1" x14ac:dyDescent="0.25">
      <c r="A127" s="574" t="s">
        <v>2219</v>
      </c>
      <c r="B127" s="574" t="s">
        <v>2220</v>
      </c>
      <c r="C127" s="574" t="s">
        <v>2221</v>
      </c>
      <c r="D127" s="574" t="s">
        <v>2220</v>
      </c>
      <c r="E127" s="574" t="s">
        <v>2222</v>
      </c>
      <c r="F127" s="574" t="s">
        <v>2223</v>
      </c>
      <c r="G127" s="574" t="s">
        <v>2224</v>
      </c>
      <c r="H127" s="574" t="s">
        <v>2225</v>
      </c>
      <c r="I127" s="574" t="s">
        <v>2226</v>
      </c>
      <c r="J127" s="574" t="s">
        <v>2227</v>
      </c>
      <c r="K127" s="574" t="s">
        <v>2228</v>
      </c>
      <c r="L127" s="574" t="s">
        <v>2229</v>
      </c>
      <c r="M127" s="574" t="s">
        <v>2230</v>
      </c>
      <c r="N127" s="574" t="s">
        <v>2231</v>
      </c>
      <c r="O127" s="574" t="s">
        <v>2232</v>
      </c>
      <c r="P127" s="574" t="s">
        <v>2233</v>
      </c>
      <c r="Q127" s="574" t="s">
        <v>2234</v>
      </c>
      <c r="R127" s="574" t="s">
        <v>2225</v>
      </c>
      <c r="S127" s="574" t="s">
        <v>2235</v>
      </c>
      <c r="T127" s="574" t="s">
        <v>2236</v>
      </c>
      <c r="U127" s="574" t="s">
        <v>2614</v>
      </c>
      <c r="V127" s="574" t="s">
        <v>2238</v>
      </c>
      <c r="W127" s="574" t="s">
        <v>2239</v>
      </c>
      <c r="X127" s="574" t="s">
        <v>2615</v>
      </c>
      <c r="Y127" s="575" t="s">
        <v>2599</v>
      </c>
      <c r="Z127" s="575" t="s">
        <v>2599</v>
      </c>
      <c r="AA127" s="574" t="s">
        <v>1691</v>
      </c>
      <c r="AB127" s="574" t="s">
        <v>2297</v>
      </c>
      <c r="AC127" s="574" t="s">
        <v>2298</v>
      </c>
      <c r="AD127" s="574" t="s">
        <v>2299</v>
      </c>
      <c r="AE127" s="574" t="s">
        <v>1468</v>
      </c>
      <c r="AF127" s="574" t="s">
        <v>2299</v>
      </c>
      <c r="AG127" s="576">
        <v>880</v>
      </c>
    </row>
    <row r="128" spans="1:33" hidden="1" x14ac:dyDescent="0.25">
      <c r="A128" s="574" t="s">
        <v>2219</v>
      </c>
      <c r="B128" s="574" t="s">
        <v>2220</v>
      </c>
      <c r="C128" s="574" t="s">
        <v>2221</v>
      </c>
      <c r="D128" s="574" t="s">
        <v>2220</v>
      </c>
      <c r="E128" s="574" t="s">
        <v>2222</v>
      </c>
      <c r="F128" s="574" t="s">
        <v>2223</v>
      </c>
      <c r="G128" s="574" t="s">
        <v>2224</v>
      </c>
      <c r="H128" s="574" t="s">
        <v>2225</v>
      </c>
      <c r="I128" s="574" t="s">
        <v>2226</v>
      </c>
      <c r="J128" s="574" t="s">
        <v>2227</v>
      </c>
      <c r="K128" s="574" t="s">
        <v>2228</v>
      </c>
      <c r="L128" s="574" t="s">
        <v>2229</v>
      </c>
      <c r="M128" s="574" t="s">
        <v>2230</v>
      </c>
      <c r="N128" s="574" t="s">
        <v>2231</v>
      </c>
      <c r="O128" s="574" t="s">
        <v>2759</v>
      </c>
      <c r="P128" s="574" t="s">
        <v>2932</v>
      </c>
      <c r="Q128" s="574" t="s">
        <v>2234</v>
      </c>
      <c r="R128" s="574" t="s">
        <v>2225</v>
      </c>
      <c r="S128" s="574" t="s">
        <v>2235</v>
      </c>
      <c r="T128" s="574" t="s">
        <v>2236</v>
      </c>
      <c r="U128" s="574" t="s">
        <v>3124</v>
      </c>
      <c r="V128" s="574" t="s">
        <v>2238</v>
      </c>
      <c r="W128" s="574" t="s">
        <v>2239</v>
      </c>
      <c r="X128" s="574" t="s">
        <v>3125</v>
      </c>
      <c r="Y128" s="575" t="s">
        <v>3123</v>
      </c>
      <c r="Z128" s="575" t="s">
        <v>3123</v>
      </c>
      <c r="AA128" s="574" t="s">
        <v>1691</v>
      </c>
      <c r="AB128" s="574" t="s">
        <v>2297</v>
      </c>
      <c r="AC128" s="574" t="s">
        <v>2298</v>
      </c>
      <c r="AD128" s="574" t="s">
        <v>2299</v>
      </c>
      <c r="AE128" s="574" t="s">
        <v>1468</v>
      </c>
      <c r="AF128" s="574" t="s">
        <v>2299</v>
      </c>
      <c r="AG128" s="576">
        <v>7500</v>
      </c>
    </row>
    <row r="129" spans="1:33" hidden="1" x14ac:dyDescent="0.25">
      <c r="A129" s="574" t="s">
        <v>2219</v>
      </c>
      <c r="B129" s="574" t="s">
        <v>2220</v>
      </c>
      <c r="C129" s="574" t="s">
        <v>2221</v>
      </c>
      <c r="D129" s="574" t="s">
        <v>2220</v>
      </c>
      <c r="E129" s="574" t="s">
        <v>2222</v>
      </c>
      <c r="F129" s="574" t="s">
        <v>2223</v>
      </c>
      <c r="G129" s="574" t="s">
        <v>2224</v>
      </c>
      <c r="H129" s="574" t="s">
        <v>2225</v>
      </c>
      <c r="I129" s="574" t="s">
        <v>2226</v>
      </c>
      <c r="J129" s="574" t="s">
        <v>2227</v>
      </c>
      <c r="K129" s="574" t="s">
        <v>2228</v>
      </c>
      <c r="L129" s="574" t="s">
        <v>2229</v>
      </c>
      <c r="M129" s="574" t="s">
        <v>2230</v>
      </c>
      <c r="N129" s="574" t="s">
        <v>2231</v>
      </c>
      <c r="O129" s="574" t="s">
        <v>2232</v>
      </c>
      <c r="P129" s="574" t="s">
        <v>2233</v>
      </c>
      <c r="Q129" s="574" t="s">
        <v>2234</v>
      </c>
      <c r="R129" s="574" t="s">
        <v>2225</v>
      </c>
      <c r="S129" s="574" t="s">
        <v>2235</v>
      </c>
      <c r="T129" s="574" t="s">
        <v>2236</v>
      </c>
      <c r="U129" s="574" t="s">
        <v>2422</v>
      </c>
      <c r="V129" s="574" t="s">
        <v>2238</v>
      </c>
      <c r="W129" s="574" t="s">
        <v>2239</v>
      </c>
      <c r="X129" s="574" t="s">
        <v>2423</v>
      </c>
      <c r="Y129" s="575" t="s">
        <v>2424</v>
      </c>
      <c r="Z129" s="575" t="s">
        <v>2424</v>
      </c>
      <c r="AA129" s="574" t="s">
        <v>1691</v>
      </c>
      <c r="AB129" s="574" t="s">
        <v>2297</v>
      </c>
      <c r="AC129" s="574" t="s">
        <v>2298</v>
      </c>
      <c r="AD129" s="574" t="s">
        <v>2299</v>
      </c>
      <c r="AE129" s="574" t="s">
        <v>1468</v>
      </c>
      <c r="AF129" s="574" t="s">
        <v>2299</v>
      </c>
      <c r="AG129" s="576">
        <v>13180</v>
      </c>
    </row>
    <row r="130" spans="1:33" hidden="1" x14ac:dyDescent="0.25">
      <c r="A130" s="574" t="s">
        <v>2219</v>
      </c>
      <c r="B130" s="574" t="s">
        <v>2220</v>
      </c>
      <c r="C130" s="574" t="s">
        <v>2221</v>
      </c>
      <c r="D130" s="574" t="s">
        <v>2220</v>
      </c>
      <c r="E130" s="574" t="s">
        <v>2222</v>
      </c>
      <c r="F130" s="574" t="s">
        <v>2223</v>
      </c>
      <c r="G130" s="574" t="s">
        <v>2224</v>
      </c>
      <c r="H130" s="574" t="s">
        <v>2225</v>
      </c>
      <c r="I130" s="574" t="s">
        <v>2226</v>
      </c>
      <c r="J130" s="574" t="s">
        <v>2227</v>
      </c>
      <c r="K130" s="574" t="s">
        <v>2228</v>
      </c>
      <c r="L130" s="574" t="s">
        <v>2229</v>
      </c>
      <c r="M130" s="574" t="s">
        <v>2230</v>
      </c>
      <c r="N130" s="574" t="s">
        <v>2231</v>
      </c>
      <c r="O130" s="574" t="s">
        <v>2759</v>
      </c>
      <c r="P130" s="574" t="s">
        <v>2932</v>
      </c>
      <c r="Q130" s="574" t="s">
        <v>2234</v>
      </c>
      <c r="R130" s="574" t="s">
        <v>2225</v>
      </c>
      <c r="S130" s="574" t="s">
        <v>2235</v>
      </c>
      <c r="T130" s="574" t="s">
        <v>2236</v>
      </c>
      <c r="U130" s="574" t="s">
        <v>3132</v>
      </c>
      <c r="V130" s="574" t="s">
        <v>2238</v>
      </c>
      <c r="W130" s="574" t="s">
        <v>2239</v>
      </c>
      <c r="X130" s="574" t="s">
        <v>3133</v>
      </c>
      <c r="Y130" s="575" t="s">
        <v>2507</v>
      </c>
      <c r="Z130" s="575" t="s">
        <v>2507</v>
      </c>
      <c r="AA130" s="574" t="s">
        <v>1691</v>
      </c>
      <c r="AB130" s="574" t="s">
        <v>2297</v>
      </c>
      <c r="AC130" s="574" t="s">
        <v>2298</v>
      </c>
      <c r="AD130" s="574" t="s">
        <v>2299</v>
      </c>
      <c r="AE130" s="574" t="s">
        <v>1468</v>
      </c>
      <c r="AF130" s="574" t="s">
        <v>2299</v>
      </c>
      <c r="AG130" s="576">
        <v>17184</v>
      </c>
    </row>
    <row r="131" spans="1:33" hidden="1" x14ac:dyDescent="0.25">
      <c r="A131" s="574" t="s">
        <v>2219</v>
      </c>
      <c r="B131" s="574" t="s">
        <v>2220</v>
      </c>
      <c r="C131" s="574" t="s">
        <v>2221</v>
      </c>
      <c r="D131" s="574" t="s">
        <v>2220</v>
      </c>
      <c r="E131" s="574" t="s">
        <v>2222</v>
      </c>
      <c r="F131" s="574" t="s">
        <v>2223</v>
      </c>
      <c r="G131" s="574" t="s">
        <v>2224</v>
      </c>
      <c r="H131" s="574" t="s">
        <v>2225</v>
      </c>
      <c r="I131" s="574" t="s">
        <v>2226</v>
      </c>
      <c r="J131" s="574" t="s">
        <v>2227</v>
      </c>
      <c r="K131" s="574" t="s">
        <v>2228</v>
      </c>
      <c r="L131" s="574" t="s">
        <v>2229</v>
      </c>
      <c r="M131" s="574" t="s">
        <v>2230</v>
      </c>
      <c r="N131" s="574" t="s">
        <v>2231</v>
      </c>
      <c r="O131" s="574" t="s">
        <v>2759</v>
      </c>
      <c r="P131" s="574" t="s">
        <v>2932</v>
      </c>
      <c r="Q131" s="574" t="s">
        <v>2234</v>
      </c>
      <c r="R131" s="574" t="s">
        <v>2225</v>
      </c>
      <c r="S131" s="574" t="s">
        <v>2235</v>
      </c>
      <c r="T131" s="574" t="s">
        <v>2236</v>
      </c>
      <c r="U131" s="574" t="s">
        <v>3233</v>
      </c>
      <c r="V131" s="574" t="s">
        <v>2238</v>
      </c>
      <c r="W131" s="574" t="s">
        <v>2239</v>
      </c>
      <c r="X131" s="574" t="s">
        <v>3234</v>
      </c>
      <c r="Y131" s="575" t="s">
        <v>2571</v>
      </c>
      <c r="Z131" s="575" t="s">
        <v>2571</v>
      </c>
      <c r="AA131" s="574" t="s">
        <v>1691</v>
      </c>
      <c r="AB131" s="574" t="s">
        <v>2297</v>
      </c>
      <c r="AC131" s="574" t="s">
        <v>2298</v>
      </c>
      <c r="AD131" s="574" t="s">
        <v>2299</v>
      </c>
      <c r="AE131" s="574" t="s">
        <v>1468</v>
      </c>
      <c r="AF131" s="574" t="s">
        <v>2299</v>
      </c>
      <c r="AG131" s="576">
        <v>28000</v>
      </c>
    </row>
    <row r="132" spans="1:33" hidden="1" x14ac:dyDescent="0.25">
      <c r="A132" s="574" t="s">
        <v>2219</v>
      </c>
      <c r="B132" s="574" t="s">
        <v>2220</v>
      </c>
      <c r="C132" s="574" t="s">
        <v>2221</v>
      </c>
      <c r="D132" s="574" t="s">
        <v>2220</v>
      </c>
      <c r="E132" s="574" t="s">
        <v>2222</v>
      </c>
      <c r="F132" s="574" t="s">
        <v>2223</v>
      </c>
      <c r="G132" s="574" t="s">
        <v>2224</v>
      </c>
      <c r="H132" s="574" t="s">
        <v>2225</v>
      </c>
      <c r="I132" s="574" t="s">
        <v>2226</v>
      </c>
      <c r="J132" s="574" t="s">
        <v>2227</v>
      </c>
      <c r="K132" s="574" t="s">
        <v>2228</v>
      </c>
      <c r="L132" s="574" t="s">
        <v>2229</v>
      </c>
      <c r="M132" s="574" t="s">
        <v>2230</v>
      </c>
      <c r="N132" s="574" t="s">
        <v>2231</v>
      </c>
      <c r="O132" s="574" t="s">
        <v>2232</v>
      </c>
      <c r="P132" s="574" t="s">
        <v>2233</v>
      </c>
      <c r="Q132" s="574" t="s">
        <v>2234</v>
      </c>
      <c r="R132" s="574" t="s">
        <v>2225</v>
      </c>
      <c r="S132" s="574" t="s">
        <v>2235</v>
      </c>
      <c r="T132" s="574" t="s">
        <v>2236</v>
      </c>
      <c r="U132" s="574" t="s">
        <v>2349</v>
      </c>
      <c r="V132" s="574" t="s">
        <v>2238</v>
      </c>
      <c r="W132" s="574" t="s">
        <v>2239</v>
      </c>
      <c r="X132" s="574" t="s">
        <v>2350</v>
      </c>
      <c r="Y132" s="575" t="s">
        <v>2346</v>
      </c>
      <c r="Z132" s="575" t="s">
        <v>2346</v>
      </c>
      <c r="AA132" s="574" t="s">
        <v>1691</v>
      </c>
      <c r="AB132" s="574" t="s">
        <v>2297</v>
      </c>
      <c r="AC132" s="574" t="s">
        <v>2298</v>
      </c>
      <c r="AD132" s="574" t="s">
        <v>2299</v>
      </c>
      <c r="AE132" s="574" t="s">
        <v>1468</v>
      </c>
      <c r="AF132" s="574" t="s">
        <v>2299</v>
      </c>
      <c r="AG132" s="576">
        <v>32500</v>
      </c>
    </row>
    <row r="133" spans="1:33" hidden="1" x14ac:dyDescent="0.25">
      <c r="A133" s="574" t="s">
        <v>2219</v>
      </c>
      <c r="B133" s="574" t="s">
        <v>2220</v>
      </c>
      <c r="C133" s="574" t="s">
        <v>2221</v>
      </c>
      <c r="D133" s="574" t="s">
        <v>2220</v>
      </c>
      <c r="E133" s="574" t="s">
        <v>2222</v>
      </c>
      <c r="F133" s="574" t="s">
        <v>2223</v>
      </c>
      <c r="G133" s="574" t="s">
        <v>2224</v>
      </c>
      <c r="H133" s="574" t="s">
        <v>2225</v>
      </c>
      <c r="I133" s="574" t="s">
        <v>2226</v>
      </c>
      <c r="J133" s="574" t="s">
        <v>2227</v>
      </c>
      <c r="K133" s="574" t="s">
        <v>2228</v>
      </c>
      <c r="L133" s="574" t="s">
        <v>2229</v>
      </c>
      <c r="M133" s="574" t="s">
        <v>2230</v>
      </c>
      <c r="N133" s="574" t="s">
        <v>2231</v>
      </c>
      <c r="O133" s="574" t="s">
        <v>2232</v>
      </c>
      <c r="P133" s="574" t="s">
        <v>2233</v>
      </c>
      <c r="Q133" s="574" t="s">
        <v>2234</v>
      </c>
      <c r="R133" s="574" t="s">
        <v>2225</v>
      </c>
      <c r="S133" s="574" t="s">
        <v>2235</v>
      </c>
      <c r="T133" s="574" t="s">
        <v>2236</v>
      </c>
      <c r="U133" s="574" t="s">
        <v>2608</v>
      </c>
      <c r="V133" s="574" t="s">
        <v>2238</v>
      </c>
      <c r="W133" s="574" t="s">
        <v>2239</v>
      </c>
      <c r="X133" s="574" t="s">
        <v>2609</v>
      </c>
      <c r="Y133" s="575" t="s">
        <v>2599</v>
      </c>
      <c r="Z133" s="575" t="s">
        <v>2599</v>
      </c>
      <c r="AA133" s="574" t="s">
        <v>1691</v>
      </c>
      <c r="AB133" s="574" t="s">
        <v>2297</v>
      </c>
      <c r="AC133" s="574" t="s">
        <v>2298</v>
      </c>
      <c r="AD133" s="574" t="s">
        <v>2299</v>
      </c>
      <c r="AE133" s="574" t="s">
        <v>1468</v>
      </c>
      <c r="AF133" s="574" t="s">
        <v>2299</v>
      </c>
      <c r="AG133" s="576">
        <v>34000</v>
      </c>
    </row>
    <row r="134" spans="1:33" hidden="1" x14ac:dyDescent="0.25">
      <c r="A134" s="574" t="s">
        <v>2219</v>
      </c>
      <c r="B134" s="574" t="s">
        <v>2220</v>
      </c>
      <c r="C134" s="574" t="s">
        <v>2221</v>
      </c>
      <c r="D134" s="574" t="s">
        <v>2220</v>
      </c>
      <c r="E134" s="574" t="s">
        <v>2222</v>
      </c>
      <c r="F134" s="574" t="s">
        <v>2223</v>
      </c>
      <c r="G134" s="574" t="s">
        <v>2224</v>
      </c>
      <c r="H134" s="574" t="s">
        <v>2225</v>
      </c>
      <c r="I134" s="574" t="s">
        <v>2226</v>
      </c>
      <c r="J134" s="574" t="s">
        <v>2227</v>
      </c>
      <c r="K134" s="574" t="s">
        <v>2228</v>
      </c>
      <c r="L134" s="574" t="s">
        <v>2229</v>
      </c>
      <c r="M134" s="574" t="s">
        <v>2230</v>
      </c>
      <c r="N134" s="574" t="s">
        <v>2231</v>
      </c>
      <c r="O134" s="574" t="s">
        <v>2759</v>
      </c>
      <c r="P134" s="574" t="s">
        <v>2932</v>
      </c>
      <c r="Q134" s="574" t="s">
        <v>2234</v>
      </c>
      <c r="R134" s="574" t="s">
        <v>2225</v>
      </c>
      <c r="S134" s="574" t="s">
        <v>2235</v>
      </c>
      <c r="T134" s="574" t="s">
        <v>2236</v>
      </c>
      <c r="U134" s="574" t="s">
        <v>3017</v>
      </c>
      <c r="V134" s="574" t="s">
        <v>2238</v>
      </c>
      <c r="W134" s="574" t="s">
        <v>2239</v>
      </c>
      <c r="X134" s="574" t="s">
        <v>3018</v>
      </c>
      <c r="Y134" s="575" t="s">
        <v>2429</v>
      </c>
      <c r="Z134" s="575" t="s">
        <v>2429</v>
      </c>
      <c r="AA134" s="574" t="s">
        <v>1691</v>
      </c>
      <c r="AB134" s="574" t="s">
        <v>2297</v>
      </c>
      <c r="AC134" s="574" t="s">
        <v>2298</v>
      </c>
      <c r="AD134" s="574" t="s">
        <v>2299</v>
      </c>
      <c r="AE134" s="574" t="s">
        <v>1468</v>
      </c>
      <c r="AF134" s="574" t="s">
        <v>2299</v>
      </c>
      <c r="AG134" s="576">
        <v>37500</v>
      </c>
    </row>
    <row r="135" spans="1:33" hidden="1" x14ac:dyDescent="0.25">
      <c r="A135" s="574" t="s">
        <v>2219</v>
      </c>
      <c r="B135" s="574" t="s">
        <v>2220</v>
      </c>
      <c r="C135" s="574" t="s">
        <v>2221</v>
      </c>
      <c r="D135" s="574" t="s">
        <v>2220</v>
      </c>
      <c r="E135" s="574" t="s">
        <v>2222</v>
      </c>
      <c r="F135" s="574" t="s">
        <v>2223</v>
      </c>
      <c r="G135" s="574" t="s">
        <v>2224</v>
      </c>
      <c r="H135" s="574" t="s">
        <v>2225</v>
      </c>
      <c r="I135" s="574" t="s">
        <v>2226</v>
      </c>
      <c r="J135" s="574" t="s">
        <v>2227</v>
      </c>
      <c r="K135" s="574" t="s">
        <v>2228</v>
      </c>
      <c r="L135" s="574" t="s">
        <v>2229</v>
      </c>
      <c r="M135" s="574" t="s">
        <v>2230</v>
      </c>
      <c r="N135" s="574" t="s">
        <v>2231</v>
      </c>
      <c r="O135" s="574" t="s">
        <v>2759</v>
      </c>
      <c r="P135" s="574" t="s">
        <v>2932</v>
      </c>
      <c r="Q135" s="574" t="s">
        <v>2234</v>
      </c>
      <c r="R135" s="574" t="s">
        <v>2225</v>
      </c>
      <c r="S135" s="574" t="s">
        <v>2235</v>
      </c>
      <c r="T135" s="574" t="s">
        <v>2236</v>
      </c>
      <c r="U135" s="574" t="s">
        <v>3061</v>
      </c>
      <c r="V135" s="574" t="s">
        <v>2238</v>
      </c>
      <c r="W135" s="574" t="s">
        <v>2239</v>
      </c>
      <c r="X135" s="574" t="s">
        <v>3062</v>
      </c>
      <c r="Y135" s="575" t="s">
        <v>2481</v>
      </c>
      <c r="Z135" s="575" t="s">
        <v>2481</v>
      </c>
      <c r="AA135" s="574" t="s">
        <v>1691</v>
      </c>
      <c r="AB135" s="574" t="s">
        <v>2297</v>
      </c>
      <c r="AC135" s="574" t="s">
        <v>2298</v>
      </c>
      <c r="AD135" s="574" t="s">
        <v>2299</v>
      </c>
      <c r="AE135" s="574" t="s">
        <v>1468</v>
      </c>
      <c r="AF135" s="574" t="s">
        <v>2299</v>
      </c>
      <c r="AG135" s="576">
        <v>37720</v>
      </c>
    </row>
    <row r="136" spans="1:33" hidden="1" x14ac:dyDescent="0.25">
      <c r="A136" s="574" t="s">
        <v>2219</v>
      </c>
      <c r="B136" s="574" t="s">
        <v>2220</v>
      </c>
      <c r="C136" s="574" t="s">
        <v>2221</v>
      </c>
      <c r="D136" s="574" t="s">
        <v>2220</v>
      </c>
      <c r="E136" s="574" t="s">
        <v>2222</v>
      </c>
      <c r="F136" s="574" t="s">
        <v>2223</v>
      </c>
      <c r="G136" s="574" t="s">
        <v>2224</v>
      </c>
      <c r="H136" s="574" t="s">
        <v>2225</v>
      </c>
      <c r="I136" s="574" t="s">
        <v>2226</v>
      </c>
      <c r="J136" s="574" t="s">
        <v>2227</v>
      </c>
      <c r="K136" s="574" t="s">
        <v>2228</v>
      </c>
      <c r="L136" s="574" t="s">
        <v>2229</v>
      </c>
      <c r="M136" s="574" t="s">
        <v>2230</v>
      </c>
      <c r="N136" s="574" t="s">
        <v>2231</v>
      </c>
      <c r="O136" s="574" t="s">
        <v>2759</v>
      </c>
      <c r="P136" s="574" t="s">
        <v>2932</v>
      </c>
      <c r="Q136" s="574" t="s">
        <v>2234</v>
      </c>
      <c r="R136" s="574" t="s">
        <v>2225</v>
      </c>
      <c r="S136" s="574" t="s">
        <v>2235</v>
      </c>
      <c r="T136" s="574" t="s">
        <v>2236</v>
      </c>
      <c r="U136" s="574" t="s">
        <v>3077</v>
      </c>
      <c r="V136" s="574" t="s">
        <v>2238</v>
      </c>
      <c r="W136" s="574" t="s">
        <v>2239</v>
      </c>
      <c r="X136" s="574" t="s">
        <v>3078</v>
      </c>
      <c r="Y136" s="575" t="s">
        <v>3070</v>
      </c>
      <c r="Z136" s="575" t="s">
        <v>3070</v>
      </c>
      <c r="AA136" s="574" t="s">
        <v>1691</v>
      </c>
      <c r="AB136" s="574" t="s">
        <v>2297</v>
      </c>
      <c r="AC136" s="574" t="s">
        <v>2298</v>
      </c>
      <c r="AD136" s="574" t="s">
        <v>2299</v>
      </c>
      <c r="AE136" s="574" t="s">
        <v>1468</v>
      </c>
      <c r="AF136" s="574" t="s">
        <v>2299</v>
      </c>
      <c r="AG136" s="576">
        <v>41250</v>
      </c>
    </row>
    <row r="137" spans="1:33" hidden="1" x14ac:dyDescent="0.25">
      <c r="A137" s="574" t="s">
        <v>2219</v>
      </c>
      <c r="B137" s="574" t="s">
        <v>2220</v>
      </c>
      <c r="C137" s="574" t="s">
        <v>2221</v>
      </c>
      <c r="D137" s="574" t="s">
        <v>2220</v>
      </c>
      <c r="E137" s="574" t="s">
        <v>2222</v>
      </c>
      <c r="F137" s="574" t="s">
        <v>2223</v>
      </c>
      <c r="G137" s="574" t="s">
        <v>2224</v>
      </c>
      <c r="H137" s="574" t="s">
        <v>2225</v>
      </c>
      <c r="I137" s="574" t="s">
        <v>2226</v>
      </c>
      <c r="J137" s="574" t="s">
        <v>2227</v>
      </c>
      <c r="K137" s="574" t="s">
        <v>2228</v>
      </c>
      <c r="L137" s="574" t="s">
        <v>2229</v>
      </c>
      <c r="M137" s="574" t="s">
        <v>2230</v>
      </c>
      <c r="N137" s="574" t="s">
        <v>2231</v>
      </c>
      <c r="O137" s="574" t="s">
        <v>2759</v>
      </c>
      <c r="P137" s="574" t="s">
        <v>2932</v>
      </c>
      <c r="Q137" s="574" t="s">
        <v>2234</v>
      </c>
      <c r="R137" s="574" t="s">
        <v>2225</v>
      </c>
      <c r="S137" s="574" t="s">
        <v>2235</v>
      </c>
      <c r="T137" s="574" t="s">
        <v>2236</v>
      </c>
      <c r="U137" s="574" t="s">
        <v>3013</v>
      </c>
      <c r="V137" s="574" t="s">
        <v>2238</v>
      </c>
      <c r="W137" s="574" t="s">
        <v>2239</v>
      </c>
      <c r="X137" s="574" t="s">
        <v>3014</v>
      </c>
      <c r="Y137" s="575" t="s">
        <v>2429</v>
      </c>
      <c r="Z137" s="575" t="s">
        <v>2429</v>
      </c>
      <c r="AA137" s="574" t="s">
        <v>1691</v>
      </c>
      <c r="AB137" s="574" t="s">
        <v>2297</v>
      </c>
      <c r="AC137" s="574" t="s">
        <v>2298</v>
      </c>
      <c r="AD137" s="574" t="s">
        <v>2299</v>
      </c>
      <c r="AE137" s="574" t="s">
        <v>1468</v>
      </c>
      <c r="AF137" s="574" t="s">
        <v>2299</v>
      </c>
      <c r="AG137" s="576">
        <v>41820</v>
      </c>
    </row>
    <row r="138" spans="1:33" hidden="1" x14ac:dyDescent="0.25">
      <c r="A138" s="574" t="s">
        <v>2219</v>
      </c>
      <c r="B138" s="574" t="s">
        <v>2220</v>
      </c>
      <c r="C138" s="574" t="s">
        <v>2221</v>
      </c>
      <c r="D138" s="574" t="s">
        <v>2220</v>
      </c>
      <c r="E138" s="574" t="s">
        <v>2222</v>
      </c>
      <c r="F138" s="574" t="s">
        <v>2223</v>
      </c>
      <c r="G138" s="574" t="s">
        <v>2224</v>
      </c>
      <c r="H138" s="574" t="s">
        <v>2225</v>
      </c>
      <c r="I138" s="574" t="s">
        <v>2226</v>
      </c>
      <c r="J138" s="574" t="s">
        <v>2227</v>
      </c>
      <c r="K138" s="574" t="s">
        <v>2228</v>
      </c>
      <c r="L138" s="574" t="s">
        <v>2229</v>
      </c>
      <c r="M138" s="574" t="s">
        <v>2230</v>
      </c>
      <c r="N138" s="574" t="s">
        <v>2231</v>
      </c>
      <c r="O138" s="574" t="s">
        <v>2232</v>
      </c>
      <c r="P138" s="574" t="s">
        <v>2233</v>
      </c>
      <c r="Q138" s="574" t="s">
        <v>2234</v>
      </c>
      <c r="R138" s="574" t="s">
        <v>2225</v>
      </c>
      <c r="S138" s="574" t="s">
        <v>2235</v>
      </c>
      <c r="T138" s="574" t="s">
        <v>2236</v>
      </c>
      <c r="U138" s="574" t="s">
        <v>2584</v>
      </c>
      <c r="V138" s="574" t="s">
        <v>2238</v>
      </c>
      <c r="W138" s="574" t="s">
        <v>2239</v>
      </c>
      <c r="X138" s="574" t="s">
        <v>2585</v>
      </c>
      <c r="Y138" s="575" t="s">
        <v>2586</v>
      </c>
      <c r="Z138" s="575" t="s">
        <v>2586</v>
      </c>
      <c r="AA138" s="574" t="s">
        <v>1691</v>
      </c>
      <c r="AB138" s="574" t="s">
        <v>2297</v>
      </c>
      <c r="AC138" s="574" t="s">
        <v>2298</v>
      </c>
      <c r="AD138" s="574" t="s">
        <v>2299</v>
      </c>
      <c r="AE138" s="574" t="s">
        <v>1468</v>
      </c>
      <c r="AF138" s="574" t="s">
        <v>2299</v>
      </c>
      <c r="AG138" s="576">
        <v>43750</v>
      </c>
    </row>
    <row r="139" spans="1:33" hidden="1" x14ac:dyDescent="0.25">
      <c r="A139" s="574" t="s">
        <v>2219</v>
      </c>
      <c r="B139" s="574" t="s">
        <v>2220</v>
      </c>
      <c r="C139" s="574" t="s">
        <v>2221</v>
      </c>
      <c r="D139" s="574" t="s">
        <v>2220</v>
      </c>
      <c r="E139" s="574" t="s">
        <v>2222</v>
      </c>
      <c r="F139" s="574" t="s">
        <v>2223</v>
      </c>
      <c r="G139" s="574" t="s">
        <v>2224</v>
      </c>
      <c r="H139" s="574" t="s">
        <v>2225</v>
      </c>
      <c r="I139" s="574" t="s">
        <v>2226</v>
      </c>
      <c r="J139" s="574" t="s">
        <v>2227</v>
      </c>
      <c r="K139" s="574" t="s">
        <v>2228</v>
      </c>
      <c r="L139" s="574" t="s">
        <v>2229</v>
      </c>
      <c r="M139" s="574" t="s">
        <v>2230</v>
      </c>
      <c r="N139" s="574" t="s">
        <v>2231</v>
      </c>
      <c r="O139" s="574" t="s">
        <v>2232</v>
      </c>
      <c r="P139" s="574" t="s">
        <v>2233</v>
      </c>
      <c r="Q139" s="574" t="s">
        <v>2234</v>
      </c>
      <c r="R139" s="574" t="s">
        <v>2225</v>
      </c>
      <c r="S139" s="574" t="s">
        <v>2235</v>
      </c>
      <c r="T139" s="574" t="s">
        <v>2236</v>
      </c>
      <c r="U139" s="574" t="s">
        <v>2388</v>
      </c>
      <c r="V139" s="574" t="s">
        <v>2238</v>
      </c>
      <c r="W139" s="574" t="s">
        <v>2239</v>
      </c>
      <c r="X139" s="574" t="s">
        <v>2389</v>
      </c>
      <c r="Y139" s="575" t="s">
        <v>2372</v>
      </c>
      <c r="Z139" s="575" t="s">
        <v>2372</v>
      </c>
      <c r="AA139" s="574" t="s">
        <v>1691</v>
      </c>
      <c r="AB139" s="574" t="s">
        <v>2297</v>
      </c>
      <c r="AC139" s="574" t="s">
        <v>2298</v>
      </c>
      <c r="AD139" s="574" t="s">
        <v>2299</v>
      </c>
      <c r="AE139" s="574" t="s">
        <v>1468</v>
      </c>
      <c r="AF139" s="574" t="s">
        <v>2299</v>
      </c>
      <c r="AG139" s="576">
        <v>44000</v>
      </c>
    </row>
    <row r="140" spans="1:33" hidden="1" x14ac:dyDescent="0.25">
      <c r="A140" s="574" t="s">
        <v>2219</v>
      </c>
      <c r="B140" s="574" t="s">
        <v>2220</v>
      </c>
      <c r="C140" s="574" t="s">
        <v>2221</v>
      </c>
      <c r="D140" s="574" t="s">
        <v>2220</v>
      </c>
      <c r="E140" s="574" t="s">
        <v>2222</v>
      </c>
      <c r="F140" s="574" t="s">
        <v>2223</v>
      </c>
      <c r="G140" s="574" t="s">
        <v>2224</v>
      </c>
      <c r="H140" s="574" t="s">
        <v>2225</v>
      </c>
      <c r="I140" s="574" t="s">
        <v>2226</v>
      </c>
      <c r="J140" s="574" t="s">
        <v>2227</v>
      </c>
      <c r="K140" s="574" t="s">
        <v>2228</v>
      </c>
      <c r="L140" s="574" t="s">
        <v>2229</v>
      </c>
      <c r="M140" s="574" t="s">
        <v>2230</v>
      </c>
      <c r="N140" s="574" t="s">
        <v>2231</v>
      </c>
      <c r="O140" s="574" t="s">
        <v>2232</v>
      </c>
      <c r="P140" s="574" t="s">
        <v>2233</v>
      </c>
      <c r="Q140" s="574" t="s">
        <v>2234</v>
      </c>
      <c r="R140" s="574" t="s">
        <v>2225</v>
      </c>
      <c r="S140" s="574" t="s">
        <v>2235</v>
      </c>
      <c r="T140" s="574" t="s">
        <v>2236</v>
      </c>
      <c r="U140" s="574" t="s">
        <v>2344</v>
      </c>
      <c r="V140" s="574" t="s">
        <v>2238</v>
      </c>
      <c r="W140" s="574" t="s">
        <v>2239</v>
      </c>
      <c r="X140" s="574" t="s">
        <v>2345</v>
      </c>
      <c r="Y140" s="575" t="s">
        <v>2346</v>
      </c>
      <c r="Z140" s="575" t="s">
        <v>2346</v>
      </c>
      <c r="AA140" s="574" t="s">
        <v>1691</v>
      </c>
      <c r="AB140" s="574" t="s">
        <v>2297</v>
      </c>
      <c r="AC140" s="574" t="s">
        <v>2298</v>
      </c>
      <c r="AD140" s="574" t="s">
        <v>2299</v>
      </c>
      <c r="AE140" s="574" t="s">
        <v>1468</v>
      </c>
      <c r="AF140" s="574" t="s">
        <v>2299</v>
      </c>
      <c r="AG140" s="576">
        <v>46000</v>
      </c>
    </row>
    <row r="141" spans="1:33" hidden="1" x14ac:dyDescent="0.25">
      <c r="A141" s="574" t="s">
        <v>2219</v>
      </c>
      <c r="B141" s="574" t="s">
        <v>2220</v>
      </c>
      <c r="C141" s="574" t="s">
        <v>2221</v>
      </c>
      <c r="D141" s="574" t="s">
        <v>2220</v>
      </c>
      <c r="E141" s="574" t="s">
        <v>2222</v>
      </c>
      <c r="F141" s="574" t="s">
        <v>2223</v>
      </c>
      <c r="G141" s="574" t="s">
        <v>2224</v>
      </c>
      <c r="H141" s="574" t="s">
        <v>2225</v>
      </c>
      <c r="I141" s="574" t="s">
        <v>2226</v>
      </c>
      <c r="J141" s="574" t="s">
        <v>2227</v>
      </c>
      <c r="K141" s="574" t="s">
        <v>2228</v>
      </c>
      <c r="L141" s="574" t="s">
        <v>2229</v>
      </c>
      <c r="M141" s="574" t="s">
        <v>2230</v>
      </c>
      <c r="N141" s="574" t="s">
        <v>2231</v>
      </c>
      <c r="O141" s="574" t="s">
        <v>2759</v>
      </c>
      <c r="P141" s="574" t="s">
        <v>2932</v>
      </c>
      <c r="Q141" s="574" t="s">
        <v>2234</v>
      </c>
      <c r="R141" s="574" t="s">
        <v>2225</v>
      </c>
      <c r="S141" s="574" t="s">
        <v>2235</v>
      </c>
      <c r="T141" s="574" t="s">
        <v>2236</v>
      </c>
      <c r="U141" s="574" t="s">
        <v>3231</v>
      </c>
      <c r="V141" s="574" t="s">
        <v>2238</v>
      </c>
      <c r="W141" s="574" t="s">
        <v>2239</v>
      </c>
      <c r="X141" s="574" t="s">
        <v>3232</v>
      </c>
      <c r="Y141" s="575" t="s">
        <v>2571</v>
      </c>
      <c r="Z141" s="575" t="s">
        <v>2571</v>
      </c>
      <c r="AA141" s="574" t="s">
        <v>1691</v>
      </c>
      <c r="AB141" s="574" t="s">
        <v>2297</v>
      </c>
      <c r="AC141" s="574" t="s">
        <v>2298</v>
      </c>
      <c r="AD141" s="574" t="s">
        <v>2299</v>
      </c>
      <c r="AE141" s="574" t="s">
        <v>1468</v>
      </c>
      <c r="AF141" s="574" t="s">
        <v>2299</v>
      </c>
      <c r="AG141" s="576">
        <v>46000</v>
      </c>
    </row>
    <row r="142" spans="1:33" hidden="1" x14ac:dyDescent="0.25">
      <c r="A142" s="574" t="s">
        <v>2219</v>
      </c>
      <c r="B142" s="574" t="s">
        <v>2220</v>
      </c>
      <c r="C142" s="574" t="s">
        <v>2221</v>
      </c>
      <c r="D142" s="574" t="s">
        <v>2220</v>
      </c>
      <c r="E142" s="574" t="s">
        <v>2222</v>
      </c>
      <c r="F142" s="574" t="s">
        <v>2223</v>
      </c>
      <c r="G142" s="574" t="s">
        <v>2224</v>
      </c>
      <c r="H142" s="574" t="s">
        <v>2225</v>
      </c>
      <c r="I142" s="574" t="s">
        <v>2226</v>
      </c>
      <c r="J142" s="574" t="s">
        <v>2227</v>
      </c>
      <c r="K142" s="574" t="s">
        <v>2228</v>
      </c>
      <c r="L142" s="574" t="s">
        <v>2229</v>
      </c>
      <c r="M142" s="574" t="s">
        <v>2230</v>
      </c>
      <c r="N142" s="574" t="s">
        <v>2231</v>
      </c>
      <c r="O142" s="574" t="s">
        <v>2232</v>
      </c>
      <c r="P142" s="574" t="s">
        <v>2233</v>
      </c>
      <c r="Q142" s="574" t="s">
        <v>2234</v>
      </c>
      <c r="R142" s="574" t="s">
        <v>2225</v>
      </c>
      <c r="S142" s="574" t="s">
        <v>2235</v>
      </c>
      <c r="T142" s="574" t="s">
        <v>2236</v>
      </c>
      <c r="U142" s="574" t="s">
        <v>2294</v>
      </c>
      <c r="V142" s="574" t="s">
        <v>2238</v>
      </c>
      <c r="W142" s="574" t="s">
        <v>2239</v>
      </c>
      <c r="X142" s="574" t="s">
        <v>2295</v>
      </c>
      <c r="Y142" s="575" t="s">
        <v>2296</v>
      </c>
      <c r="Z142" s="575" t="s">
        <v>2296</v>
      </c>
      <c r="AA142" s="574" t="s">
        <v>1691</v>
      </c>
      <c r="AB142" s="574" t="s">
        <v>2297</v>
      </c>
      <c r="AC142" s="574" t="s">
        <v>2298</v>
      </c>
      <c r="AD142" s="574" t="s">
        <v>2299</v>
      </c>
      <c r="AE142" s="574" t="s">
        <v>1468</v>
      </c>
      <c r="AF142" s="574" t="s">
        <v>2299</v>
      </c>
      <c r="AG142" s="576">
        <v>46200</v>
      </c>
    </row>
    <row r="143" spans="1:33" hidden="1" x14ac:dyDescent="0.25">
      <c r="A143" s="574" t="s">
        <v>2219</v>
      </c>
      <c r="B143" s="574" t="s">
        <v>2220</v>
      </c>
      <c r="C143" s="574" t="s">
        <v>2221</v>
      </c>
      <c r="D143" s="574" t="s">
        <v>2220</v>
      </c>
      <c r="E143" s="574" t="s">
        <v>2222</v>
      </c>
      <c r="F143" s="574" t="s">
        <v>2223</v>
      </c>
      <c r="G143" s="574" t="s">
        <v>2224</v>
      </c>
      <c r="H143" s="574" t="s">
        <v>2225</v>
      </c>
      <c r="I143" s="574" t="s">
        <v>2226</v>
      </c>
      <c r="J143" s="574" t="s">
        <v>2227</v>
      </c>
      <c r="K143" s="574" t="s">
        <v>2228</v>
      </c>
      <c r="L143" s="574" t="s">
        <v>2229</v>
      </c>
      <c r="M143" s="574" t="s">
        <v>2230</v>
      </c>
      <c r="N143" s="574" t="s">
        <v>2231</v>
      </c>
      <c r="O143" s="574" t="s">
        <v>2759</v>
      </c>
      <c r="P143" s="574" t="s">
        <v>2932</v>
      </c>
      <c r="Q143" s="574" t="s">
        <v>2234</v>
      </c>
      <c r="R143" s="574" t="s">
        <v>2225</v>
      </c>
      <c r="S143" s="574" t="s">
        <v>2235</v>
      </c>
      <c r="T143" s="574" t="s">
        <v>2236</v>
      </c>
      <c r="U143" s="574" t="s">
        <v>3225</v>
      </c>
      <c r="V143" s="574" t="s">
        <v>2238</v>
      </c>
      <c r="W143" s="574" t="s">
        <v>2239</v>
      </c>
      <c r="X143" s="574" t="s">
        <v>3226</v>
      </c>
      <c r="Y143" s="575" t="s">
        <v>2571</v>
      </c>
      <c r="Z143" s="575" t="s">
        <v>2571</v>
      </c>
      <c r="AA143" s="574" t="s">
        <v>1691</v>
      </c>
      <c r="AB143" s="574" t="s">
        <v>2297</v>
      </c>
      <c r="AC143" s="574" t="s">
        <v>2298</v>
      </c>
      <c r="AD143" s="574" t="s">
        <v>2299</v>
      </c>
      <c r="AE143" s="574" t="s">
        <v>1468</v>
      </c>
      <c r="AF143" s="574" t="s">
        <v>2299</v>
      </c>
      <c r="AG143" s="576">
        <v>47500</v>
      </c>
    </row>
    <row r="144" spans="1:33" hidden="1" x14ac:dyDescent="0.25">
      <c r="A144" s="574" t="s">
        <v>2219</v>
      </c>
      <c r="B144" s="574" t="s">
        <v>2220</v>
      </c>
      <c r="C144" s="574" t="s">
        <v>2221</v>
      </c>
      <c r="D144" s="574" t="s">
        <v>2220</v>
      </c>
      <c r="E144" s="574" t="s">
        <v>2222</v>
      </c>
      <c r="F144" s="574" t="s">
        <v>2223</v>
      </c>
      <c r="G144" s="574" t="s">
        <v>2224</v>
      </c>
      <c r="H144" s="574" t="s">
        <v>2225</v>
      </c>
      <c r="I144" s="574" t="s">
        <v>2226</v>
      </c>
      <c r="J144" s="574" t="s">
        <v>2227</v>
      </c>
      <c r="K144" s="574" t="s">
        <v>2228</v>
      </c>
      <c r="L144" s="574" t="s">
        <v>2229</v>
      </c>
      <c r="M144" s="574" t="s">
        <v>2230</v>
      </c>
      <c r="N144" s="574" t="s">
        <v>2231</v>
      </c>
      <c r="O144" s="574" t="s">
        <v>2232</v>
      </c>
      <c r="P144" s="574" t="s">
        <v>2233</v>
      </c>
      <c r="Q144" s="574" t="s">
        <v>2234</v>
      </c>
      <c r="R144" s="574" t="s">
        <v>2225</v>
      </c>
      <c r="S144" s="574" t="s">
        <v>2235</v>
      </c>
      <c r="T144" s="574" t="s">
        <v>2236</v>
      </c>
      <c r="U144" s="574" t="s">
        <v>2353</v>
      </c>
      <c r="V144" s="574" t="s">
        <v>2238</v>
      </c>
      <c r="W144" s="574" t="s">
        <v>2239</v>
      </c>
      <c r="X144" s="574" t="s">
        <v>2354</v>
      </c>
      <c r="Y144" s="575" t="s">
        <v>2346</v>
      </c>
      <c r="Z144" s="575" t="s">
        <v>2346</v>
      </c>
      <c r="AA144" s="574" t="s">
        <v>1691</v>
      </c>
      <c r="AB144" s="574" t="s">
        <v>2297</v>
      </c>
      <c r="AC144" s="574" t="s">
        <v>2298</v>
      </c>
      <c r="AD144" s="574" t="s">
        <v>2299</v>
      </c>
      <c r="AE144" s="574" t="s">
        <v>1468</v>
      </c>
      <c r="AF144" s="574" t="s">
        <v>2299</v>
      </c>
      <c r="AG144" s="576">
        <v>51000</v>
      </c>
    </row>
    <row r="145" spans="1:33" hidden="1" x14ac:dyDescent="0.25">
      <c r="A145" s="574" t="s">
        <v>2219</v>
      </c>
      <c r="B145" s="574" t="s">
        <v>2220</v>
      </c>
      <c r="C145" s="574" t="s">
        <v>2221</v>
      </c>
      <c r="D145" s="574" t="s">
        <v>2220</v>
      </c>
      <c r="E145" s="574" t="s">
        <v>2222</v>
      </c>
      <c r="F145" s="574" t="s">
        <v>2223</v>
      </c>
      <c r="G145" s="574" t="s">
        <v>2224</v>
      </c>
      <c r="H145" s="574" t="s">
        <v>2225</v>
      </c>
      <c r="I145" s="574" t="s">
        <v>2226</v>
      </c>
      <c r="J145" s="574" t="s">
        <v>2227</v>
      </c>
      <c r="K145" s="574" t="s">
        <v>2228</v>
      </c>
      <c r="L145" s="574" t="s">
        <v>2229</v>
      </c>
      <c r="M145" s="574" t="s">
        <v>2230</v>
      </c>
      <c r="N145" s="574" t="s">
        <v>2231</v>
      </c>
      <c r="O145" s="574" t="s">
        <v>2759</v>
      </c>
      <c r="P145" s="574" t="s">
        <v>2932</v>
      </c>
      <c r="Q145" s="574" t="s">
        <v>2234</v>
      </c>
      <c r="R145" s="574" t="s">
        <v>2225</v>
      </c>
      <c r="S145" s="574" t="s">
        <v>2235</v>
      </c>
      <c r="T145" s="574" t="s">
        <v>2236</v>
      </c>
      <c r="U145" s="574" t="s">
        <v>3215</v>
      </c>
      <c r="V145" s="574" t="s">
        <v>2238</v>
      </c>
      <c r="W145" s="574" t="s">
        <v>2239</v>
      </c>
      <c r="X145" s="574" t="s">
        <v>3216</v>
      </c>
      <c r="Y145" s="575" t="s">
        <v>2568</v>
      </c>
      <c r="Z145" s="575" t="s">
        <v>2568</v>
      </c>
      <c r="AA145" s="574" t="s">
        <v>1691</v>
      </c>
      <c r="AB145" s="574" t="s">
        <v>2297</v>
      </c>
      <c r="AC145" s="574" t="s">
        <v>2298</v>
      </c>
      <c r="AD145" s="574" t="s">
        <v>2299</v>
      </c>
      <c r="AE145" s="574" t="s">
        <v>1468</v>
      </c>
      <c r="AF145" s="574" t="s">
        <v>2299</v>
      </c>
      <c r="AG145" s="576">
        <v>51642.400000000001</v>
      </c>
    </row>
    <row r="146" spans="1:33" hidden="1" x14ac:dyDescent="0.25">
      <c r="A146" s="574" t="s">
        <v>2219</v>
      </c>
      <c r="B146" s="574" t="s">
        <v>2220</v>
      </c>
      <c r="C146" s="574" t="s">
        <v>2221</v>
      </c>
      <c r="D146" s="574" t="s">
        <v>2220</v>
      </c>
      <c r="E146" s="574" t="s">
        <v>2222</v>
      </c>
      <c r="F146" s="574" t="s">
        <v>2223</v>
      </c>
      <c r="G146" s="574" t="s">
        <v>2224</v>
      </c>
      <c r="H146" s="574" t="s">
        <v>2225</v>
      </c>
      <c r="I146" s="574" t="s">
        <v>2226</v>
      </c>
      <c r="J146" s="574" t="s">
        <v>2227</v>
      </c>
      <c r="K146" s="574" t="s">
        <v>2228</v>
      </c>
      <c r="L146" s="574" t="s">
        <v>2229</v>
      </c>
      <c r="M146" s="574" t="s">
        <v>2230</v>
      </c>
      <c r="N146" s="574" t="s">
        <v>2231</v>
      </c>
      <c r="O146" s="574" t="s">
        <v>2232</v>
      </c>
      <c r="P146" s="574" t="s">
        <v>2233</v>
      </c>
      <c r="Q146" s="574" t="s">
        <v>2234</v>
      </c>
      <c r="R146" s="574" t="s">
        <v>2225</v>
      </c>
      <c r="S146" s="574" t="s">
        <v>2235</v>
      </c>
      <c r="T146" s="574" t="s">
        <v>2236</v>
      </c>
      <c r="U146" s="574" t="s">
        <v>2381</v>
      </c>
      <c r="V146" s="574" t="s">
        <v>2238</v>
      </c>
      <c r="W146" s="574" t="s">
        <v>2239</v>
      </c>
      <c r="X146" s="574" t="s">
        <v>2382</v>
      </c>
      <c r="Y146" s="575" t="s">
        <v>2372</v>
      </c>
      <c r="Z146" s="575" t="s">
        <v>2372</v>
      </c>
      <c r="AA146" s="574" t="s">
        <v>1691</v>
      </c>
      <c r="AB146" s="574" t="s">
        <v>2297</v>
      </c>
      <c r="AC146" s="574" t="s">
        <v>2298</v>
      </c>
      <c r="AD146" s="574" t="s">
        <v>2299</v>
      </c>
      <c r="AE146" s="574" t="s">
        <v>1468</v>
      </c>
      <c r="AF146" s="574" t="s">
        <v>2299</v>
      </c>
      <c r="AG146" s="576">
        <v>64350</v>
      </c>
    </row>
    <row r="147" spans="1:33" hidden="1" x14ac:dyDescent="0.25">
      <c r="A147" s="574" t="s">
        <v>2219</v>
      </c>
      <c r="B147" s="574" t="s">
        <v>2220</v>
      </c>
      <c r="C147" s="574" t="s">
        <v>2221</v>
      </c>
      <c r="D147" s="574" t="s">
        <v>2220</v>
      </c>
      <c r="E147" s="574" t="s">
        <v>2222</v>
      </c>
      <c r="F147" s="574" t="s">
        <v>2223</v>
      </c>
      <c r="G147" s="574" t="s">
        <v>2224</v>
      </c>
      <c r="H147" s="574" t="s">
        <v>2225</v>
      </c>
      <c r="I147" s="574" t="s">
        <v>2226</v>
      </c>
      <c r="J147" s="574" t="s">
        <v>2227</v>
      </c>
      <c r="K147" s="574" t="s">
        <v>2228</v>
      </c>
      <c r="L147" s="574" t="s">
        <v>2229</v>
      </c>
      <c r="M147" s="574" t="s">
        <v>2230</v>
      </c>
      <c r="N147" s="574" t="s">
        <v>2231</v>
      </c>
      <c r="O147" s="574" t="s">
        <v>2759</v>
      </c>
      <c r="P147" s="574" t="s">
        <v>2932</v>
      </c>
      <c r="Q147" s="574" t="s">
        <v>2234</v>
      </c>
      <c r="R147" s="574" t="s">
        <v>2225</v>
      </c>
      <c r="S147" s="574" t="s">
        <v>2235</v>
      </c>
      <c r="T147" s="574" t="s">
        <v>2236</v>
      </c>
      <c r="U147" s="574" t="s">
        <v>3223</v>
      </c>
      <c r="V147" s="574" t="s">
        <v>2238</v>
      </c>
      <c r="W147" s="574" t="s">
        <v>2239</v>
      </c>
      <c r="X147" s="574" t="s">
        <v>3224</v>
      </c>
      <c r="Y147" s="575" t="s">
        <v>2571</v>
      </c>
      <c r="Z147" s="575" t="s">
        <v>2571</v>
      </c>
      <c r="AA147" s="574" t="s">
        <v>1691</v>
      </c>
      <c r="AB147" s="574" t="s">
        <v>2297</v>
      </c>
      <c r="AC147" s="574" t="s">
        <v>2298</v>
      </c>
      <c r="AD147" s="574" t="s">
        <v>2299</v>
      </c>
      <c r="AE147" s="574" t="s">
        <v>1468</v>
      </c>
      <c r="AF147" s="574" t="s">
        <v>2299</v>
      </c>
      <c r="AG147" s="576">
        <v>70000</v>
      </c>
    </row>
    <row r="148" spans="1:33" hidden="1" x14ac:dyDescent="0.25">
      <c r="A148" s="574" t="s">
        <v>2219</v>
      </c>
      <c r="B148" s="574" t="s">
        <v>2220</v>
      </c>
      <c r="C148" s="574" t="s">
        <v>2221</v>
      </c>
      <c r="D148" s="574" t="s">
        <v>2220</v>
      </c>
      <c r="E148" s="574" t="s">
        <v>2222</v>
      </c>
      <c r="F148" s="574" t="s">
        <v>2223</v>
      </c>
      <c r="G148" s="574" t="s">
        <v>2224</v>
      </c>
      <c r="H148" s="574" t="s">
        <v>2225</v>
      </c>
      <c r="I148" s="574" t="s">
        <v>2226</v>
      </c>
      <c r="J148" s="574" t="s">
        <v>2227</v>
      </c>
      <c r="K148" s="574" t="s">
        <v>2228</v>
      </c>
      <c r="L148" s="574" t="s">
        <v>2229</v>
      </c>
      <c r="M148" s="574" t="s">
        <v>2230</v>
      </c>
      <c r="N148" s="574" t="s">
        <v>2231</v>
      </c>
      <c r="O148" s="574" t="s">
        <v>2232</v>
      </c>
      <c r="P148" s="574" t="s">
        <v>2233</v>
      </c>
      <c r="Q148" s="574" t="s">
        <v>2234</v>
      </c>
      <c r="R148" s="574" t="s">
        <v>2225</v>
      </c>
      <c r="S148" s="574" t="s">
        <v>2235</v>
      </c>
      <c r="T148" s="574" t="s">
        <v>2236</v>
      </c>
      <c r="U148" s="574" t="s">
        <v>2465</v>
      </c>
      <c r="V148" s="574" t="s">
        <v>2238</v>
      </c>
      <c r="W148" s="574" t="s">
        <v>2239</v>
      </c>
      <c r="X148" s="574" t="s">
        <v>2466</v>
      </c>
      <c r="Y148" s="575" t="s">
        <v>2464</v>
      </c>
      <c r="Z148" s="575" t="s">
        <v>2464</v>
      </c>
      <c r="AA148" s="574" t="s">
        <v>1691</v>
      </c>
      <c r="AB148" s="574" t="s">
        <v>2297</v>
      </c>
      <c r="AC148" s="574" t="s">
        <v>2298</v>
      </c>
      <c r="AD148" s="574" t="s">
        <v>2299</v>
      </c>
      <c r="AE148" s="574" t="s">
        <v>1468</v>
      </c>
      <c r="AF148" s="574" t="s">
        <v>2299</v>
      </c>
      <c r="AG148" s="576">
        <v>70080</v>
      </c>
    </row>
    <row r="149" spans="1:33" hidden="1" x14ac:dyDescent="0.25">
      <c r="A149" s="574" t="s">
        <v>2219</v>
      </c>
      <c r="B149" s="574" t="s">
        <v>2220</v>
      </c>
      <c r="C149" s="574" t="s">
        <v>2221</v>
      </c>
      <c r="D149" s="574" t="s">
        <v>2220</v>
      </c>
      <c r="E149" s="574" t="s">
        <v>2222</v>
      </c>
      <c r="F149" s="574" t="s">
        <v>2223</v>
      </c>
      <c r="G149" s="574" t="s">
        <v>2224</v>
      </c>
      <c r="H149" s="574" t="s">
        <v>2225</v>
      </c>
      <c r="I149" s="574" t="s">
        <v>2226</v>
      </c>
      <c r="J149" s="574" t="s">
        <v>2227</v>
      </c>
      <c r="K149" s="574" t="s">
        <v>2228</v>
      </c>
      <c r="L149" s="574" t="s">
        <v>2229</v>
      </c>
      <c r="M149" s="574" t="s">
        <v>2230</v>
      </c>
      <c r="N149" s="574" t="s">
        <v>2231</v>
      </c>
      <c r="O149" s="574" t="s">
        <v>2759</v>
      </c>
      <c r="P149" s="574" t="s">
        <v>2932</v>
      </c>
      <c r="Q149" s="574" t="s">
        <v>2234</v>
      </c>
      <c r="R149" s="574" t="s">
        <v>2225</v>
      </c>
      <c r="S149" s="574" t="s">
        <v>2235</v>
      </c>
      <c r="T149" s="574" t="s">
        <v>2236</v>
      </c>
      <c r="U149" s="574" t="s">
        <v>3241</v>
      </c>
      <c r="V149" s="574" t="s">
        <v>2238</v>
      </c>
      <c r="W149" s="574" t="s">
        <v>2239</v>
      </c>
      <c r="X149" s="574" t="s">
        <v>3242</v>
      </c>
      <c r="Y149" s="575" t="s">
        <v>2571</v>
      </c>
      <c r="Z149" s="575" t="s">
        <v>2571</v>
      </c>
      <c r="AA149" s="574" t="s">
        <v>1691</v>
      </c>
      <c r="AB149" s="574" t="s">
        <v>2297</v>
      </c>
      <c r="AC149" s="574" t="s">
        <v>2298</v>
      </c>
      <c r="AD149" s="574" t="s">
        <v>2299</v>
      </c>
      <c r="AE149" s="574" t="s">
        <v>1468</v>
      </c>
      <c r="AF149" s="574" t="s">
        <v>2299</v>
      </c>
      <c r="AG149" s="576">
        <v>80000</v>
      </c>
    </row>
    <row r="150" spans="1:33" hidden="1" x14ac:dyDescent="0.25">
      <c r="A150" s="574" t="s">
        <v>2219</v>
      </c>
      <c r="B150" s="574" t="s">
        <v>2220</v>
      </c>
      <c r="C150" s="574" t="s">
        <v>2221</v>
      </c>
      <c r="D150" s="574" t="s">
        <v>2220</v>
      </c>
      <c r="E150" s="574" t="s">
        <v>2222</v>
      </c>
      <c r="F150" s="574" t="s">
        <v>2223</v>
      </c>
      <c r="G150" s="574" t="s">
        <v>2224</v>
      </c>
      <c r="H150" s="574" t="s">
        <v>2225</v>
      </c>
      <c r="I150" s="574" t="s">
        <v>2226</v>
      </c>
      <c r="J150" s="574" t="s">
        <v>2227</v>
      </c>
      <c r="K150" s="574" t="s">
        <v>2228</v>
      </c>
      <c r="L150" s="574" t="s">
        <v>2229</v>
      </c>
      <c r="M150" s="574" t="s">
        <v>2230</v>
      </c>
      <c r="N150" s="574" t="s">
        <v>2231</v>
      </c>
      <c r="O150" s="574" t="s">
        <v>2232</v>
      </c>
      <c r="P150" s="574" t="s">
        <v>2233</v>
      </c>
      <c r="Q150" s="574" t="s">
        <v>2234</v>
      </c>
      <c r="R150" s="574" t="s">
        <v>2225</v>
      </c>
      <c r="S150" s="574" t="s">
        <v>2235</v>
      </c>
      <c r="T150" s="574" t="s">
        <v>2236</v>
      </c>
      <c r="U150" s="574" t="s">
        <v>2442</v>
      </c>
      <c r="V150" s="574" t="s">
        <v>2238</v>
      </c>
      <c r="W150" s="574" t="s">
        <v>2239</v>
      </c>
      <c r="X150" s="574" t="s">
        <v>2443</v>
      </c>
      <c r="Y150" s="575" t="s">
        <v>2429</v>
      </c>
      <c r="Z150" s="575" t="s">
        <v>2429</v>
      </c>
      <c r="AA150" s="574" t="s">
        <v>1691</v>
      </c>
      <c r="AB150" s="574" t="s">
        <v>2297</v>
      </c>
      <c r="AC150" s="574" t="s">
        <v>2298</v>
      </c>
      <c r="AD150" s="574" t="s">
        <v>2299</v>
      </c>
      <c r="AE150" s="574" t="s">
        <v>1468</v>
      </c>
      <c r="AF150" s="574" t="s">
        <v>2299</v>
      </c>
      <c r="AG150" s="576">
        <v>84000</v>
      </c>
    </row>
    <row r="151" spans="1:33" hidden="1" x14ac:dyDescent="0.25">
      <c r="A151" s="574" t="s">
        <v>2219</v>
      </c>
      <c r="B151" s="574" t="s">
        <v>2220</v>
      </c>
      <c r="C151" s="574" t="s">
        <v>2221</v>
      </c>
      <c r="D151" s="574" t="s">
        <v>2220</v>
      </c>
      <c r="E151" s="574" t="s">
        <v>2222</v>
      </c>
      <c r="F151" s="574" t="s">
        <v>2223</v>
      </c>
      <c r="G151" s="574" t="s">
        <v>2224</v>
      </c>
      <c r="H151" s="574" t="s">
        <v>2225</v>
      </c>
      <c r="I151" s="574" t="s">
        <v>2226</v>
      </c>
      <c r="J151" s="574" t="s">
        <v>2227</v>
      </c>
      <c r="K151" s="574" t="s">
        <v>2228</v>
      </c>
      <c r="L151" s="574" t="s">
        <v>2229</v>
      </c>
      <c r="M151" s="574" t="s">
        <v>2230</v>
      </c>
      <c r="N151" s="574" t="s">
        <v>2231</v>
      </c>
      <c r="O151" s="574" t="s">
        <v>2759</v>
      </c>
      <c r="P151" s="574" t="s">
        <v>2932</v>
      </c>
      <c r="Q151" s="574" t="s">
        <v>2234</v>
      </c>
      <c r="R151" s="574" t="s">
        <v>2225</v>
      </c>
      <c r="S151" s="574" t="s">
        <v>2235</v>
      </c>
      <c r="T151" s="574" t="s">
        <v>2236</v>
      </c>
      <c r="U151" s="574" t="s">
        <v>3091</v>
      </c>
      <c r="V151" s="574" t="s">
        <v>2238</v>
      </c>
      <c r="W151" s="574" t="s">
        <v>2239</v>
      </c>
      <c r="X151" s="574" t="s">
        <v>3092</v>
      </c>
      <c r="Y151" s="575" t="s">
        <v>3070</v>
      </c>
      <c r="Z151" s="575" t="s">
        <v>3070</v>
      </c>
      <c r="AA151" s="574" t="s">
        <v>1691</v>
      </c>
      <c r="AB151" s="574" t="s">
        <v>2297</v>
      </c>
      <c r="AC151" s="574" t="s">
        <v>2298</v>
      </c>
      <c r="AD151" s="574" t="s">
        <v>2299</v>
      </c>
      <c r="AE151" s="574" t="s">
        <v>1468</v>
      </c>
      <c r="AF151" s="574" t="s">
        <v>2299</v>
      </c>
      <c r="AG151" s="576">
        <v>85000</v>
      </c>
    </row>
    <row r="152" spans="1:33" hidden="1" x14ac:dyDescent="0.25">
      <c r="A152" s="574" t="s">
        <v>2219</v>
      </c>
      <c r="B152" s="574" t="s">
        <v>2220</v>
      </c>
      <c r="C152" s="574" t="s">
        <v>2221</v>
      </c>
      <c r="D152" s="574" t="s">
        <v>2220</v>
      </c>
      <c r="E152" s="574" t="s">
        <v>2222</v>
      </c>
      <c r="F152" s="574" t="s">
        <v>2223</v>
      </c>
      <c r="G152" s="574" t="s">
        <v>2224</v>
      </c>
      <c r="H152" s="574" t="s">
        <v>2225</v>
      </c>
      <c r="I152" s="574" t="s">
        <v>2226</v>
      </c>
      <c r="J152" s="574" t="s">
        <v>2227</v>
      </c>
      <c r="K152" s="574" t="s">
        <v>2228</v>
      </c>
      <c r="L152" s="574" t="s">
        <v>2229</v>
      </c>
      <c r="M152" s="574" t="s">
        <v>2230</v>
      </c>
      <c r="N152" s="574" t="s">
        <v>2231</v>
      </c>
      <c r="O152" s="574" t="s">
        <v>2759</v>
      </c>
      <c r="P152" s="574" t="s">
        <v>2932</v>
      </c>
      <c r="Q152" s="574" t="s">
        <v>2234</v>
      </c>
      <c r="R152" s="574" t="s">
        <v>2225</v>
      </c>
      <c r="S152" s="574" t="s">
        <v>2235</v>
      </c>
      <c r="T152" s="574" t="s">
        <v>2236</v>
      </c>
      <c r="U152" s="574" t="s">
        <v>3144</v>
      </c>
      <c r="V152" s="574" t="s">
        <v>2238</v>
      </c>
      <c r="W152" s="574" t="s">
        <v>2239</v>
      </c>
      <c r="X152" s="574" t="s">
        <v>3145</v>
      </c>
      <c r="Y152" s="575" t="s">
        <v>2507</v>
      </c>
      <c r="Z152" s="575" t="s">
        <v>2507</v>
      </c>
      <c r="AA152" s="574" t="s">
        <v>1691</v>
      </c>
      <c r="AB152" s="574" t="s">
        <v>2297</v>
      </c>
      <c r="AC152" s="574" t="s">
        <v>2298</v>
      </c>
      <c r="AD152" s="574" t="s">
        <v>2299</v>
      </c>
      <c r="AE152" s="574" t="s">
        <v>1468</v>
      </c>
      <c r="AF152" s="574" t="s">
        <v>2299</v>
      </c>
      <c r="AG152" s="576">
        <v>85629.6</v>
      </c>
    </row>
    <row r="153" spans="1:33" hidden="1" x14ac:dyDescent="0.25">
      <c r="A153" s="574" t="s">
        <v>2219</v>
      </c>
      <c r="B153" s="574" t="s">
        <v>2220</v>
      </c>
      <c r="C153" s="574" t="s">
        <v>2221</v>
      </c>
      <c r="D153" s="574" t="s">
        <v>2220</v>
      </c>
      <c r="E153" s="574" t="s">
        <v>2222</v>
      </c>
      <c r="F153" s="574" t="s">
        <v>2223</v>
      </c>
      <c r="G153" s="574" t="s">
        <v>2224</v>
      </c>
      <c r="H153" s="574" t="s">
        <v>2225</v>
      </c>
      <c r="I153" s="574" t="s">
        <v>2226</v>
      </c>
      <c r="J153" s="574" t="s">
        <v>2227</v>
      </c>
      <c r="K153" s="574" t="s">
        <v>2228</v>
      </c>
      <c r="L153" s="574" t="s">
        <v>2229</v>
      </c>
      <c r="M153" s="574" t="s">
        <v>2230</v>
      </c>
      <c r="N153" s="574" t="s">
        <v>2231</v>
      </c>
      <c r="O153" s="574" t="s">
        <v>2232</v>
      </c>
      <c r="P153" s="574" t="s">
        <v>2233</v>
      </c>
      <c r="Q153" s="574" t="s">
        <v>2234</v>
      </c>
      <c r="R153" s="574" t="s">
        <v>2225</v>
      </c>
      <c r="S153" s="574" t="s">
        <v>2235</v>
      </c>
      <c r="T153" s="574" t="s">
        <v>2236</v>
      </c>
      <c r="U153" s="574" t="s">
        <v>2302</v>
      </c>
      <c r="V153" s="574" t="s">
        <v>2238</v>
      </c>
      <c r="W153" s="574" t="s">
        <v>2239</v>
      </c>
      <c r="X153" s="574" t="s">
        <v>2303</v>
      </c>
      <c r="Y153" s="575" t="s">
        <v>2296</v>
      </c>
      <c r="Z153" s="575" t="s">
        <v>2296</v>
      </c>
      <c r="AA153" s="574" t="s">
        <v>1691</v>
      </c>
      <c r="AB153" s="574" t="s">
        <v>2297</v>
      </c>
      <c r="AC153" s="574" t="s">
        <v>2298</v>
      </c>
      <c r="AD153" s="574" t="s">
        <v>2299</v>
      </c>
      <c r="AE153" s="574" t="s">
        <v>1468</v>
      </c>
      <c r="AF153" s="574" t="s">
        <v>2299</v>
      </c>
      <c r="AG153" s="576">
        <v>86350</v>
      </c>
    </row>
    <row r="154" spans="1:33" hidden="1" x14ac:dyDescent="0.25">
      <c r="A154" s="574" t="s">
        <v>2219</v>
      </c>
      <c r="B154" s="574" t="s">
        <v>2220</v>
      </c>
      <c r="C154" s="574" t="s">
        <v>2221</v>
      </c>
      <c r="D154" s="574" t="s">
        <v>2220</v>
      </c>
      <c r="E154" s="574" t="s">
        <v>2222</v>
      </c>
      <c r="F154" s="574" t="s">
        <v>2223</v>
      </c>
      <c r="G154" s="574" t="s">
        <v>2224</v>
      </c>
      <c r="H154" s="574" t="s">
        <v>2225</v>
      </c>
      <c r="I154" s="574" t="s">
        <v>2226</v>
      </c>
      <c r="J154" s="574" t="s">
        <v>2227</v>
      </c>
      <c r="K154" s="574" t="s">
        <v>2228</v>
      </c>
      <c r="L154" s="574" t="s">
        <v>2229</v>
      </c>
      <c r="M154" s="574" t="s">
        <v>2230</v>
      </c>
      <c r="N154" s="574" t="s">
        <v>2231</v>
      </c>
      <c r="O154" s="574" t="s">
        <v>2759</v>
      </c>
      <c r="P154" s="574" t="s">
        <v>2932</v>
      </c>
      <c r="Q154" s="574" t="s">
        <v>2234</v>
      </c>
      <c r="R154" s="574" t="s">
        <v>2225</v>
      </c>
      <c r="S154" s="574" t="s">
        <v>2235</v>
      </c>
      <c r="T154" s="574" t="s">
        <v>2236</v>
      </c>
      <c r="U154" s="574" t="s">
        <v>3207</v>
      </c>
      <c r="V154" s="574" t="s">
        <v>2238</v>
      </c>
      <c r="W154" s="574" t="s">
        <v>2239</v>
      </c>
      <c r="X154" s="574" t="s">
        <v>3208</v>
      </c>
      <c r="Y154" s="575" t="s">
        <v>2677</v>
      </c>
      <c r="Z154" s="575" t="s">
        <v>2677</v>
      </c>
      <c r="AA154" s="574" t="s">
        <v>1691</v>
      </c>
      <c r="AB154" s="574" t="s">
        <v>2297</v>
      </c>
      <c r="AC154" s="574" t="s">
        <v>2298</v>
      </c>
      <c r="AD154" s="574" t="s">
        <v>2299</v>
      </c>
      <c r="AE154" s="574" t="s">
        <v>1468</v>
      </c>
      <c r="AF154" s="574" t="s">
        <v>2299</v>
      </c>
      <c r="AG154" s="576">
        <v>90000</v>
      </c>
    </row>
    <row r="155" spans="1:33" hidden="1" x14ac:dyDescent="0.25">
      <c r="A155" s="574" t="s">
        <v>2219</v>
      </c>
      <c r="B155" s="574" t="s">
        <v>2220</v>
      </c>
      <c r="C155" s="574" t="s">
        <v>2221</v>
      </c>
      <c r="D155" s="574" t="s">
        <v>2220</v>
      </c>
      <c r="E155" s="574" t="s">
        <v>2222</v>
      </c>
      <c r="F155" s="574" t="s">
        <v>2223</v>
      </c>
      <c r="G155" s="574" t="s">
        <v>2224</v>
      </c>
      <c r="H155" s="574" t="s">
        <v>2225</v>
      </c>
      <c r="I155" s="574" t="s">
        <v>2226</v>
      </c>
      <c r="J155" s="574" t="s">
        <v>2227</v>
      </c>
      <c r="K155" s="574" t="s">
        <v>2228</v>
      </c>
      <c r="L155" s="574" t="s">
        <v>2229</v>
      </c>
      <c r="M155" s="574" t="s">
        <v>2230</v>
      </c>
      <c r="N155" s="574" t="s">
        <v>2231</v>
      </c>
      <c r="O155" s="574" t="s">
        <v>2759</v>
      </c>
      <c r="P155" s="574" t="s">
        <v>2932</v>
      </c>
      <c r="Q155" s="574" t="s">
        <v>2234</v>
      </c>
      <c r="R155" s="574" t="s">
        <v>2225</v>
      </c>
      <c r="S155" s="574" t="s">
        <v>2235</v>
      </c>
      <c r="T155" s="574" t="s">
        <v>2236</v>
      </c>
      <c r="U155" s="574" t="s">
        <v>3117</v>
      </c>
      <c r="V155" s="574" t="s">
        <v>2238</v>
      </c>
      <c r="W155" s="574" t="s">
        <v>2239</v>
      </c>
      <c r="X155" s="574" t="s">
        <v>3118</v>
      </c>
      <c r="Y155" s="575" t="s">
        <v>2501</v>
      </c>
      <c r="Z155" s="575" t="s">
        <v>2501</v>
      </c>
      <c r="AA155" s="574" t="s">
        <v>1691</v>
      </c>
      <c r="AB155" s="574" t="s">
        <v>2297</v>
      </c>
      <c r="AC155" s="574" t="s">
        <v>2298</v>
      </c>
      <c r="AD155" s="574" t="s">
        <v>2299</v>
      </c>
      <c r="AE155" s="574" t="s">
        <v>1468</v>
      </c>
      <c r="AF155" s="574" t="s">
        <v>2299</v>
      </c>
      <c r="AG155" s="576">
        <v>95000</v>
      </c>
    </row>
    <row r="156" spans="1:33" hidden="1" x14ac:dyDescent="0.25">
      <c r="A156" s="574" t="s">
        <v>2219</v>
      </c>
      <c r="B156" s="574" t="s">
        <v>2220</v>
      </c>
      <c r="C156" s="574" t="s">
        <v>2221</v>
      </c>
      <c r="D156" s="574" t="s">
        <v>2220</v>
      </c>
      <c r="E156" s="574" t="s">
        <v>2222</v>
      </c>
      <c r="F156" s="574" t="s">
        <v>2223</v>
      </c>
      <c r="G156" s="574" t="s">
        <v>2224</v>
      </c>
      <c r="H156" s="574" t="s">
        <v>2225</v>
      </c>
      <c r="I156" s="574" t="s">
        <v>2226</v>
      </c>
      <c r="J156" s="574" t="s">
        <v>2227</v>
      </c>
      <c r="K156" s="574" t="s">
        <v>2228</v>
      </c>
      <c r="L156" s="574" t="s">
        <v>2229</v>
      </c>
      <c r="M156" s="574" t="s">
        <v>2230</v>
      </c>
      <c r="N156" s="574" t="s">
        <v>2231</v>
      </c>
      <c r="O156" s="574" t="s">
        <v>2759</v>
      </c>
      <c r="P156" s="574" t="s">
        <v>2932</v>
      </c>
      <c r="Q156" s="574" t="s">
        <v>2234</v>
      </c>
      <c r="R156" s="574" t="s">
        <v>2225</v>
      </c>
      <c r="S156" s="574" t="s">
        <v>2235</v>
      </c>
      <c r="T156" s="574" t="s">
        <v>2236</v>
      </c>
      <c r="U156" s="574" t="s">
        <v>3221</v>
      </c>
      <c r="V156" s="574" t="s">
        <v>2238</v>
      </c>
      <c r="W156" s="574" t="s">
        <v>2239</v>
      </c>
      <c r="X156" s="574" t="s">
        <v>3222</v>
      </c>
      <c r="Y156" s="575" t="s">
        <v>2568</v>
      </c>
      <c r="Z156" s="575" t="s">
        <v>2568</v>
      </c>
      <c r="AA156" s="574" t="s">
        <v>1691</v>
      </c>
      <c r="AB156" s="574" t="s">
        <v>2297</v>
      </c>
      <c r="AC156" s="574" t="s">
        <v>2298</v>
      </c>
      <c r="AD156" s="574" t="s">
        <v>2299</v>
      </c>
      <c r="AE156" s="574" t="s">
        <v>1468</v>
      </c>
      <c r="AF156" s="574" t="s">
        <v>2299</v>
      </c>
      <c r="AG156" s="576">
        <v>96600</v>
      </c>
    </row>
    <row r="157" spans="1:33" hidden="1" x14ac:dyDescent="0.25">
      <c r="A157" s="574" t="s">
        <v>2219</v>
      </c>
      <c r="B157" s="574" t="s">
        <v>2220</v>
      </c>
      <c r="C157" s="574" t="s">
        <v>2221</v>
      </c>
      <c r="D157" s="574" t="s">
        <v>2220</v>
      </c>
      <c r="E157" s="574" t="s">
        <v>2222</v>
      </c>
      <c r="F157" s="574" t="s">
        <v>2223</v>
      </c>
      <c r="G157" s="574" t="s">
        <v>2224</v>
      </c>
      <c r="H157" s="574" t="s">
        <v>2225</v>
      </c>
      <c r="I157" s="574" t="s">
        <v>2226</v>
      </c>
      <c r="J157" s="574" t="s">
        <v>2227</v>
      </c>
      <c r="K157" s="574" t="s">
        <v>2228</v>
      </c>
      <c r="L157" s="574" t="s">
        <v>2229</v>
      </c>
      <c r="M157" s="574" t="s">
        <v>2230</v>
      </c>
      <c r="N157" s="574" t="s">
        <v>2231</v>
      </c>
      <c r="O157" s="574" t="s">
        <v>2759</v>
      </c>
      <c r="P157" s="574" t="s">
        <v>2932</v>
      </c>
      <c r="Q157" s="574" t="s">
        <v>2234</v>
      </c>
      <c r="R157" s="574" t="s">
        <v>2225</v>
      </c>
      <c r="S157" s="574" t="s">
        <v>2235</v>
      </c>
      <c r="T157" s="574" t="s">
        <v>2236</v>
      </c>
      <c r="U157" s="574" t="s">
        <v>3229</v>
      </c>
      <c r="V157" s="574" t="s">
        <v>2238</v>
      </c>
      <c r="W157" s="574" t="s">
        <v>2239</v>
      </c>
      <c r="X157" s="574" t="s">
        <v>3230</v>
      </c>
      <c r="Y157" s="575" t="s">
        <v>2571</v>
      </c>
      <c r="Z157" s="575" t="s">
        <v>2571</v>
      </c>
      <c r="AA157" s="574" t="s">
        <v>1691</v>
      </c>
      <c r="AB157" s="574" t="s">
        <v>2297</v>
      </c>
      <c r="AC157" s="574" t="s">
        <v>2298</v>
      </c>
      <c r="AD157" s="574" t="s">
        <v>2299</v>
      </c>
      <c r="AE157" s="574" t="s">
        <v>1468</v>
      </c>
      <c r="AF157" s="574" t="s">
        <v>2299</v>
      </c>
      <c r="AG157" s="576">
        <v>100000</v>
      </c>
    </row>
    <row r="158" spans="1:33" hidden="1" x14ac:dyDescent="0.25">
      <c r="A158" s="574" t="s">
        <v>2219</v>
      </c>
      <c r="B158" s="574" t="s">
        <v>2220</v>
      </c>
      <c r="C158" s="574" t="s">
        <v>2221</v>
      </c>
      <c r="D158" s="574" t="s">
        <v>2220</v>
      </c>
      <c r="E158" s="574" t="s">
        <v>2222</v>
      </c>
      <c r="F158" s="574" t="s">
        <v>2223</v>
      </c>
      <c r="G158" s="574" t="s">
        <v>2224</v>
      </c>
      <c r="H158" s="574" t="s">
        <v>2225</v>
      </c>
      <c r="I158" s="574" t="s">
        <v>2226</v>
      </c>
      <c r="J158" s="574" t="s">
        <v>2227</v>
      </c>
      <c r="K158" s="574" t="s">
        <v>2228</v>
      </c>
      <c r="L158" s="574" t="s">
        <v>2229</v>
      </c>
      <c r="M158" s="574" t="s">
        <v>2230</v>
      </c>
      <c r="N158" s="574" t="s">
        <v>2231</v>
      </c>
      <c r="O158" s="574" t="s">
        <v>2232</v>
      </c>
      <c r="P158" s="574" t="s">
        <v>2233</v>
      </c>
      <c r="Q158" s="574" t="s">
        <v>2234</v>
      </c>
      <c r="R158" s="574" t="s">
        <v>2225</v>
      </c>
      <c r="S158" s="574" t="s">
        <v>2235</v>
      </c>
      <c r="T158" s="574" t="s">
        <v>2236</v>
      </c>
      <c r="U158" s="574" t="s">
        <v>2359</v>
      </c>
      <c r="V158" s="574" t="s">
        <v>2238</v>
      </c>
      <c r="W158" s="574" t="s">
        <v>2239</v>
      </c>
      <c r="X158" s="574" t="s">
        <v>2360</v>
      </c>
      <c r="Y158" s="575" t="s">
        <v>2361</v>
      </c>
      <c r="Z158" s="575" t="s">
        <v>2361</v>
      </c>
      <c r="AA158" s="574" t="s">
        <v>1691</v>
      </c>
      <c r="AB158" s="574" t="s">
        <v>2297</v>
      </c>
      <c r="AC158" s="574" t="s">
        <v>2298</v>
      </c>
      <c r="AD158" s="574" t="s">
        <v>2299</v>
      </c>
      <c r="AE158" s="574" t="s">
        <v>1468</v>
      </c>
      <c r="AF158" s="574" t="s">
        <v>2299</v>
      </c>
      <c r="AG158" s="576">
        <v>102960</v>
      </c>
    </row>
    <row r="159" spans="1:33" hidden="1" x14ac:dyDescent="0.25">
      <c r="A159" s="574" t="s">
        <v>2219</v>
      </c>
      <c r="B159" s="574" t="s">
        <v>2220</v>
      </c>
      <c r="C159" s="574" t="s">
        <v>2221</v>
      </c>
      <c r="D159" s="574" t="s">
        <v>2220</v>
      </c>
      <c r="E159" s="574" t="s">
        <v>2222</v>
      </c>
      <c r="F159" s="574" t="s">
        <v>2223</v>
      </c>
      <c r="G159" s="574" t="s">
        <v>2224</v>
      </c>
      <c r="H159" s="574" t="s">
        <v>2225</v>
      </c>
      <c r="I159" s="574" t="s">
        <v>2226</v>
      </c>
      <c r="J159" s="574" t="s">
        <v>2227</v>
      </c>
      <c r="K159" s="574" t="s">
        <v>2228</v>
      </c>
      <c r="L159" s="574" t="s">
        <v>2229</v>
      </c>
      <c r="M159" s="574" t="s">
        <v>2230</v>
      </c>
      <c r="N159" s="574" t="s">
        <v>2231</v>
      </c>
      <c r="O159" s="574" t="s">
        <v>2232</v>
      </c>
      <c r="P159" s="574" t="s">
        <v>2233</v>
      </c>
      <c r="Q159" s="574" t="s">
        <v>2234</v>
      </c>
      <c r="R159" s="574" t="s">
        <v>2225</v>
      </c>
      <c r="S159" s="574" t="s">
        <v>2235</v>
      </c>
      <c r="T159" s="574" t="s">
        <v>2236</v>
      </c>
      <c r="U159" s="574" t="s">
        <v>2355</v>
      </c>
      <c r="V159" s="574" t="s">
        <v>2238</v>
      </c>
      <c r="W159" s="574" t="s">
        <v>2239</v>
      </c>
      <c r="X159" s="574" t="s">
        <v>2356</v>
      </c>
      <c r="Y159" s="575" t="s">
        <v>2346</v>
      </c>
      <c r="Z159" s="575" t="s">
        <v>2346</v>
      </c>
      <c r="AA159" s="574" t="s">
        <v>1691</v>
      </c>
      <c r="AB159" s="574" t="s">
        <v>2297</v>
      </c>
      <c r="AC159" s="574" t="s">
        <v>2298</v>
      </c>
      <c r="AD159" s="574" t="s">
        <v>2299</v>
      </c>
      <c r="AE159" s="574" t="s">
        <v>1468</v>
      </c>
      <c r="AF159" s="574" t="s">
        <v>2299</v>
      </c>
      <c r="AG159" s="576">
        <v>104300</v>
      </c>
    </row>
    <row r="160" spans="1:33" hidden="1" x14ac:dyDescent="0.25">
      <c r="A160" s="574" t="s">
        <v>2219</v>
      </c>
      <c r="B160" s="574" t="s">
        <v>2220</v>
      </c>
      <c r="C160" s="574" t="s">
        <v>2221</v>
      </c>
      <c r="D160" s="574" t="s">
        <v>2220</v>
      </c>
      <c r="E160" s="574" t="s">
        <v>2222</v>
      </c>
      <c r="F160" s="574" t="s">
        <v>2223</v>
      </c>
      <c r="G160" s="574" t="s">
        <v>2224</v>
      </c>
      <c r="H160" s="574" t="s">
        <v>2225</v>
      </c>
      <c r="I160" s="574" t="s">
        <v>2226</v>
      </c>
      <c r="J160" s="574" t="s">
        <v>2227</v>
      </c>
      <c r="K160" s="574" t="s">
        <v>2228</v>
      </c>
      <c r="L160" s="574" t="s">
        <v>2229</v>
      </c>
      <c r="M160" s="574" t="s">
        <v>2230</v>
      </c>
      <c r="N160" s="574" t="s">
        <v>2231</v>
      </c>
      <c r="O160" s="574" t="s">
        <v>2759</v>
      </c>
      <c r="P160" s="574" t="s">
        <v>2932</v>
      </c>
      <c r="Q160" s="574" t="s">
        <v>2234</v>
      </c>
      <c r="R160" s="574" t="s">
        <v>2225</v>
      </c>
      <c r="S160" s="574" t="s">
        <v>2235</v>
      </c>
      <c r="T160" s="574" t="s">
        <v>2236</v>
      </c>
      <c r="U160" s="574" t="s">
        <v>3113</v>
      </c>
      <c r="V160" s="574" t="s">
        <v>2238</v>
      </c>
      <c r="W160" s="574" t="s">
        <v>2239</v>
      </c>
      <c r="X160" s="574" t="s">
        <v>3114</v>
      </c>
      <c r="Y160" s="575" t="s">
        <v>2501</v>
      </c>
      <c r="Z160" s="575" t="s">
        <v>2501</v>
      </c>
      <c r="AA160" s="574" t="s">
        <v>1691</v>
      </c>
      <c r="AB160" s="574" t="s">
        <v>2297</v>
      </c>
      <c r="AC160" s="574" t="s">
        <v>2298</v>
      </c>
      <c r="AD160" s="574" t="s">
        <v>2299</v>
      </c>
      <c r="AE160" s="574" t="s">
        <v>1468</v>
      </c>
      <c r="AF160" s="574" t="s">
        <v>2299</v>
      </c>
      <c r="AG160" s="576">
        <v>136500</v>
      </c>
    </row>
    <row r="161" spans="1:33" hidden="1" x14ac:dyDescent="0.25">
      <c r="A161" s="574" t="s">
        <v>2219</v>
      </c>
      <c r="B161" s="574" t="s">
        <v>2220</v>
      </c>
      <c r="C161" s="574" t="s">
        <v>2221</v>
      </c>
      <c r="D161" s="574" t="s">
        <v>2220</v>
      </c>
      <c r="E161" s="574" t="s">
        <v>2222</v>
      </c>
      <c r="F161" s="574" t="s">
        <v>2223</v>
      </c>
      <c r="G161" s="574" t="s">
        <v>2224</v>
      </c>
      <c r="H161" s="574" t="s">
        <v>2225</v>
      </c>
      <c r="I161" s="574" t="s">
        <v>2226</v>
      </c>
      <c r="J161" s="574" t="s">
        <v>2227</v>
      </c>
      <c r="K161" s="574" t="s">
        <v>2228</v>
      </c>
      <c r="L161" s="574" t="s">
        <v>2229</v>
      </c>
      <c r="M161" s="574" t="s">
        <v>2230</v>
      </c>
      <c r="N161" s="574" t="s">
        <v>2231</v>
      </c>
      <c r="O161" s="574" t="s">
        <v>2759</v>
      </c>
      <c r="P161" s="574" t="s">
        <v>2932</v>
      </c>
      <c r="Q161" s="574" t="s">
        <v>2234</v>
      </c>
      <c r="R161" s="574" t="s">
        <v>2225</v>
      </c>
      <c r="S161" s="574" t="s">
        <v>2235</v>
      </c>
      <c r="T161" s="574" t="s">
        <v>2236</v>
      </c>
      <c r="U161" s="574" t="s">
        <v>3115</v>
      </c>
      <c r="V161" s="574" t="s">
        <v>2238</v>
      </c>
      <c r="W161" s="574" t="s">
        <v>2239</v>
      </c>
      <c r="X161" s="574" t="s">
        <v>3116</v>
      </c>
      <c r="Y161" s="575" t="s">
        <v>2501</v>
      </c>
      <c r="Z161" s="575" t="s">
        <v>2501</v>
      </c>
      <c r="AA161" s="574" t="s">
        <v>1691</v>
      </c>
      <c r="AB161" s="574" t="s">
        <v>2297</v>
      </c>
      <c r="AC161" s="574" t="s">
        <v>2298</v>
      </c>
      <c r="AD161" s="574" t="s">
        <v>2299</v>
      </c>
      <c r="AE161" s="574" t="s">
        <v>1468</v>
      </c>
      <c r="AF161" s="574" t="s">
        <v>2299</v>
      </c>
      <c r="AG161" s="576">
        <v>138000</v>
      </c>
    </row>
    <row r="162" spans="1:33" hidden="1" x14ac:dyDescent="0.25">
      <c r="A162" s="574" t="s">
        <v>2219</v>
      </c>
      <c r="B162" s="574" t="s">
        <v>2220</v>
      </c>
      <c r="C162" s="574" t="s">
        <v>2221</v>
      </c>
      <c r="D162" s="574" t="s">
        <v>2220</v>
      </c>
      <c r="E162" s="574" t="s">
        <v>2222</v>
      </c>
      <c r="F162" s="574" t="s">
        <v>2223</v>
      </c>
      <c r="G162" s="574" t="s">
        <v>2224</v>
      </c>
      <c r="H162" s="574" t="s">
        <v>2225</v>
      </c>
      <c r="I162" s="574" t="s">
        <v>2226</v>
      </c>
      <c r="J162" s="574" t="s">
        <v>2227</v>
      </c>
      <c r="K162" s="574" t="s">
        <v>2228</v>
      </c>
      <c r="L162" s="574" t="s">
        <v>2229</v>
      </c>
      <c r="M162" s="574" t="s">
        <v>2230</v>
      </c>
      <c r="N162" s="574" t="s">
        <v>2231</v>
      </c>
      <c r="O162" s="574" t="s">
        <v>2759</v>
      </c>
      <c r="P162" s="574" t="s">
        <v>2932</v>
      </c>
      <c r="Q162" s="574" t="s">
        <v>2234</v>
      </c>
      <c r="R162" s="574" t="s">
        <v>2225</v>
      </c>
      <c r="S162" s="574" t="s">
        <v>2235</v>
      </c>
      <c r="T162" s="574" t="s">
        <v>2236</v>
      </c>
      <c r="U162" s="574" t="s">
        <v>3075</v>
      </c>
      <c r="V162" s="574" t="s">
        <v>2238</v>
      </c>
      <c r="W162" s="574" t="s">
        <v>2239</v>
      </c>
      <c r="X162" s="574" t="s">
        <v>3076</v>
      </c>
      <c r="Y162" s="575" t="s">
        <v>3070</v>
      </c>
      <c r="Z162" s="575" t="s">
        <v>3070</v>
      </c>
      <c r="AA162" s="574" t="s">
        <v>1691</v>
      </c>
      <c r="AB162" s="574" t="s">
        <v>2297</v>
      </c>
      <c r="AC162" s="574" t="s">
        <v>2298</v>
      </c>
      <c r="AD162" s="574" t="s">
        <v>2299</v>
      </c>
      <c r="AE162" s="574" t="s">
        <v>1468</v>
      </c>
      <c r="AF162" s="574" t="s">
        <v>2299</v>
      </c>
      <c r="AG162" s="576">
        <v>138250</v>
      </c>
    </row>
    <row r="163" spans="1:33" hidden="1" x14ac:dyDescent="0.25">
      <c r="A163" s="574" t="s">
        <v>2219</v>
      </c>
      <c r="B163" s="574" t="s">
        <v>2220</v>
      </c>
      <c r="C163" s="574" t="s">
        <v>2221</v>
      </c>
      <c r="D163" s="574" t="s">
        <v>2220</v>
      </c>
      <c r="E163" s="574" t="s">
        <v>2222</v>
      </c>
      <c r="F163" s="574" t="s">
        <v>2223</v>
      </c>
      <c r="G163" s="574" t="s">
        <v>2224</v>
      </c>
      <c r="H163" s="574" t="s">
        <v>2225</v>
      </c>
      <c r="I163" s="574" t="s">
        <v>2226</v>
      </c>
      <c r="J163" s="574" t="s">
        <v>2227</v>
      </c>
      <c r="K163" s="574" t="s">
        <v>2228</v>
      </c>
      <c r="L163" s="574" t="s">
        <v>2229</v>
      </c>
      <c r="M163" s="574" t="s">
        <v>2230</v>
      </c>
      <c r="N163" s="574" t="s">
        <v>2231</v>
      </c>
      <c r="O163" s="574" t="s">
        <v>2759</v>
      </c>
      <c r="P163" s="574" t="s">
        <v>2932</v>
      </c>
      <c r="Q163" s="574" t="s">
        <v>2234</v>
      </c>
      <c r="R163" s="574" t="s">
        <v>2225</v>
      </c>
      <c r="S163" s="574" t="s">
        <v>2235</v>
      </c>
      <c r="T163" s="574" t="s">
        <v>2236</v>
      </c>
      <c r="U163" s="574" t="s">
        <v>3079</v>
      </c>
      <c r="V163" s="574" t="s">
        <v>2238</v>
      </c>
      <c r="W163" s="574" t="s">
        <v>2239</v>
      </c>
      <c r="X163" s="574" t="s">
        <v>3080</v>
      </c>
      <c r="Y163" s="575" t="s">
        <v>3070</v>
      </c>
      <c r="Z163" s="575" t="s">
        <v>3070</v>
      </c>
      <c r="AA163" s="574" t="s">
        <v>1691</v>
      </c>
      <c r="AB163" s="574" t="s">
        <v>2297</v>
      </c>
      <c r="AC163" s="574" t="s">
        <v>2298</v>
      </c>
      <c r="AD163" s="574" t="s">
        <v>2299</v>
      </c>
      <c r="AE163" s="574" t="s">
        <v>1468</v>
      </c>
      <c r="AF163" s="574" t="s">
        <v>2299</v>
      </c>
      <c r="AG163" s="576">
        <v>141250</v>
      </c>
    </row>
    <row r="164" spans="1:33" hidden="1" x14ac:dyDescent="0.25">
      <c r="A164" s="574" t="s">
        <v>2219</v>
      </c>
      <c r="B164" s="574" t="s">
        <v>2220</v>
      </c>
      <c r="C164" s="574" t="s">
        <v>2221</v>
      </c>
      <c r="D164" s="574" t="s">
        <v>2220</v>
      </c>
      <c r="E164" s="574" t="s">
        <v>2222</v>
      </c>
      <c r="F164" s="574" t="s">
        <v>2223</v>
      </c>
      <c r="G164" s="574" t="s">
        <v>2224</v>
      </c>
      <c r="H164" s="574" t="s">
        <v>2225</v>
      </c>
      <c r="I164" s="574" t="s">
        <v>2226</v>
      </c>
      <c r="J164" s="574" t="s">
        <v>2227</v>
      </c>
      <c r="K164" s="574" t="s">
        <v>2228</v>
      </c>
      <c r="L164" s="574" t="s">
        <v>2229</v>
      </c>
      <c r="M164" s="574" t="s">
        <v>2230</v>
      </c>
      <c r="N164" s="574" t="s">
        <v>2231</v>
      </c>
      <c r="O164" s="574" t="s">
        <v>2759</v>
      </c>
      <c r="P164" s="574" t="s">
        <v>2932</v>
      </c>
      <c r="Q164" s="574" t="s">
        <v>2234</v>
      </c>
      <c r="R164" s="574" t="s">
        <v>2225</v>
      </c>
      <c r="S164" s="574" t="s">
        <v>2235</v>
      </c>
      <c r="T164" s="574" t="s">
        <v>2236</v>
      </c>
      <c r="U164" s="574" t="s">
        <v>3081</v>
      </c>
      <c r="V164" s="574" t="s">
        <v>2238</v>
      </c>
      <c r="W164" s="574" t="s">
        <v>2239</v>
      </c>
      <c r="X164" s="574" t="s">
        <v>3082</v>
      </c>
      <c r="Y164" s="575" t="s">
        <v>3070</v>
      </c>
      <c r="Z164" s="575" t="s">
        <v>3070</v>
      </c>
      <c r="AA164" s="574" t="s">
        <v>1691</v>
      </c>
      <c r="AB164" s="574" t="s">
        <v>2297</v>
      </c>
      <c r="AC164" s="574" t="s">
        <v>2298</v>
      </c>
      <c r="AD164" s="574" t="s">
        <v>2299</v>
      </c>
      <c r="AE164" s="574" t="s">
        <v>1468</v>
      </c>
      <c r="AF164" s="574" t="s">
        <v>2299</v>
      </c>
      <c r="AG164" s="576">
        <v>142500</v>
      </c>
    </row>
    <row r="165" spans="1:33" hidden="1" x14ac:dyDescent="0.25">
      <c r="A165" s="574" t="s">
        <v>2219</v>
      </c>
      <c r="B165" s="574" t="s">
        <v>2220</v>
      </c>
      <c r="C165" s="574" t="s">
        <v>2221</v>
      </c>
      <c r="D165" s="574" t="s">
        <v>2220</v>
      </c>
      <c r="E165" s="574" t="s">
        <v>2222</v>
      </c>
      <c r="F165" s="574" t="s">
        <v>2223</v>
      </c>
      <c r="G165" s="574" t="s">
        <v>2224</v>
      </c>
      <c r="H165" s="574" t="s">
        <v>2225</v>
      </c>
      <c r="I165" s="574" t="s">
        <v>2226</v>
      </c>
      <c r="J165" s="574" t="s">
        <v>2227</v>
      </c>
      <c r="K165" s="574" t="s">
        <v>2228</v>
      </c>
      <c r="L165" s="574" t="s">
        <v>2229</v>
      </c>
      <c r="M165" s="574" t="s">
        <v>2230</v>
      </c>
      <c r="N165" s="574" t="s">
        <v>2231</v>
      </c>
      <c r="O165" s="574" t="s">
        <v>2232</v>
      </c>
      <c r="P165" s="574" t="s">
        <v>2233</v>
      </c>
      <c r="Q165" s="574" t="s">
        <v>2234</v>
      </c>
      <c r="R165" s="574" t="s">
        <v>2225</v>
      </c>
      <c r="S165" s="574" t="s">
        <v>2235</v>
      </c>
      <c r="T165" s="574" t="s">
        <v>2236</v>
      </c>
      <c r="U165" s="574" t="s">
        <v>2551</v>
      </c>
      <c r="V165" s="574" t="s">
        <v>2238</v>
      </c>
      <c r="W165" s="574" t="s">
        <v>2239</v>
      </c>
      <c r="X165" s="574" t="s">
        <v>2552</v>
      </c>
      <c r="Y165" s="575" t="s">
        <v>2553</v>
      </c>
      <c r="Z165" s="575" t="s">
        <v>2553</v>
      </c>
      <c r="AA165" s="574" t="s">
        <v>1691</v>
      </c>
      <c r="AB165" s="574" t="s">
        <v>2297</v>
      </c>
      <c r="AC165" s="574" t="s">
        <v>2298</v>
      </c>
      <c r="AD165" s="574" t="s">
        <v>2299</v>
      </c>
      <c r="AE165" s="574" t="s">
        <v>1468</v>
      </c>
      <c r="AF165" s="574" t="s">
        <v>2299</v>
      </c>
      <c r="AG165" s="576">
        <v>147800</v>
      </c>
    </row>
    <row r="166" spans="1:33" hidden="1" x14ac:dyDescent="0.25">
      <c r="A166" s="574" t="s">
        <v>2219</v>
      </c>
      <c r="B166" s="574" t="s">
        <v>2220</v>
      </c>
      <c r="C166" s="574" t="s">
        <v>2221</v>
      </c>
      <c r="D166" s="574" t="s">
        <v>2220</v>
      </c>
      <c r="E166" s="574" t="s">
        <v>2222</v>
      </c>
      <c r="F166" s="574" t="s">
        <v>2223</v>
      </c>
      <c r="G166" s="574" t="s">
        <v>2224</v>
      </c>
      <c r="H166" s="574" t="s">
        <v>2225</v>
      </c>
      <c r="I166" s="574" t="s">
        <v>2226</v>
      </c>
      <c r="J166" s="574" t="s">
        <v>2227</v>
      </c>
      <c r="K166" s="574" t="s">
        <v>2228</v>
      </c>
      <c r="L166" s="574" t="s">
        <v>2229</v>
      </c>
      <c r="M166" s="574" t="s">
        <v>2230</v>
      </c>
      <c r="N166" s="574" t="s">
        <v>2231</v>
      </c>
      <c r="O166" s="574" t="s">
        <v>2232</v>
      </c>
      <c r="P166" s="574" t="s">
        <v>2233</v>
      </c>
      <c r="Q166" s="574" t="s">
        <v>2234</v>
      </c>
      <c r="R166" s="574" t="s">
        <v>2225</v>
      </c>
      <c r="S166" s="574" t="s">
        <v>2235</v>
      </c>
      <c r="T166" s="574" t="s">
        <v>2236</v>
      </c>
      <c r="U166" s="574" t="s">
        <v>2487</v>
      </c>
      <c r="V166" s="574" t="s">
        <v>2238</v>
      </c>
      <c r="W166" s="574" t="s">
        <v>2239</v>
      </c>
      <c r="X166" s="574" t="s">
        <v>2488</v>
      </c>
      <c r="Y166" s="575" t="s">
        <v>2484</v>
      </c>
      <c r="Z166" s="575" t="s">
        <v>2484</v>
      </c>
      <c r="AA166" s="574" t="s">
        <v>1691</v>
      </c>
      <c r="AB166" s="574" t="s">
        <v>2297</v>
      </c>
      <c r="AC166" s="574" t="s">
        <v>2298</v>
      </c>
      <c r="AD166" s="574" t="s">
        <v>2299</v>
      </c>
      <c r="AE166" s="574" t="s">
        <v>1468</v>
      </c>
      <c r="AF166" s="574" t="s">
        <v>2299</v>
      </c>
      <c r="AG166" s="576">
        <v>148000</v>
      </c>
    </row>
    <row r="167" spans="1:33" hidden="1" x14ac:dyDescent="0.25">
      <c r="A167" s="574" t="s">
        <v>2219</v>
      </c>
      <c r="B167" s="574" t="s">
        <v>2220</v>
      </c>
      <c r="C167" s="574" t="s">
        <v>2221</v>
      </c>
      <c r="D167" s="574" t="s">
        <v>2220</v>
      </c>
      <c r="E167" s="574" t="s">
        <v>2222</v>
      </c>
      <c r="F167" s="574" t="s">
        <v>2223</v>
      </c>
      <c r="G167" s="574" t="s">
        <v>2224</v>
      </c>
      <c r="H167" s="574" t="s">
        <v>2225</v>
      </c>
      <c r="I167" s="574" t="s">
        <v>2226</v>
      </c>
      <c r="J167" s="574" t="s">
        <v>2227</v>
      </c>
      <c r="K167" s="574" t="s">
        <v>2228</v>
      </c>
      <c r="L167" s="574" t="s">
        <v>2229</v>
      </c>
      <c r="M167" s="574" t="s">
        <v>2230</v>
      </c>
      <c r="N167" s="574" t="s">
        <v>2231</v>
      </c>
      <c r="O167" s="574" t="s">
        <v>2232</v>
      </c>
      <c r="P167" s="574" t="s">
        <v>2233</v>
      </c>
      <c r="Q167" s="574" t="s">
        <v>2234</v>
      </c>
      <c r="R167" s="574" t="s">
        <v>2225</v>
      </c>
      <c r="S167" s="574" t="s">
        <v>2235</v>
      </c>
      <c r="T167" s="574" t="s">
        <v>2236</v>
      </c>
      <c r="U167" s="574" t="s">
        <v>2469</v>
      </c>
      <c r="V167" s="574" t="s">
        <v>2238</v>
      </c>
      <c r="W167" s="574" t="s">
        <v>2239</v>
      </c>
      <c r="X167" s="574" t="s">
        <v>2470</v>
      </c>
      <c r="Y167" s="575" t="s">
        <v>2471</v>
      </c>
      <c r="Z167" s="575" t="s">
        <v>2471</v>
      </c>
      <c r="AA167" s="574" t="s">
        <v>1691</v>
      </c>
      <c r="AB167" s="574" t="s">
        <v>2297</v>
      </c>
      <c r="AC167" s="574" t="s">
        <v>2298</v>
      </c>
      <c r="AD167" s="574" t="s">
        <v>2299</v>
      </c>
      <c r="AE167" s="574" t="s">
        <v>1468</v>
      </c>
      <c r="AF167" s="574" t="s">
        <v>2299</v>
      </c>
      <c r="AG167" s="576">
        <v>148500</v>
      </c>
    </row>
    <row r="168" spans="1:33" hidden="1" x14ac:dyDescent="0.25">
      <c r="A168" s="574" t="s">
        <v>2219</v>
      </c>
      <c r="B168" s="574" t="s">
        <v>2220</v>
      </c>
      <c r="C168" s="574" t="s">
        <v>2221</v>
      </c>
      <c r="D168" s="574" t="s">
        <v>2220</v>
      </c>
      <c r="E168" s="574" t="s">
        <v>2222</v>
      </c>
      <c r="F168" s="574" t="s">
        <v>2223</v>
      </c>
      <c r="G168" s="574" t="s">
        <v>2224</v>
      </c>
      <c r="H168" s="574" t="s">
        <v>2225</v>
      </c>
      <c r="I168" s="574" t="s">
        <v>2226</v>
      </c>
      <c r="J168" s="574" t="s">
        <v>2227</v>
      </c>
      <c r="K168" s="574" t="s">
        <v>2228</v>
      </c>
      <c r="L168" s="574" t="s">
        <v>2229</v>
      </c>
      <c r="M168" s="574" t="s">
        <v>2230</v>
      </c>
      <c r="N168" s="574" t="s">
        <v>2231</v>
      </c>
      <c r="O168" s="574" t="s">
        <v>2759</v>
      </c>
      <c r="P168" s="574" t="s">
        <v>2932</v>
      </c>
      <c r="Q168" s="574" t="s">
        <v>2234</v>
      </c>
      <c r="R168" s="574" t="s">
        <v>2225</v>
      </c>
      <c r="S168" s="574" t="s">
        <v>2235</v>
      </c>
      <c r="T168" s="574" t="s">
        <v>2236</v>
      </c>
      <c r="U168" s="574" t="s">
        <v>3180</v>
      </c>
      <c r="V168" s="574" t="s">
        <v>2238</v>
      </c>
      <c r="W168" s="574" t="s">
        <v>2239</v>
      </c>
      <c r="X168" s="574" t="s">
        <v>3181</v>
      </c>
      <c r="Y168" s="575" t="s">
        <v>2543</v>
      </c>
      <c r="Z168" s="575" t="s">
        <v>2543</v>
      </c>
      <c r="AA168" s="574" t="s">
        <v>1691</v>
      </c>
      <c r="AB168" s="574" t="s">
        <v>2297</v>
      </c>
      <c r="AC168" s="574" t="s">
        <v>2298</v>
      </c>
      <c r="AD168" s="574" t="s">
        <v>2299</v>
      </c>
      <c r="AE168" s="574" t="s">
        <v>1468</v>
      </c>
      <c r="AF168" s="574" t="s">
        <v>2299</v>
      </c>
      <c r="AG168" s="576">
        <v>160380</v>
      </c>
    </row>
    <row r="169" spans="1:33" hidden="1" x14ac:dyDescent="0.25">
      <c r="A169" s="574" t="s">
        <v>2219</v>
      </c>
      <c r="B169" s="574" t="s">
        <v>2220</v>
      </c>
      <c r="C169" s="574" t="s">
        <v>2221</v>
      </c>
      <c r="D169" s="574" t="s">
        <v>2220</v>
      </c>
      <c r="E169" s="574" t="s">
        <v>2222</v>
      </c>
      <c r="F169" s="574" t="s">
        <v>2223</v>
      </c>
      <c r="G169" s="574" t="s">
        <v>2224</v>
      </c>
      <c r="H169" s="574" t="s">
        <v>2225</v>
      </c>
      <c r="I169" s="574" t="s">
        <v>2226</v>
      </c>
      <c r="J169" s="574" t="s">
        <v>2227</v>
      </c>
      <c r="K169" s="574" t="s">
        <v>2228</v>
      </c>
      <c r="L169" s="574" t="s">
        <v>2229</v>
      </c>
      <c r="M169" s="574" t="s">
        <v>2230</v>
      </c>
      <c r="N169" s="574" t="s">
        <v>2231</v>
      </c>
      <c r="O169" s="574" t="s">
        <v>2759</v>
      </c>
      <c r="P169" s="574" t="s">
        <v>2932</v>
      </c>
      <c r="Q169" s="574" t="s">
        <v>2234</v>
      </c>
      <c r="R169" s="574" t="s">
        <v>2225</v>
      </c>
      <c r="S169" s="574" t="s">
        <v>2235</v>
      </c>
      <c r="T169" s="574" t="s">
        <v>2236</v>
      </c>
      <c r="U169" s="574" t="s">
        <v>3176</v>
      </c>
      <c r="V169" s="574" t="s">
        <v>2238</v>
      </c>
      <c r="W169" s="574" t="s">
        <v>2239</v>
      </c>
      <c r="X169" s="574" t="s">
        <v>3177</v>
      </c>
      <c r="Y169" s="575" t="s">
        <v>2543</v>
      </c>
      <c r="Z169" s="575" t="s">
        <v>2543</v>
      </c>
      <c r="AA169" s="574" t="s">
        <v>1691</v>
      </c>
      <c r="AB169" s="574" t="s">
        <v>2297</v>
      </c>
      <c r="AC169" s="574" t="s">
        <v>2298</v>
      </c>
      <c r="AD169" s="574" t="s">
        <v>2299</v>
      </c>
      <c r="AE169" s="574" t="s">
        <v>1468</v>
      </c>
      <c r="AF169" s="574" t="s">
        <v>2299</v>
      </c>
      <c r="AG169" s="576">
        <v>161848.5</v>
      </c>
    </row>
    <row r="170" spans="1:33" hidden="1" x14ac:dyDescent="0.25">
      <c r="A170" s="574" t="s">
        <v>2219</v>
      </c>
      <c r="B170" s="574" t="s">
        <v>2220</v>
      </c>
      <c r="C170" s="574" t="s">
        <v>2221</v>
      </c>
      <c r="D170" s="574" t="s">
        <v>2220</v>
      </c>
      <c r="E170" s="574" t="s">
        <v>2222</v>
      </c>
      <c r="F170" s="574" t="s">
        <v>2223</v>
      </c>
      <c r="G170" s="574" t="s">
        <v>2224</v>
      </c>
      <c r="H170" s="574" t="s">
        <v>2225</v>
      </c>
      <c r="I170" s="574" t="s">
        <v>2226</v>
      </c>
      <c r="J170" s="574" t="s">
        <v>2227</v>
      </c>
      <c r="K170" s="574" t="s">
        <v>2228</v>
      </c>
      <c r="L170" s="574" t="s">
        <v>2229</v>
      </c>
      <c r="M170" s="574" t="s">
        <v>2230</v>
      </c>
      <c r="N170" s="574" t="s">
        <v>2231</v>
      </c>
      <c r="O170" s="574" t="s">
        <v>2232</v>
      </c>
      <c r="P170" s="574" t="s">
        <v>2233</v>
      </c>
      <c r="Q170" s="574" t="s">
        <v>2234</v>
      </c>
      <c r="R170" s="574" t="s">
        <v>2225</v>
      </c>
      <c r="S170" s="574" t="s">
        <v>2235</v>
      </c>
      <c r="T170" s="574" t="s">
        <v>2236</v>
      </c>
      <c r="U170" s="574" t="s">
        <v>2438</v>
      </c>
      <c r="V170" s="574" t="s">
        <v>2238</v>
      </c>
      <c r="W170" s="574" t="s">
        <v>2239</v>
      </c>
      <c r="X170" s="574" t="s">
        <v>2439</v>
      </c>
      <c r="Y170" s="575" t="s">
        <v>2429</v>
      </c>
      <c r="Z170" s="575" t="s">
        <v>2429</v>
      </c>
      <c r="AA170" s="574" t="s">
        <v>1691</v>
      </c>
      <c r="AB170" s="574" t="s">
        <v>2297</v>
      </c>
      <c r="AC170" s="574" t="s">
        <v>2298</v>
      </c>
      <c r="AD170" s="574" t="s">
        <v>2299</v>
      </c>
      <c r="AE170" s="574" t="s">
        <v>1468</v>
      </c>
      <c r="AF170" s="574" t="s">
        <v>2299</v>
      </c>
      <c r="AG170" s="576">
        <v>176250</v>
      </c>
    </row>
    <row r="171" spans="1:33" hidden="1" x14ac:dyDescent="0.25">
      <c r="A171" s="574" t="s">
        <v>2219</v>
      </c>
      <c r="B171" s="574" t="s">
        <v>2220</v>
      </c>
      <c r="C171" s="574" t="s">
        <v>2221</v>
      </c>
      <c r="D171" s="574" t="s">
        <v>2220</v>
      </c>
      <c r="E171" s="574" t="s">
        <v>2222</v>
      </c>
      <c r="F171" s="574" t="s">
        <v>2223</v>
      </c>
      <c r="G171" s="574" t="s">
        <v>2224</v>
      </c>
      <c r="H171" s="574" t="s">
        <v>2225</v>
      </c>
      <c r="I171" s="574" t="s">
        <v>2226</v>
      </c>
      <c r="J171" s="574" t="s">
        <v>2227</v>
      </c>
      <c r="K171" s="574" t="s">
        <v>2228</v>
      </c>
      <c r="L171" s="574" t="s">
        <v>2229</v>
      </c>
      <c r="M171" s="574" t="s">
        <v>2230</v>
      </c>
      <c r="N171" s="574" t="s">
        <v>2231</v>
      </c>
      <c r="O171" s="574" t="s">
        <v>2759</v>
      </c>
      <c r="P171" s="574" t="s">
        <v>2932</v>
      </c>
      <c r="Q171" s="574" t="s">
        <v>2234</v>
      </c>
      <c r="R171" s="574" t="s">
        <v>2225</v>
      </c>
      <c r="S171" s="574" t="s">
        <v>2235</v>
      </c>
      <c r="T171" s="574" t="s">
        <v>2236</v>
      </c>
      <c r="U171" s="574" t="s">
        <v>3158</v>
      </c>
      <c r="V171" s="574" t="s">
        <v>2238</v>
      </c>
      <c r="W171" s="574" t="s">
        <v>2239</v>
      </c>
      <c r="X171" s="574" t="s">
        <v>3159</v>
      </c>
      <c r="Y171" s="575" t="s">
        <v>2528</v>
      </c>
      <c r="Z171" s="575" t="s">
        <v>2528</v>
      </c>
      <c r="AA171" s="574" t="s">
        <v>1691</v>
      </c>
      <c r="AB171" s="574" t="s">
        <v>2297</v>
      </c>
      <c r="AC171" s="574" t="s">
        <v>2298</v>
      </c>
      <c r="AD171" s="574" t="s">
        <v>2299</v>
      </c>
      <c r="AE171" s="574" t="s">
        <v>1468</v>
      </c>
      <c r="AF171" s="574" t="s">
        <v>2299</v>
      </c>
      <c r="AG171" s="576">
        <v>177500</v>
      </c>
    </row>
    <row r="172" spans="1:33" hidden="1" x14ac:dyDescent="0.25">
      <c r="A172" s="574" t="s">
        <v>2219</v>
      </c>
      <c r="B172" s="574" t="s">
        <v>2220</v>
      </c>
      <c r="C172" s="574" t="s">
        <v>2221</v>
      </c>
      <c r="D172" s="574" t="s">
        <v>2220</v>
      </c>
      <c r="E172" s="574" t="s">
        <v>2222</v>
      </c>
      <c r="F172" s="574" t="s">
        <v>2223</v>
      </c>
      <c r="G172" s="574" t="s">
        <v>2224</v>
      </c>
      <c r="H172" s="574" t="s">
        <v>2225</v>
      </c>
      <c r="I172" s="574" t="s">
        <v>2226</v>
      </c>
      <c r="J172" s="574" t="s">
        <v>2227</v>
      </c>
      <c r="K172" s="574" t="s">
        <v>2228</v>
      </c>
      <c r="L172" s="574" t="s">
        <v>2229</v>
      </c>
      <c r="M172" s="574" t="s">
        <v>2230</v>
      </c>
      <c r="N172" s="574" t="s">
        <v>2231</v>
      </c>
      <c r="O172" s="574" t="s">
        <v>2759</v>
      </c>
      <c r="P172" s="574" t="s">
        <v>2932</v>
      </c>
      <c r="Q172" s="574" t="s">
        <v>2234</v>
      </c>
      <c r="R172" s="574" t="s">
        <v>2225</v>
      </c>
      <c r="S172" s="574" t="s">
        <v>2235</v>
      </c>
      <c r="T172" s="574" t="s">
        <v>2236</v>
      </c>
      <c r="U172" s="574" t="s">
        <v>3235</v>
      </c>
      <c r="V172" s="574" t="s">
        <v>2238</v>
      </c>
      <c r="W172" s="574" t="s">
        <v>2239</v>
      </c>
      <c r="X172" s="574" t="s">
        <v>3236</v>
      </c>
      <c r="Y172" s="575" t="s">
        <v>2571</v>
      </c>
      <c r="Z172" s="575" t="s">
        <v>2571</v>
      </c>
      <c r="AA172" s="574" t="s">
        <v>1691</v>
      </c>
      <c r="AB172" s="574" t="s">
        <v>2297</v>
      </c>
      <c r="AC172" s="574" t="s">
        <v>2298</v>
      </c>
      <c r="AD172" s="574" t="s">
        <v>2299</v>
      </c>
      <c r="AE172" s="574" t="s">
        <v>1468</v>
      </c>
      <c r="AF172" s="574" t="s">
        <v>2299</v>
      </c>
      <c r="AG172" s="576">
        <v>179280</v>
      </c>
    </row>
    <row r="173" spans="1:33" hidden="1" x14ac:dyDescent="0.25">
      <c r="A173" s="574" t="s">
        <v>2219</v>
      </c>
      <c r="B173" s="574" t="s">
        <v>2220</v>
      </c>
      <c r="C173" s="574" t="s">
        <v>2221</v>
      </c>
      <c r="D173" s="574" t="s">
        <v>2220</v>
      </c>
      <c r="E173" s="574" t="s">
        <v>2222</v>
      </c>
      <c r="F173" s="574" t="s">
        <v>2223</v>
      </c>
      <c r="G173" s="574" t="s">
        <v>2224</v>
      </c>
      <c r="H173" s="574" t="s">
        <v>2225</v>
      </c>
      <c r="I173" s="574" t="s">
        <v>2226</v>
      </c>
      <c r="J173" s="574" t="s">
        <v>2227</v>
      </c>
      <c r="K173" s="574" t="s">
        <v>2228</v>
      </c>
      <c r="L173" s="574" t="s">
        <v>2229</v>
      </c>
      <c r="M173" s="574" t="s">
        <v>2230</v>
      </c>
      <c r="N173" s="574" t="s">
        <v>2231</v>
      </c>
      <c r="O173" s="574" t="s">
        <v>2232</v>
      </c>
      <c r="P173" s="574" t="s">
        <v>2233</v>
      </c>
      <c r="Q173" s="574" t="s">
        <v>2234</v>
      </c>
      <c r="R173" s="574" t="s">
        <v>2225</v>
      </c>
      <c r="S173" s="574" t="s">
        <v>2235</v>
      </c>
      <c r="T173" s="574" t="s">
        <v>2236</v>
      </c>
      <c r="U173" s="574" t="s">
        <v>2340</v>
      </c>
      <c r="V173" s="574" t="s">
        <v>2238</v>
      </c>
      <c r="W173" s="574" t="s">
        <v>2239</v>
      </c>
      <c r="X173" s="574" t="s">
        <v>2341</v>
      </c>
      <c r="Y173" s="575" t="s">
        <v>2326</v>
      </c>
      <c r="Z173" s="575" t="s">
        <v>2326</v>
      </c>
      <c r="AA173" s="574" t="s">
        <v>1691</v>
      </c>
      <c r="AB173" s="574" t="s">
        <v>2297</v>
      </c>
      <c r="AC173" s="574" t="s">
        <v>2298</v>
      </c>
      <c r="AD173" s="574" t="s">
        <v>2299</v>
      </c>
      <c r="AE173" s="574" t="s">
        <v>1468</v>
      </c>
      <c r="AF173" s="574" t="s">
        <v>2299</v>
      </c>
      <c r="AG173" s="576">
        <v>180000</v>
      </c>
    </row>
    <row r="174" spans="1:33" hidden="1" x14ac:dyDescent="0.25">
      <c r="A174" s="574" t="s">
        <v>2219</v>
      </c>
      <c r="B174" s="574" t="s">
        <v>2220</v>
      </c>
      <c r="C174" s="574" t="s">
        <v>2221</v>
      </c>
      <c r="D174" s="574" t="s">
        <v>2220</v>
      </c>
      <c r="E174" s="574" t="s">
        <v>2222</v>
      </c>
      <c r="F174" s="574" t="s">
        <v>2223</v>
      </c>
      <c r="G174" s="574" t="s">
        <v>2224</v>
      </c>
      <c r="H174" s="574" t="s">
        <v>2225</v>
      </c>
      <c r="I174" s="574" t="s">
        <v>2226</v>
      </c>
      <c r="J174" s="574" t="s">
        <v>2227</v>
      </c>
      <c r="K174" s="574" t="s">
        <v>2228</v>
      </c>
      <c r="L174" s="574" t="s">
        <v>2229</v>
      </c>
      <c r="M174" s="574" t="s">
        <v>2230</v>
      </c>
      <c r="N174" s="574" t="s">
        <v>2231</v>
      </c>
      <c r="O174" s="574" t="s">
        <v>2232</v>
      </c>
      <c r="P174" s="574" t="s">
        <v>2233</v>
      </c>
      <c r="Q174" s="574" t="s">
        <v>2234</v>
      </c>
      <c r="R174" s="574" t="s">
        <v>2225</v>
      </c>
      <c r="S174" s="574" t="s">
        <v>2235</v>
      </c>
      <c r="T174" s="574" t="s">
        <v>2236</v>
      </c>
      <c r="U174" s="574" t="s">
        <v>2322</v>
      </c>
      <c r="V174" s="574" t="s">
        <v>2238</v>
      </c>
      <c r="W174" s="574" t="s">
        <v>2239</v>
      </c>
      <c r="X174" s="574" t="s">
        <v>2323</v>
      </c>
      <c r="Y174" s="575" t="s">
        <v>2306</v>
      </c>
      <c r="Z174" s="575" t="s">
        <v>2306</v>
      </c>
      <c r="AA174" s="574" t="s">
        <v>1691</v>
      </c>
      <c r="AB174" s="574" t="s">
        <v>2297</v>
      </c>
      <c r="AC174" s="574" t="s">
        <v>2298</v>
      </c>
      <c r="AD174" s="574" t="s">
        <v>2299</v>
      </c>
      <c r="AE174" s="574" t="s">
        <v>1468</v>
      </c>
      <c r="AF174" s="574" t="s">
        <v>2299</v>
      </c>
      <c r="AG174" s="576">
        <v>183600</v>
      </c>
    </row>
    <row r="175" spans="1:33" hidden="1" x14ac:dyDescent="0.25">
      <c r="A175" s="574" t="s">
        <v>2219</v>
      </c>
      <c r="B175" s="574" t="s">
        <v>2220</v>
      </c>
      <c r="C175" s="574" t="s">
        <v>2221</v>
      </c>
      <c r="D175" s="574" t="s">
        <v>2220</v>
      </c>
      <c r="E175" s="574" t="s">
        <v>2222</v>
      </c>
      <c r="F175" s="574" t="s">
        <v>2223</v>
      </c>
      <c r="G175" s="574" t="s">
        <v>2224</v>
      </c>
      <c r="H175" s="574" t="s">
        <v>2225</v>
      </c>
      <c r="I175" s="574" t="s">
        <v>2226</v>
      </c>
      <c r="J175" s="574" t="s">
        <v>2227</v>
      </c>
      <c r="K175" s="574" t="s">
        <v>2228</v>
      </c>
      <c r="L175" s="574" t="s">
        <v>2229</v>
      </c>
      <c r="M175" s="574" t="s">
        <v>2230</v>
      </c>
      <c r="N175" s="574" t="s">
        <v>2231</v>
      </c>
      <c r="O175" s="574" t="s">
        <v>2232</v>
      </c>
      <c r="P175" s="574" t="s">
        <v>2233</v>
      </c>
      <c r="Q175" s="574" t="s">
        <v>2234</v>
      </c>
      <c r="R175" s="574" t="s">
        <v>2225</v>
      </c>
      <c r="S175" s="574" t="s">
        <v>2235</v>
      </c>
      <c r="T175" s="574" t="s">
        <v>2236</v>
      </c>
      <c r="U175" s="574" t="s">
        <v>2357</v>
      </c>
      <c r="V175" s="574" t="s">
        <v>2238</v>
      </c>
      <c r="W175" s="574" t="s">
        <v>2239</v>
      </c>
      <c r="X175" s="574" t="s">
        <v>2358</v>
      </c>
      <c r="Y175" s="575" t="s">
        <v>2346</v>
      </c>
      <c r="Z175" s="575" t="s">
        <v>2346</v>
      </c>
      <c r="AA175" s="574" t="s">
        <v>1691</v>
      </c>
      <c r="AB175" s="574" t="s">
        <v>2297</v>
      </c>
      <c r="AC175" s="574" t="s">
        <v>2298</v>
      </c>
      <c r="AD175" s="574" t="s">
        <v>2299</v>
      </c>
      <c r="AE175" s="574" t="s">
        <v>1468</v>
      </c>
      <c r="AF175" s="574" t="s">
        <v>2299</v>
      </c>
      <c r="AG175" s="576">
        <v>185000</v>
      </c>
    </row>
    <row r="176" spans="1:33" hidden="1" x14ac:dyDescent="0.25">
      <c r="A176" s="574" t="s">
        <v>2219</v>
      </c>
      <c r="B176" s="574" t="s">
        <v>2220</v>
      </c>
      <c r="C176" s="574" t="s">
        <v>2221</v>
      </c>
      <c r="D176" s="574" t="s">
        <v>2220</v>
      </c>
      <c r="E176" s="574" t="s">
        <v>2222</v>
      </c>
      <c r="F176" s="574" t="s">
        <v>2223</v>
      </c>
      <c r="G176" s="574" t="s">
        <v>2224</v>
      </c>
      <c r="H176" s="574" t="s">
        <v>2225</v>
      </c>
      <c r="I176" s="574" t="s">
        <v>2226</v>
      </c>
      <c r="J176" s="574" t="s">
        <v>2227</v>
      </c>
      <c r="K176" s="574" t="s">
        <v>2228</v>
      </c>
      <c r="L176" s="574" t="s">
        <v>2229</v>
      </c>
      <c r="M176" s="574" t="s">
        <v>2230</v>
      </c>
      <c r="N176" s="574" t="s">
        <v>2231</v>
      </c>
      <c r="O176" s="574" t="s">
        <v>2232</v>
      </c>
      <c r="P176" s="574" t="s">
        <v>2233</v>
      </c>
      <c r="Q176" s="574" t="s">
        <v>2234</v>
      </c>
      <c r="R176" s="574" t="s">
        <v>2225</v>
      </c>
      <c r="S176" s="574" t="s">
        <v>2235</v>
      </c>
      <c r="T176" s="574" t="s">
        <v>2236</v>
      </c>
      <c r="U176" s="574" t="s">
        <v>2582</v>
      </c>
      <c r="V176" s="574" t="s">
        <v>2238</v>
      </c>
      <c r="W176" s="574" t="s">
        <v>2239</v>
      </c>
      <c r="X176" s="574" t="s">
        <v>2583</v>
      </c>
      <c r="Y176" s="575" t="s">
        <v>2579</v>
      </c>
      <c r="Z176" s="575" t="s">
        <v>2579</v>
      </c>
      <c r="AA176" s="574" t="s">
        <v>1691</v>
      </c>
      <c r="AB176" s="574" t="s">
        <v>2297</v>
      </c>
      <c r="AC176" s="574" t="s">
        <v>2298</v>
      </c>
      <c r="AD176" s="574" t="s">
        <v>2299</v>
      </c>
      <c r="AE176" s="574" t="s">
        <v>1468</v>
      </c>
      <c r="AF176" s="574" t="s">
        <v>2299</v>
      </c>
      <c r="AG176" s="576">
        <v>188200</v>
      </c>
    </row>
    <row r="177" spans="1:33" hidden="1" x14ac:dyDescent="0.25">
      <c r="A177" s="574" t="s">
        <v>2219</v>
      </c>
      <c r="B177" s="574" t="s">
        <v>2220</v>
      </c>
      <c r="C177" s="574" t="s">
        <v>2221</v>
      </c>
      <c r="D177" s="574" t="s">
        <v>2220</v>
      </c>
      <c r="E177" s="574" t="s">
        <v>2222</v>
      </c>
      <c r="F177" s="574" t="s">
        <v>2223</v>
      </c>
      <c r="G177" s="574" t="s">
        <v>2224</v>
      </c>
      <c r="H177" s="574" t="s">
        <v>2225</v>
      </c>
      <c r="I177" s="574" t="s">
        <v>2226</v>
      </c>
      <c r="J177" s="574" t="s">
        <v>2227</v>
      </c>
      <c r="K177" s="574" t="s">
        <v>2228</v>
      </c>
      <c r="L177" s="574" t="s">
        <v>2229</v>
      </c>
      <c r="M177" s="574" t="s">
        <v>2230</v>
      </c>
      <c r="N177" s="574" t="s">
        <v>2231</v>
      </c>
      <c r="O177" s="574" t="s">
        <v>2232</v>
      </c>
      <c r="P177" s="574" t="s">
        <v>2233</v>
      </c>
      <c r="Q177" s="574" t="s">
        <v>2234</v>
      </c>
      <c r="R177" s="574" t="s">
        <v>2225</v>
      </c>
      <c r="S177" s="574" t="s">
        <v>2235</v>
      </c>
      <c r="T177" s="574" t="s">
        <v>2236</v>
      </c>
      <c r="U177" s="574" t="s">
        <v>2329</v>
      </c>
      <c r="V177" s="574" t="s">
        <v>2238</v>
      </c>
      <c r="W177" s="574" t="s">
        <v>2239</v>
      </c>
      <c r="X177" s="574" t="s">
        <v>2330</v>
      </c>
      <c r="Y177" s="575" t="s">
        <v>2326</v>
      </c>
      <c r="Z177" s="575" t="s">
        <v>2326</v>
      </c>
      <c r="AA177" s="574" t="s">
        <v>1691</v>
      </c>
      <c r="AB177" s="574" t="s">
        <v>2297</v>
      </c>
      <c r="AC177" s="574" t="s">
        <v>2298</v>
      </c>
      <c r="AD177" s="574" t="s">
        <v>2299</v>
      </c>
      <c r="AE177" s="574" t="s">
        <v>1468</v>
      </c>
      <c r="AF177" s="574" t="s">
        <v>2299</v>
      </c>
      <c r="AG177" s="576">
        <v>190000</v>
      </c>
    </row>
    <row r="178" spans="1:33" hidden="1" x14ac:dyDescent="0.25">
      <c r="A178" s="574" t="s">
        <v>2219</v>
      </c>
      <c r="B178" s="574" t="s">
        <v>2220</v>
      </c>
      <c r="C178" s="574" t="s">
        <v>2221</v>
      </c>
      <c r="D178" s="574" t="s">
        <v>2220</v>
      </c>
      <c r="E178" s="574" t="s">
        <v>2222</v>
      </c>
      <c r="F178" s="574" t="s">
        <v>2223</v>
      </c>
      <c r="G178" s="574" t="s">
        <v>2224</v>
      </c>
      <c r="H178" s="574" t="s">
        <v>2225</v>
      </c>
      <c r="I178" s="574" t="s">
        <v>2226</v>
      </c>
      <c r="J178" s="574" t="s">
        <v>2227</v>
      </c>
      <c r="K178" s="574" t="s">
        <v>2228</v>
      </c>
      <c r="L178" s="574" t="s">
        <v>2229</v>
      </c>
      <c r="M178" s="574" t="s">
        <v>2230</v>
      </c>
      <c r="N178" s="574" t="s">
        <v>2231</v>
      </c>
      <c r="O178" s="574" t="s">
        <v>2232</v>
      </c>
      <c r="P178" s="574" t="s">
        <v>2233</v>
      </c>
      <c r="Q178" s="574" t="s">
        <v>2234</v>
      </c>
      <c r="R178" s="574" t="s">
        <v>2225</v>
      </c>
      <c r="S178" s="574" t="s">
        <v>2235</v>
      </c>
      <c r="T178" s="574" t="s">
        <v>2236</v>
      </c>
      <c r="U178" s="574" t="s">
        <v>2347</v>
      </c>
      <c r="V178" s="574" t="s">
        <v>2238</v>
      </c>
      <c r="W178" s="574" t="s">
        <v>2239</v>
      </c>
      <c r="X178" s="574" t="s">
        <v>2348</v>
      </c>
      <c r="Y178" s="575" t="s">
        <v>2346</v>
      </c>
      <c r="Z178" s="575" t="s">
        <v>2346</v>
      </c>
      <c r="AA178" s="574" t="s">
        <v>1691</v>
      </c>
      <c r="AB178" s="574" t="s">
        <v>2297</v>
      </c>
      <c r="AC178" s="574" t="s">
        <v>2298</v>
      </c>
      <c r="AD178" s="574" t="s">
        <v>2299</v>
      </c>
      <c r="AE178" s="574" t="s">
        <v>1468</v>
      </c>
      <c r="AF178" s="574" t="s">
        <v>2299</v>
      </c>
      <c r="AG178" s="576">
        <v>198000</v>
      </c>
    </row>
    <row r="179" spans="1:33" hidden="1" x14ac:dyDescent="0.25">
      <c r="A179" s="574" t="s">
        <v>2219</v>
      </c>
      <c r="B179" s="574" t="s">
        <v>2220</v>
      </c>
      <c r="C179" s="574" t="s">
        <v>2221</v>
      </c>
      <c r="D179" s="574" t="s">
        <v>2220</v>
      </c>
      <c r="E179" s="574" t="s">
        <v>2222</v>
      </c>
      <c r="F179" s="574" t="s">
        <v>2223</v>
      </c>
      <c r="G179" s="574" t="s">
        <v>2224</v>
      </c>
      <c r="H179" s="574" t="s">
        <v>2225</v>
      </c>
      <c r="I179" s="574" t="s">
        <v>2226</v>
      </c>
      <c r="J179" s="574" t="s">
        <v>2227</v>
      </c>
      <c r="K179" s="574" t="s">
        <v>2228</v>
      </c>
      <c r="L179" s="574" t="s">
        <v>2229</v>
      </c>
      <c r="M179" s="574" t="s">
        <v>2230</v>
      </c>
      <c r="N179" s="574" t="s">
        <v>2231</v>
      </c>
      <c r="O179" s="574" t="s">
        <v>2759</v>
      </c>
      <c r="P179" s="574" t="s">
        <v>2932</v>
      </c>
      <c r="Q179" s="574" t="s">
        <v>2234</v>
      </c>
      <c r="R179" s="574" t="s">
        <v>2225</v>
      </c>
      <c r="S179" s="574" t="s">
        <v>2235</v>
      </c>
      <c r="T179" s="574" t="s">
        <v>2236</v>
      </c>
      <c r="U179" s="574" t="s">
        <v>3073</v>
      </c>
      <c r="V179" s="574" t="s">
        <v>2238</v>
      </c>
      <c r="W179" s="574" t="s">
        <v>2239</v>
      </c>
      <c r="X179" s="574" t="s">
        <v>3074</v>
      </c>
      <c r="Y179" s="575" t="s">
        <v>3070</v>
      </c>
      <c r="Z179" s="575" t="s">
        <v>3070</v>
      </c>
      <c r="AA179" s="574" t="s">
        <v>1691</v>
      </c>
      <c r="AB179" s="574" t="s">
        <v>2297</v>
      </c>
      <c r="AC179" s="574" t="s">
        <v>2298</v>
      </c>
      <c r="AD179" s="574" t="s">
        <v>2299</v>
      </c>
      <c r="AE179" s="574" t="s">
        <v>1468</v>
      </c>
      <c r="AF179" s="574" t="s">
        <v>2299</v>
      </c>
      <c r="AG179" s="576">
        <v>199000</v>
      </c>
    </row>
    <row r="180" spans="1:33" hidden="1" x14ac:dyDescent="0.25">
      <c r="A180" s="574" t="s">
        <v>2219</v>
      </c>
      <c r="B180" s="574" t="s">
        <v>2220</v>
      </c>
      <c r="C180" s="574" t="s">
        <v>2221</v>
      </c>
      <c r="D180" s="574" t="s">
        <v>2220</v>
      </c>
      <c r="E180" s="574" t="s">
        <v>2222</v>
      </c>
      <c r="F180" s="574" t="s">
        <v>2223</v>
      </c>
      <c r="G180" s="574" t="s">
        <v>2224</v>
      </c>
      <c r="H180" s="574" t="s">
        <v>2225</v>
      </c>
      <c r="I180" s="574" t="s">
        <v>2226</v>
      </c>
      <c r="J180" s="574" t="s">
        <v>2227</v>
      </c>
      <c r="K180" s="574" t="s">
        <v>2228</v>
      </c>
      <c r="L180" s="574" t="s">
        <v>2229</v>
      </c>
      <c r="M180" s="574" t="s">
        <v>2230</v>
      </c>
      <c r="N180" s="574" t="s">
        <v>2231</v>
      </c>
      <c r="O180" s="574" t="s">
        <v>2759</v>
      </c>
      <c r="P180" s="574" t="s">
        <v>2932</v>
      </c>
      <c r="Q180" s="574" t="s">
        <v>2234</v>
      </c>
      <c r="R180" s="574" t="s">
        <v>2225</v>
      </c>
      <c r="S180" s="574" t="s">
        <v>2235</v>
      </c>
      <c r="T180" s="574" t="s">
        <v>2236</v>
      </c>
      <c r="U180" s="574" t="s">
        <v>3138</v>
      </c>
      <c r="V180" s="574" t="s">
        <v>2238</v>
      </c>
      <c r="W180" s="574" t="s">
        <v>2239</v>
      </c>
      <c r="X180" s="574" t="s">
        <v>3139</v>
      </c>
      <c r="Y180" s="575" t="s">
        <v>2507</v>
      </c>
      <c r="Z180" s="575" t="s">
        <v>2507</v>
      </c>
      <c r="AA180" s="574" t="s">
        <v>1691</v>
      </c>
      <c r="AB180" s="574" t="s">
        <v>2297</v>
      </c>
      <c r="AC180" s="574" t="s">
        <v>2298</v>
      </c>
      <c r="AD180" s="574" t="s">
        <v>2299</v>
      </c>
      <c r="AE180" s="574" t="s">
        <v>1468</v>
      </c>
      <c r="AF180" s="574" t="s">
        <v>2299</v>
      </c>
      <c r="AG180" s="576">
        <v>200000</v>
      </c>
    </row>
    <row r="181" spans="1:33" hidden="1" x14ac:dyDescent="0.25">
      <c r="A181" s="574" t="s">
        <v>2219</v>
      </c>
      <c r="B181" s="574" t="s">
        <v>2220</v>
      </c>
      <c r="C181" s="574" t="s">
        <v>2221</v>
      </c>
      <c r="D181" s="574" t="s">
        <v>2220</v>
      </c>
      <c r="E181" s="574" t="s">
        <v>2222</v>
      </c>
      <c r="F181" s="574" t="s">
        <v>2223</v>
      </c>
      <c r="G181" s="574" t="s">
        <v>2224</v>
      </c>
      <c r="H181" s="574" t="s">
        <v>2225</v>
      </c>
      <c r="I181" s="574" t="s">
        <v>2226</v>
      </c>
      <c r="J181" s="574" t="s">
        <v>2227</v>
      </c>
      <c r="K181" s="574" t="s">
        <v>2228</v>
      </c>
      <c r="L181" s="574" t="s">
        <v>2229</v>
      </c>
      <c r="M181" s="574" t="s">
        <v>2230</v>
      </c>
      <c r="N181" s="574" t="s">
        <v>2231</v>
      </c>
      <c r="O181" s="574" t="s">
        <v>2232</v>
      </c>
      <c r="P181" s="574" t="s">
        <v>2233</v>
      </c>
      <c r="Q181" s="574" t="s">
        <v>2234</v>
      </c>
      <c r="R181" s="574" t="s">
        <v>2225</v>
      </c>
      <c r="S181" s="574" t="s">
        <v>2235</v>
      </c>
      <c r="T181" s="574" t="s">
        <v>2236</v>
      </c>
      <c r="U181" s="574" t="s">
        <v>2379</v>
      </c>
      <c r="V181" s="574" t="s">
        <v>2238</v>
      </c>
      <c r="W181" s="574" t="s">
        <v>2239</v>
      </c>
      <c r="X181" s="574" t="s">
        <v>2380</v>
      </c>
      <c r="Y181" s="575" t="s">
        <v>2372</v>
      </c>
      <c r="Z181" s="575" t="s">
        <v>2372</v>
      </c>
      <c r="AA181" s="574" t="s">
        <v>1691</v>
      </c>
      <c r="AB181" s="574" t="s">
        <v>2297</v>
      </c>
      <c r="AC181" s="574" t="s">
        <v>2298</v>
      </c>
      <c r="AD181" s="574" t="s">
        <v>2299</v>
      </c>
      <c r="AE181" s="574" t="s">
        <v>1468</v>
      </c>
      <c r="AF181" s="574" t="s">
        <v>2299</v>
      </c>
      <c r="AG181" s="576">
        <v>204000</v>
      </c>
    </row>
    <row r="182" spans="1:33" hidden="1" x14ac:dyDescent="0.25">
      <c r="A182" s="574" t="s">
        <v>2219</v>
      </c>
      <c r="B182" s="574" t="s">
        <v>2220</v>
      </c>
      <c r="C182" s="574" t="s">
        <v>2221</v>
      </c>
      <c r="D182" s="574" t="s">
        <v>2220</v>
      </c>
      <c r="E182" s="574" t="s">
        <v>2222</v>
      </c>
      <c r="F182" s="574" t="s">
        <v>2223</v>
      </c>
      <c r="G182" s="574" t="s">
        <v>2224</v>
      </c>
      <c r="H182" s="574" t="s">
        <v>2225</v>
      </c>
      <c r="I182" s="574" t="s">
        <v>2226</v>
      </c>
      <c r="J182" s="574" t="s">
        <v>2227</v>
      </c>
      <c r="K182" s="574" t="s">
        <v>2228</v>
      </c>
      <c r="L182" s="574" t="s">
        <v>2229</v>
      </c>
      <c r="M182" s="574" t="s">
        <v>2230</v>
      </c>
      <c r="N182" s="574" t="s">
        <v>2231</v>
      </c>
      <c r="O182" s="574" t="s">
        <v>2759</v>
      </c>
      <c r="P182" s="574" t="s">
        <v>2932</v>
      </c>
      <c r="Q182" s="574" t="s">
        <v>2234</v>
      </c>
      <c r="R182" s="574" t="s">
        <v>2225</v>
      </c>
      <c r="S182" s="574" t="s">
        <v>2235</v>
      </c>
      <c r="T182" s="574" t="s">
        <v>2236</v>
      </c>
      <c r="U182" s="574" t="s">
        <v>3015</v>
      </c>
      <c r="V182" s="574" t="s">
        <v>2238</v>
      </c>
      <c r="W182" s="574" t="s">
        <v>2239</v>
      </c>
      <c r="X182" s="574" t="s">
        <v>3016</v>
      </c>
      <c r="Y182" s="575" t="s">
        <v>2429</v>
      </c>
      <c r="Z182" s="575" t="s">
        <v>2429</v>
      </c>
      <c r="AA182" s="574" t="s">
        <v>1691</v>
      </c>
      <c r="AB182" s="574" t="s">
        <v>2297</v>
      </c>
      <c r="AC182" s="574" t="s">
        <v>2298</v>
      </c>
      <c r="AD182" s="574" t="s">
        <v>2299</v>
      </c>
      <c r="AE182" s="574" t="s">
        <v>1468</v>
      </c>
      <c r="AF182" s="574" t="s">
        <v>2299</v>
      </c>
      <c r="AG182" s="576">
        <v>205100</v>
      </c>
    </row>
    <row r="183" spans="1:33" hidden="1" x14ac:dyDescent="0.25">
      <c r="A183" s="574" t="s">
        <v>2219</v>
      </c>
      <c r="B183" s="574" t="s">
        <v>2220</v>
      </c>
      <c r="C183" s="574" t="s">
        <v>2221</v>
      </c>
      <c r="D183" s="574" t="s">
        <v>2220</v>
      </c>
      <c r="E183" s="574" t="s">
        <v>2222</v>
      </c>
      <c r="F183" s="574" t="s">
        <v>2223</v>
      </c>
      <c r="G183" s="574" t="s">
        <v>2224</v>
      </c>
      <c r="H183" s="574" t="s">
        <v>2225</v>
      </c>
      <c r="I183" s="574" t="s">
        <v>2226</v>
      </c>
      <c r="J183" s="574" t="s">
        <v>2227</v>
      </c>
      <c r="K183" s="574" t="s">
        <v>2228</v>
      </c>
      <c r="L183" s="574" t="s">
        <v>2229</v>
      </c>
      <c r="M183" s="574" t="s">
        <v>2230</v>
      </c>
      <c r="N183" s="574" t="s">
        <v>2231</v>
      </c>
      <c r="O183" s="574" t="s">
        <v>2759</v>
      </c>
      <c r="P183" s="574" t="s">
        <v>2932</v>
      </c>
      <c r="Q183" s="574" t="s">
        <v>2234</v>
      </c>
      <c r="R183" s="574" t="s">
        <v>2225</v>
      </c>
      <c r="S183" s="574" t="s">
        <v>2235</v>
      </c>
      <c r="T183" s="574" t="s">
        <v>2236</v>
      </c>
      <c r="U183" s="574" t="s">
        <v>3146</v>
      </c>
      <c r="V183" s="574" t="s">
        <v>2238</v>
      </c>
      <c r="W183" s="574" t="s">
        <v>2239</v>
      </c>
      <c r="X183" s="574" t="s">
        <v>3147</v>
      </c>
      <c r="Y183" s="575" t="s">
        <v>2673</v>
      </c>
      <c r="Z183" s="575" t="s">
        <v>2673</v>
      </c>
      <c r="AA183" s="574" t="s">
        <v>1691</v>
      </c>
      <c r="AB183" s="574" t="s">
        <v>2297</v>
      </c>
      <c r="AC183" s="574" t="s">
        <v>2298</v>
      </c>
      <c r="AD183" s="574" t="s">
        <v>2299</v>
      </c>
      <c r="AE183" s="574" t="s">
        <v>1468</v>
      </c>
      <c r="AF183" s="574" t="s">
        <v>2299</v>
      </c>
      <c r="AG183" s="576">
        <v>210000</v>
      </c>
    </row>
    <row r="184" spans="1:33" hidden="1" x14ac:dyDescent="0.25">
      <c r="A184" s="574" t="s">
        <v>2219</v>
      </c>
      <c r="B184" s="574" t="s">
        <v>2220</v>
      </c>
      <c r="C184" s="574" t="s">
        <v>2221</v>
      </c>
      <c r="D184" s="574" t="s">
        <v>2220</v>
      </c>
      <c r="E184" s="574" t="s">
        <v>2222</v>
      </c>
      <c r="F184" s="574" t="s">
        <v>2223</v>
      </c>
      <c r="G184" s="574" t="s">
        <v>2224</v>
      </c>
      <c r="H184" s="574" t="s">
        <v>2225</v>
      </c>
      <c r="I184" s="574" t="s">
        <v>2226</v>
      </c>
      <c r="J184" s="574" t="s">
        <v>2227</v>
      </c>
      <c r="K184" s="574" t="s">
        <v>2228</v>
      </c>
      <c r="L184" s="574" t="s">
        <v>2229</v>
      </c>
      <c r="M184" s="574" t="s">
        <v>2230</v>
      </c>
      <c r="N184" s="574" t="s">
        <v>2231</v>
      </c>
      <c r="O184" s="574" t="s">
        <v>2232</v>
      </c>
      <c r="P184" s="574" t="s">
        <v>2233</v>
      </c>
      <c r="Q184" s="574" t="s">
        <v>2234</v>
      </c>
      <c r="R184" s="574" t="s">
        <v>2225</v>
      </c>
      <c r="S184" s="574" t="s">
        <v>2235</v>
      </c>
      <c r="T184" s="574" t="s">
        <v>2236</v>
      </c>
      <c r="U184" s="574" t="s">
        <v>2310</v>
      </c>
      <c r="V184" s="574" t="s">
        <v>2238</v>
      </c>
      <c r="W184" s="574" t="s">
        <v>2239</v>
      </c>
      <c r="X184" s="574" t="s">
        <v>2311</v>
      </c>
      <c r="Y184" s="575" t="s">
        <v>2306</v>
      </c>
      <c r="Z184" s="575" t="s">
        <v>2306</v>
      </c>
      <c r="AA184" s="574" t="s">
        <v>1691</v>
      </c>
      <c r="AB184" s="574" t="s">
        <v>2297</v>
      </c>
      <c r="AC184" s="574" t="s">
        <v>2298</v>
      </c>
      <c r="AD184" s="574" t="s">
        <v>2299</v>
      </c>
      <c r="AE184" s="574" t="s">
        <v>1468</v>
      </c>
      <c r="AF184" s="574" t="s">
        <v>2299</v>
      </c>
      <c r="AG184" s="576">
        <v>215625</v>
      </c>
    </row>
    <row r="185" spans="1:33" hidden="1" x14ac:dyDescent="0.25">
      <c r="A185" s="574" t="s">
        <v>2219</v>
      </c>
      <c r="B185" s="574" t="s">
        <v>2220</v>
      </c>
      <c r="C185" s="574" t="s">
        <v>2221</v>
      </c>
      <c r="D185" s="574" t="s">
        <v>2220</v>
      </c>
      <c r="E185" s="574" t="s">
        <v>2222</v>
      </c>
      <c r="F185" s="574" t="s">
        <v>2223</v>
      </c>
      <c r="G185" s="574" t="s">
        <v>2224</v>
      </c>
      <c r="H185" s="574" t="s">
        <v>2225</v>
      </c>
      <c r="I185" s="574" t="s">
        <v>2226</v>
      </c>
      <c r="J185" s="574" t="s">
        <v>2227</v>
      </c>
      <c r="K185" s="574" t="s">
        <v>2228</v>
      </c>
      <c r="L185" s="574" t="s">
        <v>2229</v>
      </c>
      <c r="M185" s="574" t="s">
        <v>2230</v>
      </c>
      <c r="N185" s="574" t="s">
        <v>2231</v>
      </c>
      <c r="O185" s="574" t="s">
        <v>2759</v>
      </c>
      <c r="P185" s="574" t="s">
        <v>2932</v>
      </c>
      <c r="Q185" s="574" t="s">
        <v>2234</v>
      </c>
      <c r="R185" s="574" t="s">
        <v>2225</v>
      </c>
      <c r="S185" s="574" t="s">
        <v>2235</v>
      </c>
      <c r="T185" s="574" t="s">
        <v>2236</v>
      </c>
      <c r="U185" s="574" t="s">
        <v>3227</v>
      </c>
      <c r="V185" s="574" t="s">
        <v>2238</v>
      </c>
      <c r="W185" s="574" t="s">
        <v>2239</v>
      </c>
      <c r="X185" s="574" t="s">
        <v>3228</v>
      </c>
      <c r="Y185" s="575" t="s">
        <v>2571</v>
      </c>
      <c r="Z185" s="575" t="s">
        <v>2571</v>
      </c>
      <c r="AA185" s="574" t="s">
        <v>1691</v>
      </c>
      <c r="AB185" s="574" t="s">
        <v>2297</v>
      </c>
      <c r="AC185" s="574" t="s">
        <v>2298</v>
      </c>
      <c r="AD185" s="574" t="s">
        <v>2299</v>
      </c>
      <c r="AE185" s="574" t="s">
        <v>1468</v>
      </c>
      <c r="AF185" s="574" t="s">
        <v>2299</v>
      </c>
      <c r="AG185" s="576">
        <v>217500</v>
      </c>
    </row>
    <row r="186" spans="1:33" hidden="1" x14ac:dyDescent="0.25">
      <c r="A186" s="574" t="s">
        <v>2219</v>
      </c>
      <c r="B186" s="574" t="s">
        <v>2220</v>
      </c>
      <c r="C186" s="574" t="s">
        <v>2221</v>
      </c>
      <c r="D186" s="574" t="s">
        <v>2220</v>
      </c>
      <c r="E186" s="574" t="s">
        <v>2222</v>
      </c>
      <c r="F186" s="574" t="s">
        <v>2223</v>
      </c>
      <c r="G186" s="574" t="s">
        <v>2224</v>
      </c>
      <c r="H186" s="574" t="s">
        <v>2225</v>
      </c>
      <c r="I186" s="574" t="s">
        <v>2226</v>
      </c>
      <c r="J186" s="574" t="s">
        <v>2227</v>
      </c>
      <c r="K186" s="574" t="s">
        <v>2228</v>
      </c>
      <c r="L186" s="574" t="s">
        <v>2229</v>
      </c>
      <c r="M186" s="574" t="s">
        <v>2230</v>
      </c>
      <c r="N186" s="574" t="s">
        <v>2231</v>
      </c>
      <c r="O186" s="574" t="s">
        <v>2232</v>
      </c>
      <c r="P186" s="574" t="s">
        <v>2233</v>
      </c>
      <c r="Q186" s="574" t="s">
        <v>2234</v>
      </c>
      <c r="R186" s="574" t="s">
        <v>2225</v>
      </c>
      <c r="S186" s="574" t="s">
        <v>2235</v>
      </c>
      <c r="T186" s="574" t="s">
        <v>2236</v>
      </c>
      <c r="U186" s="574" t="s">
        <v>2351</v>
      </c>
      <c r="V186" s="574" t="s">
        <v>2238</v>
      </c>
      <c r="W186" s="574" t="s">
        <v>2239</v>
      </c>
      <c r="X186" s="574" t="s">
        <v>2352</v>
      </c>
      <c r="Y186" s="575" t="s">
        <v>2346</v>
      </c>
      <c r="Z186" s="575" t="s">
        <v>2346</v>
      </c>
      <c r="AA186" s="574" t="s">
        <v>1691</v>
      </c>
      <c r="AB186" s="574" t="s">
        <v>2297</v>
      </c>
      <c r="AC186" s="574" t="s">
        <v>2298</v>
      </c>
      <c r="AD186" s="574" t="s">
        <v>2299</v>
      </c>
      <c r="AE186" s="574" t="s">
        <v>1468</v>
      </c>
      <c r="AF186" s="574" t="s">
        <v>2299</v>
      </c>
      <c r="AG186" s="576">
        <v>225000</v>
      </c>
    </row>
    <row r="187" spans="1:33" hidden="1" x14ac:dyDescent="0.25">
      <c r="A187" s="574" t="s">
        <v>2219</v>
      </c>
      <c r="B187" s="574" t="s">
        <v>2220</v>
      </c>
      <c r="C187" s="574" t="s">
        <v>2221</v>
      </c>
      <c r="D187" s="574" t="s">
        <v>2220</v>
      </c>
      <c r="E187" s="574" t="s">
        <v>2222</v>
      </c>
      <c r="F187" s="574" t="s">
        <v>2223</v>
      </c>
      <c r="G187" s="574" t="s">
        <v>2224</v>
      </c>
      <c r="H187" s="574" t="s">
        <v>2225</v>
      </c>
      <c r="I187" s="574" t="s">
        <v>2226</v>
      </c>
      <c r="J187" s="574" t="s">
        <v>2227</v>
      </c>
      <c r="K187" s="574" t="s">
        <v>2228</v>
      </c>
      <c r="L187" s="574" t="s">
        <v>2229</v>
      </c>
      <c r="M187" s="574" t="s">
        <v>2230</v>
      </c>
      <c r="N187" s="574" t="s">
        <v>2231</v>
      </c>
      <c r="O187" s="574" t="s">
        <v>2232</v>
      </c>
      <c r="P187" s="574" t="s">
        <v>2233</v>
      </c>
      <c r="Q187" s="574" t="s">
        <v>2234</v>
      </c>
      <c r="R187" s="574" t="s">
        <v>2225</v>
      </c>
      <c r="S187" s="574" t="s">
        <v>2235</v>
      </c>
      <c r="T187" s="574" t="s">
        <v>2236</v>
      </c>
      <c r="U187" s="574" t="s">
        <v>2411</v>
      </c>
      <c r="V187" s="574" t="s">
        <v>2238</v>
      </c>
      <c r="W187" s="574" t="s">
        <v>2239</v>
      </c>
      <c r="X187" s="574" t="s">
        <v>2412</v>
      </c>
      <c r="Y187" s="575" t="s">
        <v>2410</v>
      </c>
      <c r="Z187" s="575" t="s">
        <v>2410</v>
      </c>
      <c r="AA187" s="574" t="s">
        <v>1691</v>
      </c>
      <c r="AB187" s="574" t="s">
        <v>2297</v>
      </c>
      <c r="AC187" s="574" t="s">
        <v>2298</v>
      </c>
      <c r="AD187" s="574" t="s">
        <v>2299</v>
      </c>
      <c r="AE187" s="574" t="s">
        <v>1468</v>
      </c>
      <c r="AF187" s="574" t="s">
        <v>2299</v>
      </c>
      <c r="AG187" s="576">
        <v>232500</v>
      </c>
    </row>
    <row r="188" spans="1:33" hidden="1" x14ac:dyDescent="0.25">
      <c r="A188" s="574" t="s">
        <v>2219</v>
      </c>
      <c r="B188" s="574" t="s">
        <v>2220</v>
      </c>
      <c r="C188" s="574" t="s">
        <v>2221</v>
      </c>
      <c r="D188" s="574" t="s">
        <v>2220</v>
      </c>
      <c r="E188" s="574" t="s">
        <v>2222</v>
      </c>
      <c r="F188" s="574" t="s">
        <v>2223</v>
      </c>
      <c r="G188" s="574" t="s">
        <v>2224</v>
      </c>
      <c r="H188" s="574" t="s">
        <v>2225</v>
      </c>
      <c r="I188" s="574" t="s">
        <v>2226</v>
      </c>
      <c r="J188" s="574" t="s">
        <v>2227</v>
      </c>
      <c r="K188" s="574" t="s">
        <v>2228</v>
      </c>
      <c r="L188" s="574" t="s">
        <v>2229</v>
      </c>
      <c r="M188" s="574" t="s">
        <v>2230</v>
      </c>
      <c r="N188" s="574" t="s">
        <v>2231</v>
      </c>
      <c r="O188" s="574" t="s">
        <v>2759</v>
      </c>
      <c r="P188" s="574" t="s">
        <v>2932</v>
      </c>
      <c r="Q188" s="574" t="s">
        <v>2234</v>
      </c>
      <c r="R188" s="574" t="s">
        <v>2225</v>
      </c>
      <c r="S188" s="574" t="s">
        <v>2235</v>
      </c>
      <c r="T188" s="574" t="s">
        <v>2236</v>
      </c>
      <c r="U188" s="574" t="s">
        <v>3245</v>
      </c>
      <c r="V188" s="574" t="s">
        <v>2238</v>
      </c>
      <c r="W188" s="574" t="s">
        <v>2239</v>
      </c>
      <c r="X188" s="574" t="s">
        <v>3246</v>
      </c>
      <c r="Y188" s="575" t="s">
        <v>2571</v>
      </c>
      <c r="Z188" s="575" t="s">
        <v>2571</v>
      </c>
      <c r="AA188" s="574" t="s">
        <v>1691</v>
      </c>
      <c r="AB188" s="574" t="s">
        <v>2297</v>
      </c>
      <c r="AC188" s="574" t="s">
        <v>2298</v>
      </c>
      <c r="AD188" s="574" t="s">
        <v>2299</v>
      </c>
      <c r="AE188" s="574" t="s">
        <v>1468</v>
      </c>
      <c r="AF188" s="574" t="s">
        <v>2299</v>
      </c>
      <c r="AG188" s="576">
        <v>237000</v>
      </c>
    </row>
    <row r="189" spans="1:33" hidden="1" x14ac:dyDescent="0.25">
      <c r="A189" s="574" t="s">
        <v>2219</v>
      </c>
      <c r="B189" s="574" t="s">
        <v>2220</v>
      </c>
      <c r="C189" s="574" t="s">
        <v>2221</v>
      </c>
      <c r="D189" s="574" t="s">
        <v>2220</v>
      </c>
      <c r="E189" s="574" t="s">
        <v>2222</v>
      </c>
      <c r="F189" s="574" t="s">
        <v>2223</v>
      </c>
      <c r="G189" s="574" t="s">
        <v>2224</v>
      </c>
      <c r="H189" s="574" t="s">
        <v>2225</v>
      </c>
      <c r="I189" s="574" t="s">
        <v>2226</v>
      </c>
      <c r="J189" s="574" t="s">
        <v>2227</v>
      </c>
      <c r="K189" s="574" t="s">
        <v>2228</v>
      </c>
      <c r="L189" s="574" t="s">
        <v>2229</v>
      </c>
      <c r="M189" s="574" t="s">
        <v>2230</v>
      </c>
      <c r="N189" s="574" t="s">
        <v>2231</v>
      </c>
      <c r="O189" s="574" t="s">
        <v>2759</v>
      </c>
      <c r="P189" s="574" t="s">
        <v>2932</v>
      </c>
      <c r="Q189" s="574" t="s">
        <v>2234</v>
      </c>
      <c r="R189" s="574" t="s">
        <v>2225</v>
      </c>
      <c r="S189" s="574" t="s">
        <v>2235</v>
      </c>
      <c r="T189" s="574" t="s">
        <v>2236</v>
      </c>
      <c r="U189" s="574" t="s">
        <v>3005</v>
      </c>
      <c r="V189" s="574" t="s">
        <v>2238</v>
      </c>
      <c r="W189" s="574" t="s">
        <v>2239</v>
      </c>
      <c r="X189" s="574" t="s">
        <v>3006</v>
      </c>
      <c r="Y189" s="575" t="s">
        <v>2429</v>
      </c>
      <c r="Z189" s="575" t="s">
        <v>2429</v>
      </c>
      <c r="AA189" s="574" t="s">
        <v>1691</v>
      </c>
      <c r="AB189" s="574" t="s">
        <v>2297</v>
      </c>
      <c r="AC189" s="574" t="s">
        <v>2298</v>
      </c>
      <c r="AD189" s="574" t="s">
        <v>2299</v>
      </c>
      <c r="AE189" s="574" t="s">
        <v>1468</v>
      </c>
      <c r="AF189" s="574" t="s">
        <v>2299</v>
      </c>
      <c r="AG189" s="576">
        <v>245000</v>
      </c>
    </row>
    <row r="190" spans="1:33" hidden="1" x14ac:dyDescent="0.25">
      <c r="A190" s="574" t="s">
        <v>2219</v>
      </c>
      <c r="B190" s="574" t="s">
        <v>2220</v>
      </c>
      <c r="C190" s="574" t="s">
        <v>2221</v>
      </c>
      <c r="D190" s="574" t="s">
        <v>2220</v>
      </c>
      <c r="E190" s="574" t="s">
        <v>2222</v>
      </c>
      <c r="F190" s="574" t="s">
        <v>2223</v>
      </c>
      <c r="G190" s="574" t="s">
        <v>2224</v>
      </c>
      <c r="H190" s="574" t="s">
        <v>2225</v>
      </c>
      <c r="I190" s="574" t="s">
        <v>2226</v>
      </c>
      <c r="J190" s="574" t="s">
        <v>2227</v>
      </c>
      <c r="K190" s="574" t="s">
        <v>2228</v>
      </c>
      <c r="L190" s="574" t="s">
        <v>2229</v>
      </c>
      <c r="M190" s="574" t="s">
        <v>2230</v>
      </c>
      <c r="N190" s="574" t="s">
        <v>2231</v>
      </c>
      <c r="O190" s="574" t="s">
        <v>2759</v>
      </c>
      <c r="P190" s="574" t="s">
        <v>2932</v>
      </c>
      <c r="Q190" s="574" t="s">
        <v>2234</v>
      </c>
      <c r="R190" s="574" t="s">
        <v>2225</v>
      </c>
      <c r="S190" s="574" t="s">
        <v>2235</v>
      </c>
      <c r="T190" s="574" t="s">
        <v>2236</v>
      </c>
      <c r="U190" s="574" t="s">
        <v>3126</v>
      </c>
      <c r="V190" s="574" t="s">
        <v>2238</v>
      </c>
      <c r="W190" s="574" t="s">
        <v>2239</v>
      </c>
      <c r="X190" s="574" t="s">
        <v>3127</v>
      </c>
      <c r="Y190" s="575" t="s">
        <v>3123</v>
      </c>
      <c r="Z190" s="575" t="s">
        <v>3123</v>
      </c>
      <c r="AA190" s="574" t="s">
        <v>1691</v>
      </c>
      <c r="AB190" s="574" t="s">
        <v>2297</v>
      </c>
      <c r="AC190" s="574" t="s">
        <v>2298</v>
      </c>
      <c r="AD190" s="574" t="s">
        <v>2299</v>
      </c>
      <c r="AE190" s="574" t="s">
        <v>1468</v>
      </c>
      <c r="AF190" s="574" t="s">
        <v>2299</v>
      </c>
      <c r="AG190" s="576">
        <v>246500</v>
      </c>
    </row>
    <row r="191" spans="1:33" hidden="1" x14ac:dyDescent="0.25">
      <c r="A191" s="574" t="s">
        <v>2219</v>
      </c>
      <c r="B191" s="574" t="s">
        <v>2220</v>
      </c>
      <c r="C191" s="574" t="s">
        <v>2221</v>
      </c>
      <c r="D191" s="574" t="s">
        <v>2220</v>
      </c>
      <c r="E191" s="574" t="s">
        <v>2222</v>
      </c>
      <c r="F191" s="574" t="s">
        <v>2223</v>
      </c>
      <c r="G191" s="574" t="s">
        <v>2224</v>
      </c>
      <c r="H191" s="574" t="s">
        <v>2225</v>
      </c>
      <c r="I191" s="574" t="s">
        <v>2226</v>
      </c>
      <c r="J191" s="574" t="s">
        <v>2227</v>
      </c>
      <c r="K191" s="574" t="s">
        <v>2228</v>
      </c>
      <c r="L191" s="574" t="s">
        <v>2229</v>
      </c>
      <c r="M191" s="574" t="s">
        <v>2230</v>
      </c>
      <c r="N191" s="574" t="s">
        <v>2231</v>
      </c>
      <c r="O191" s="574" t="s">
        <v>2759</v>
      </c>
      <c r="P191" s="574" t="s">
        <v>2932</v>
      </c>
      <c r="Q191" s="574" t="s">
        <v>2234</v>
      </c>
      <c r="R191" s="574" t="s">
        <v>2225</v>
      </c>
      <c r="S191" s="574" t="s">
        <v>2235</v>
      </c>
      <c r="T191" s="574" t="s">
        <v>2236</v>
      </c>
      <c r="U191" s="574" t="s">
        <v>3178</v>
      </c>
      <c r="V191" s="574" t="s">
        <v>2238</v>
      </c>
      <c r="W191" s="574" t="s">
        <v>2239</v>
      </c>
      <c r="X191" s="574" t="s">
        <v>3179</v>
      </c>
      <c r="Y191" s="575" t="s">
        <v>2543</v>
      </c>
      <c r="Z191" s="575" t="s">
        <v>2543</v>
      </c>
      <c r="AA191" s="574" t="s">
        <v>1691</v>
      </c>
      <c r="AB191" s="574" t="s">
        <v>2297</v>
      </c>
      <c r="AC191" s="574" t="s">
        <v>2298</v>
      </c>
      <c r="AD191" s="574" t="s">
        <v>2299</v>
      </c>
      <c r="AE191" s="574" t="s">
        <v>1468</v>
      </c>
      <c r="AF191" s="574" t="s">
        <v>2299</v>
      </c>
      <c r="AG191" s="576">
        <v>246500</v>
      </c>
    </row>
    <row r="192" spans="1:33" hidden="1" x14ac:dyDescent="0.25">
      <c r="A192" s="574" t="s">
        <v>2219</v>
      </c>
      <c r="B192" s="574" t="s">
        <v>2220</v>
      </c>
      <c r="C192" s="574" t="s">
        <v>2221</v>
      </c>
      <c r="D192" s="574" t="s">
        <v>2220</v>
      </c>
      <c r="E192" s="574" t="s">
        <v>2222</v>
      </c>
      <c r="F192" s="574" t="s">
        <v>2223</v>
      </c>
      <c r="G192" s="574" t="s">
        <v>2224</v>
      </c>
      <c r="H192" s="574" t="s">
        <v>2225</v>
      </c>
      <c r="I192" s="574" t="s">
        <v>2226</v>
      </c>
      <c r="J192" s="574" t="s">
        <v>2227</v>
      </c>
      <c r="K192" s="574" t="s">
        <v>2228</v>
      </c>
      <c r="L192" s="574" t="s">
        <v>2229</v>
      </c>
      <c r="M192" s="574" t="s">
        <v>2230</v>
      </c>
      <c r="N192" s="574" t="s">
        <v>2231</v>
      </c>
      <c r="O192" s="574" t="s">
        <v>2759</v>
      </c>
      <c r="P192" s="574" t="s">
        <v>2932</v>
      </c>
      <c r="Q192" s="574" t="s">
        <v>2234</v>
      </c>
      <c r="R192" s="574" t="s">
        <v>2225</v>
      </c>
      <c r="S192" s="574" t="s">
        <v>2235</v>
      </c>
      <c r="T192" s="574" t="s">
        <v>2236</v>
      </c>
      <c r="U192" s="574" t="s">
        <v>3119</v>
      </c>
      <c r="V192" s="574" t="s">
        <v>2238</v>
      </c>
      <c r="W192" s="574" t="s">
        <v>2239</v>
      </c>
      <c r="X192" s="574" t="s">
        <v>3120</v>
      </c>
      <c r="Y192" s="575" t="s">
        <v>2501</v>
      </c>
      <c r="Z192" s="575" t="s">
        <v>2501</v>
      </c>
      <c r="AA192" s="574" t="s">
        <v>1691</v>
      </c>
      <c r="AB192" s="574" t="s">
        <v>2297</v>
      </c>
      <c r="AC192" s="574" t="s">
        <v>2298</v>
      </c>
      <c r="AD192" s="574" t="s">
        <v>2299</v>
      </c>
      <c r="AE192" s="574" t="s">
        <v>1468</v>
      </c>
      <c r="AF192" s="574" t="s">
        <v>2299</v>
      </c>
      <c r="AG192" s="576">
        <v>255000</v>
      </c>
    </row>
    <row r="193" spans="1:33" hidden="1" x14ac:dyDescent="0.25">
      <c r="A193" s="574" t="s">
        <v>2219</v>
      </c>
      <c r="B193" s="574" t="s">
        <v>2220</v>
      </c>
      <c r="C193" s="574" t="s">
        <v>2221</v>
      </c>
      <c r="D193" s="574" t="s">
        <v>2220</v>
      </c>
      <c r="E193" s="574" t="s">
        <v>2222</v>
      </c>
      <c r="F193" s="574" t="s">
        <v>2223</v>
      </c>
      <c r="G193" s="574" t="s">
        <v>2224</v>
      </c>
      <c r="H193" s="574" t="s">
        <v>2225</v>
      </c>
      <c r="I193" s="574" t="s">
        <v>2226</v>
      </c>
      <c r="J193" s="574" t="s">
        <v>2227</v>
      </c>
      <c r="K193" s="574" t="s">
        <v>2228</v>
      </c>
      <c r="L193" s="574" t="s">
        <v>2229</v>
      </c>
      <c r="M193" s="574" t="s">
        <v>2230</v>
      </c>
      <c r="N193" s="574" t="s">
        <v>2231</v>
      </c>
      <c r="O193" s="574" t="s">
        <v>2759</v>
      </c>
      <c r="P193" s="574" t="s">
        <v>2932</v>
      </c>
      <c r="Q193" s="574" t="s">
        <v>2234</v>
      </c>
      <c r="R193" s="574" t="s">
        <v>2225</v>
      </c>
      <c r="S193" s="574" t="s">
        <v>2235</v>
      </c>
      <c r="T193" s="574" t="s">
        <v>2236</v>
      </c>
      <c r="U193" s="574" t="s">
        <v>3253</v>
      </c>
      <c r="V193" s="574" t="s">
        <v>2238</v>
      </c>
      <c r="W193" s="574" t="s">
        <v>2239</v>
      </c>
      <c r="X193" s="574" t="s">
        <v>3254</v>
      </c>
      <c r="Y193" s="575" t="s">
        <v>2579</v>
      </c>
      <c r="Z193" s="575" t="s">
        <v>2579</v>
      </c>
      <c r="AA193" s="574" t="s">
        <v>1691</v>
      </c>
      <c r="AB193" s="574" t="s">
        <v>2297</v>
      </c>
      <c r="AC193" s="574" t="s">
        <v>2298</v>
      </c>
      <c r="AD193" s="574" t="s">
        <v>2299</v>
      </c>
      <c r="AE193" s="574" t="s">
        <v>1468</v>
      </c>
      <c r="AF193" s="574" t="s">
        <v>2299</v>
      </c>
      <c r="AG193" s="576">
        <v>257500</v>
      </c>
    </row>
    <row r="194" spans="1:33" hidden="1" x14ac:dyDescent="0.25">
      <c r="A194" s="574" t="s">
        <v>2219</v>
      </c>
      <c r="B194" s="574" t="s">
        <v>2220</v>
      </c>
      <c r="C194" s="574" t="s">
        <v>2221</v>
      </c>
      <c r="D194" s="574" t="s">
        <v>2220</v>
      </c>
      <c r="E194" s="574" t="s">
        <v>2222</v>
      </c>
      <c r="F194" s="574" t="s">
        <v>2223</v>
      </c>
      <c r="G194" s="574" t="s">
        <v>2224</v>
      </c>
      <c r="H194" s="574" t="s">
        <v>2225</v>
      </c>
      <c r="I194" s="574" t="s">
        <v>2226</v>
      </c>
      <c r="J194" s="574" t="s">
        <v>2227</v>
      </c>
      <c r="K194" s="574" t="s">
        <v>2228</v>
      </c>
      <c r="L194" s="574" t="s">
        <v>2229</v>
      </c>
      <c r="M194" s="574" t="s">
        <v>2230</v>
      </c>
      <c r="N194" s="574" t="s">
        <v>2231</v>
      </c>
      <c r="O194" s="574" t="s">
        <v>2759</v>
      </c>
      <c r="P194" s="574" t="s">
        <v>2932</v>
      </c>
      <c r="Q194" s="574" t="s">
        <v>2234</v>
      </c>
      <c r="R194" s="574" t="s">
        <v>2225</v>
      </c>
      <c r="S194" s="574" t="s">
        <v>2235</v>
      </c>
      <c r="T194" s="574" t="s">
        <v>2236</v>
      </c>
      <c r="U194" s="574" t="s">
        <v>3247</v>
      </c>
      <c r="V194" s="574" t="s">
        <v>2238</v>
      </c>
      <c r="W194" s="574" t="s">
        <v>2239</v>
      </c>
      <c r="X194" s="574" t="s">
        <v>3248</v>
      </c>
      <c r="Y194" s="575" t="s">
        <v>2579</v>
      </c>
      <c r="Z194" s="575" t="s">
        <v>2579</v>
      </c>
      <c r="AA194" s="574" t="s">
        <v>1691</v>
      </c>
      <c r="AB194" s="574" t="s">
        <v>2297</v>
      </c>
      <c r="AC194" s="574" t="s">
        <v>2298</v>
      </c>
      <c r="AD194" s="574" t="s">
        <v>2299</v>
      </c>
      <c r="AE194" s="574" t="s">
        <v>1468</v>
      </c>
      <c r="AF194" s="574" t="s">
        <v>2299</v>
      </c>
      <c r="AG194" s="576">
        <v>258100</v>
      </c>
    </row>
    <row r="195" spans="1:33" hidden="1" x14ac:dyDescent="0.25">
      <c r="A195" s="574" t="s">
        <v>2219</v>
      </c>
      <c r="B195" s="574" t="s">
        <v>2220</v>
      </c>
      <c r="C195" s="574" t="s">
        <v>2221</v>
      </c>
      <c r="D195" s="574" t="s">
        <v>2220</v>
      </c>
      <c r="E195" s="574" t="s">
        <v>2222</v>
      </c>
      <c r="F195" s="574" t="s">
        <v>2223</v>
      </c>
      <c r="G195" s="574" t="s">
        <v>2224</v>
      </c>
      <c r="H195" s="574" t="s">
        <v>2225</v>
      </c>
      <c r="I195" s="574" t="s">
        <v>2226</v>
      </c>
      <c r="J195" s="574" t="s">
        <v>2227</v>
      </c>
      <c r="K195" s="574" t="s">
        <v>2228</v>
      </c>
      <c r="L195" s="574" t="s">
        <v>2229</v>
      </c>
      <c r="M195" s="574" t="s">
        <v>2230</v>
      </c>
      <c r="N195" s="574" t="s">
        <v>2231</v>
      </c>
      <c r="O195" s="574" t="s">
        <v>2232</v>
      </c>
      <c r="P195" s="574" t="s">
        <v>2233</v>
      </c>
      <c r="Q195" s="574" t="s">
        <v>2234</v>
      </c>
      <c r="R195" s="574" t="s">
        <v>2225</v>
      </c>
      <c r="S195" s="574" t="s">
        <v>2235</v>
      </c>
      <c r="T195" s="574" t="s">
        <v>2236</v>
      </c>
      <c r="U195" s="574" t="s">
        <v>2327</v>
      </c>
      <c r="V195" s="574" t="s">
        <v>2238</v>
      </c>
      <c r="W195" s="574" t="s">
        <v>2239</v>
      </c>
      <c r="X195" s="574" t="s">
        <v>2328</v>
      </c>
      <c r="Y195" s="575" t="s">
        <v>2326</v>
      </c>
      <c r="Z195" s="575" t="s">
        <v>2326</v>
      </c>
      <c r="AA195" s="574" t="s">
        <v>1691</v>
      </c>
      <c r="AB195" s="574" t="s">
        <v>2297</v>
      </c>
      <c r="AC195" s="574" t="s">
        <v>2298</v>
      </c>
      <c r="AD195" s="574" t="s">
        <v>2299</v>
      </c>
      <c r="AE195" s="574" t="s">
        <v>1468</v>
      </c>
      <c r="AF195" s="574" t="s">
        <v>2299</v>
      </c>
      <c r="AG195" s="576">
        <v>337500</v>
      </c>
    </row>
    <row r="196" spans="1:33" hidden="1" x14ac:dyDescent="0.25">
      <c r="A196" s="574" t="s">
        <v>2219</v>
      </c>
      <c r="B196" s="574" t="s">
        <v>2220</v>
      </c>
      <c r="C196" s="574" t="s">
        <v>2221</v>
      </c>
      <c r="D196" s="574" t="s">
        <v>2220</v>
      </c>
      <c r="E196" s="574" t="s">
        <v>2222</v>
      </c>
      <c r="F196" s="574" t="s">
        <v>2223</v>
      </c>
      <c r="G196" s="574" t="s">
        <v>2224</v>
      </c>
      <c r="H196" s="574" t="s">
        <v>2225</v>
      </c>
      <c r="I196" s="574" t="s">
        <v>2226</v>
      </c>
      <c r="J196" s="574" t="s">
        <v>2227</v>
      </c>
      <c r="K196" s="574" t="s">
        <v>2228</v>
      </c>
      <c r="L196" s="574" t="s">
        <v>2229</v>
      </c>
      <c r="M196" s="574" t="s">
        <v>2230</v>
      </c>
      <c r="N196" s="574" t="s">
        <v>2231</v>
      </c>
      <c r="O196" s="574" t="s">
        <v>2232</v>
      </c>
      <c r="P196" s="574" t="s">
        <v>2233</v>
      </c>
      <c r="Q196" s="574" t="s">
        <v>2234</v>
      </c>
      <c r="R196" s="574" t="s">
        <v>2225</v>
      </c>
      <c r="S196" s="574" t="s">
        <v>2235</v>
      </c>
      <c r="T196" s="574" t="s">
        <v>2236</v>
      </c>
      <c r="U196" s="574" t="s">
        <v>2324</v>
      </c>
      <c r="V196" s="574" t="s">
        <v>2238</v>
      </c>
      <c r="W196" s="574" t="s">
        <v>2239</v>
      </c>
      <c r="X196" s="574" t="s">
        <v>2325</v>
      </c>
      <c r="Y196" s="575" t="s">
        <v>2326</v>
      </c>
      <c r="Z196" s="575" t="s">
        <v>2326</v>
      </c>
      <c r="AA196" s="574" t="s">
        <v>1691</v>
      </c>
      <c r="AB196" s="574" t="s">
        <v>2297</v>
      </c>
      <c r="AC196" s="574" t="s">
        <v>2298</v>
      </c>
      <c r="AD196" s="574" t="s">
        <v>2299</v>
      </c>
      <c r="AE196" s="574" t="s">
        <v>1468</v>
      </c>
      <c r="AF196" s="574" t="s">
        <v>2299</v>
      </c>
      <c r="AG196" s="576">
        <v>810000</v>
      </c>
    </row>
    <row r="197" spans="1:33" hidden="1" x14ac:dyDescent="0.25">
      <c r="A197" s="574" t="s">
        <v>2219</v>
      </c>
      <c r="B197" s="574" t="s">
        <v>2220</v>
      </c>
      <c r="C197" s="574" t="s">
        <v>2221</v>
      </c>
      <c r="D197" s="574" t="s">
        <v>2220</v>
      </c>
      <c r="E197" s="574" t="s">
        <v>2222</v>
      </c>
      <c r="F197" s="574" t="s">
        <v>2223</v>
      </c>
      <c r="G197" s="574" t="s">
        <v>2224</v>
      </c>
      <c r="H197" s="574" t="s">
        <v>2225</v>
      </c>
      <c r="I197" s="574" t="s">
        <v>2226</v>
      </c>
      <c r="J197" s="574" t="s">
        <v>2227</v>
      </c>
      <c r="K197" s="574" t="s">
        <v>2228</v>
      </c>
      <c r="L197" s="574" t="s">
        <v>2229</v>
      </c>
      <c r="M197" s="574" t="s">
        <v>2230</v>
      </c>
      <c r="N197" s="574" t="s">
        <v>2231</v>
      </c>
      <c r="O197" s="574" t="s">
        <v>2232</v>
      </c>
      <c r="P197" s="574" t="s">
        <v>2233</v>
      </c>
      <c r="Q197" s="574" t="s">
        <v>2234</v>
      </c>
      <c r="R197" s="574" t="s">
        <v>2225</v>
      </c>
      <c r="S197" s="574" t="s">
        <v>2235</v>
      </c>
      <c r="T197" s="574" t="s">
        <v>2236</v>
      </c>
      <c r="U197" s="574" t="s">
        <v>2300</v>
      </c>
      <c r="V197" s="574" t="s">
        <v>2238</v>
      </c>
      <c r="W197" s="574" t="s">
        <v>2239</v>
      </c>
      <c r="X197" s="574" t="s">
        <v>2301</v>
      </c>
      <c r="Y197" s="575" t="s">
        <v>2296</v>
      </c>
      <c r="Z197" s="575" t="s">
        <v>2296</v>
      </c>
      <c r="AA197" s="574" t="s">
        <v>1691</v>
      </c>
      <c r="AB197" s="574" t="s">
        <v>2297</v>
      </c>
      <c r="AC197" s="574" t="s">
        <v>2298</v>
      </c>
      <c r="AD197" s="574" t="s">
        <v>2299</v>
      </c>
      <c r="AE197" s="574" t="s">
        <v>1468</v>
      </c>
      <c r="AF197" s="574" t="s">
        <v>2299</v>
      </c>
      <c r="AG197" s="576">
        <v>1215000</v>
      </c>
    </row>
    <row r="198" spans="1:33" hidden="1" x14ac:dyDescent="0.25">
      <c r="A198" s="574" t="s">
        <v>2219</v>
      </c>
      <c r="B198" s="574" t="s">
        <v>2220</v>
      </c>
      <c r="C198" s="574" t="s">
        <v>2221</v>
      </c>
      <c r="D198" s="574" t="s">
        <v>2220</v>
      </c>
      <c r="E198" s="574" t="s">
        <v>2222</v>
      </c>
      <c r="F198" s="574" t="s">
        <v>2223</v>
      </c>
      <c r="G198" s="574" t="s">
        <v>2224</v>
      </c>
      <c r="H198" s="574" t="s">
        <v>2225</v>
      </c>
      <c r="I198" s="574" t="s">
        <v>2226</v>
      </c>
      <c r="J198" s="574" t="s">
        <v>2227</v>
      </c>
      <c r="K198" s="574" t="s">
        <v>2228</v>
      </c>
      <c r="L198" s="574" t="s">
        <v>2229</v>
      </c>
      <c r="M198" s="574" t="s">
        <v>2230</v>
      </c>
      <c r="N198" s="574" t="s">
        <v>2231</v>
      </c>
      <c r="O198" s="574" t="s">
        <v>2759</v>
      </c>
      <c r="P198" s="574" t="s">
        <v>2932</v>
      </c>
      <c r="Q198" s="574" t="s">
        <v>2234</v>
      </c>
      <c r="R198" s="574" t="s">
        <v>2225</v>
      </c>
      <c r="S198" s="574" t="s">
        <v>2235</v>
      </c>
      <c r="T198" s="574" t="s">
        <v>2236</v>
      </c>
      <c r="U198" s="574" t="s">
        <v>2972</v>
      </c>
      <c r="V198" s="574" t="s">
        <v>2238</v>
      </c>
      <c r="W198" s="574" t="s">
        <v>2239</v>
      </c>
      <c r="X198" s="574" t="s">
        <v>2973</v>
      </c>
      <c r="Y198" s="575" t="s">
        <v>2424</v>
      </c>
      <c r="Z198" s="575" t="s">
        <v>2424</v>
      </c>
      <c r="AA198" s="574" t="s">
        <v>2949</v>
      </c>
      <c r="AB198" s="574" t="s">
        <v>2950</v>
      </c>
      <c r="AC198" s="574" t="s">
        <v>2951</v>
      </c>
      <c r="AD198" s="574" t="s">
        <v>2952</v>
      </c>
      <c r="AE198" s="574" t="s">
        <v>2953</v>
      </c>
      <c r="AF198" s="574" t="s">
        <v>2952</v>
      </c>
      <c r="AG198" s="576">
        <v>531</v>
      </c>
    </row>
    <row r="199" spans="1:33" hidden="1" x14ac:dyDescent="0.25">
      <c r="A199" s="574" t="s">
        <v>2219</v>
      </c>
      <c r="B199" s="574" t="s">
        <v>2220</v>
      </c>
      <c r="C199" s="574" t="s">
        <v>2221</v>
      </c>
      <c r="D199" s="574" t="s">
        <v>2220</v>
      </c>
      <c r="E199" s="574" t="s">
        <v>2222</v>
      </c>
      <c r="F199" s="574" t="s">
        <v>2223</v>
      </c>
      <c r="G199" s="574" t="s">
        <v>2224</v>
      </c>
      <c r="H199" s="574" t="s">
        <v>2225</v>
      </c>
      <c r="I199" s="574" t="s">
        <v>2226</v>
      </c>
      <c r="J199" s="574" t="s">
        <v>2227</v>
      </c>
      <c r="K199" s="574" t="s">
        <v>2228</v>
      </c>
      <c r="L199" s="574" t="s">
        <v>2229</v>
      </c>
      <c r="M199" s="574" t="s">
        <v>2230</v>
      </c>
      <c r="N199" s="574" t="s">
        <v>2231</v>
      </c>
      <c r="O199" s="574" t="s">
        <v>2759</v>
      </c>
      <c r="P199" s="574" t="s">
        <v>2932</v>
      </c>
      <c r="Q199" s="574" t="s">
        <v>2234</v>
      </c>
      <c r="R199" s="574" t="s">
        <v>2225</v>
      </c>
      <c r="S199" s="574" t="s">
        <v>2235</v>
      </c>
      <c r="T199" s="574" t="s">
        <v>2236</v>
      </c>
      <c r="U199" s="574" t="s">
        <v>2981</v>
      </c>
      <c r="V199" s="574" t="s">
        <v>2238</v>
      </c>
      <c r="W199" s="574" t="s">
        <v>2239</v>
      </c>
      <c r="X199" s="574" t="s">
        <v>2982</v>
      </c>
      <c r="Y199" s="575" t="s">
        <v>2424</v>
      </c>
      <c r="Z199" s="575" t="s">
        <v>2424</v>
      </c>
      <c r="AA199" s="574" t="s">
        <v>2949</v>
      </c>
      <c r="AB199" s="574" t="s">
        <v>2950</v>
      </c>
      <c r="AC199" s="574" t="s">
        <v>2951</v>
      </c>
      <c r="AD199" s="574" t="s">
        <v>2952</v>
      </c>
      <c r="AE199" s="574" t="s">
        <v>2953</v>
      </c>
      <c r="AF199" s="574" t="s">
        <v>2952</v>
      </c>
      <c r="AG199" s="576">
        <v>4165.3999999999996</v>
      </c>
    </row>
    <row r="200" spans="1:33" hidden="1" x14ac:dyDescent="0.25">
      <c r="A200" s="574" t="s">
        <v>2219</v>
      </c>
      <c r="B200" s="574" t="s">
        <v>2220</v>
      </c>
      <c r="C200" s="574" t="s">
        <v>2221</v>
      </c>
      <c r="D200" s="574" t="s">
        <v>2220</v>
      </c>
      <c r="E200" s="574" t="s">
        <v>2222</v>
      </c>
      <c r="F200" s="574" t="s">
        <v>2223</v>
      </c>
      <c r="G200" s="574" t="s">
        <v>2224</v>
      </c>
      <c r="H200" s="574" t="s">
        <v>2225</v>
      </c>
      <c r="I200" s="574" t="s">
        <v>2226</v>
      </c>
      <c r="J200" s="574" t="s">
        <v>2227</v>
      </c>
      <c r="K200" s="574" t="s">
        <v>2228</v>
      </c>
      <c r="L200" s="574" t="s">
        <v>2229</v>
      </c>
      <c r="M200" s="574" t="s">
        <v>2230</v>
      </c>
      <c r="N200" s="574" t="s">
        <v>2231</v>
      </c>
      <c r="O200" s="574" t="s">
        <v>2759</v>
      </c>
      <c r="P200" s="574" t="s">
        <v>2932</v>
      </c>
      <c r="Q200" s="574" t="s">
        <v>2234</v>
      </c>
      <c r="R200" s="574" t="s">
        <v>2225</v>
      </c>
      <c r="S200" s="574" t="s">
        <v>2235</v>
      </c>
      <c r="T200" s="574" t="s">
        <v>2236</v>
      </c>
      <c r="U200" s="574" t="s">
        <v>2972</v>
      </c>
      <c r="V200" s="574" t="s">
        <v>2238</v>
      </c>
      <c r="W200" s="574" t="s">
        <v>2239</v>
      </c>
      <c r="X200" s="574" t="s">
        <v>2973</v>
      </c>
      <c r="Y200" s="575" t="s">
        <v>2424</v>
      </c>
      <c r="Z200" s="575" t="s">
        <v>2424</v>
      </c>
      <c r="AA200" s="574" t="s">
        <v>2949</v>
      </c>
      <c r="AB200" s="574" t="s">
        <v>2950</v>
      </c>
      <c r="AC200" s="574" t="s">
        <v>2974</v>
      </c>
      <c r="AD200" s="574" t="s">
        <v>2975</v>
      </c>
      <c r="AE200" s="574" t="s">
        <v>2976</v>
      </c>
      <c r="AF200" s="574" t="s">
        <v>2975</v>
      </c>
      <c r="AG200" s="576">
        <v>5097.6000000000004</v>
      </c>
    </row>
    <row r="201" spans="1:33" hidden="1" x14ac:dyDescent="0.25">
      <c r="A201" s="574" t="s">
        <v>2219</v>
      </c>
      <c r="B201" s="574" t="s">
        <v>2220</v>
      </c>
      <c r="C201" s="574" t="s">
        <v>2221</v>
      </c>
      <c r="D201" s="574" t="s">
        <v>2220</v>
      </c>
      <c r="E201" s="574" t="s">
        <v>2222</v>
      </c>
      <c r="F201" s="574" t="s">
        <v>2223</v>
      </c>
      <c r="G201" s="574" t="s">
        <v>2224</v>
      </c>
      <c r="H201" s="574" t="s">
        <v>2225</v>
      </c>
      <c r="I201" s="574" t="s">
        <v>2226</v>
      </c>
      <c r="J201" s="574" t="s">
        <v>2227</v>
      </c>
      <c r="K201" s="574" t="s">
        <v>2228</v>
      </c>
      <c r="L201" s="574" t="s">
        <v>2229</v>
      </c>
      <c r="M201" s="574" t="s">
        <v>2230</v>
      </c>
      <c r="N201" s="574" t="s">
        <v>2231</v>
      </c>
      <c r="O201" s="574" t="s">
        <v>2759</v>
      </c>
      <c r="P201" s="574" t="s">
        <v>2932</v>
      </c>
      <c r="Q201" s="574" t="s">
        <v>2234</v>
      </c>
      <c r="R201" s="574" t="s">
        <v>2225</v>
      </c>
      <c r="S201" s="574" t="s">
        <v>2235</v>
      </c>
      <c r="T201" s="574" t="s">
        <v>2236</v>
      </c>
      <c r="U201" s="574" t="s">
        <v>2947</v>
      </c>
      <c r="V201" s="574" t="s">
        <v>2238</v>
      </c>
      <c r="W201" s="574" t="s">
        <v>2239</v>
      </c>
      <c r="X201" s="574" t="s">
        <v>2948</v>
      </c>
      <c r="Y201" s="575" t="s">
        <v>2424</v>
      </c>
      <c r="Z201" s="575" t="s">
        <v>2424</v>
      </c>
      <c r="AA201" s="574" t="s">
        <v>2949</v>
      </c>
      <c r="AB201" s="574" t="s">
        <v>2950</v>
      </c>
      <c r="AC201" s="574" t="s">
        <v>2951</v>
      </c>
      <c r="AD201" s="574" t="s">
        <v>2952</v>
      </c>
      <c r="AE201" s="574" t="s">
        <v>2953</v>
      </c>
      <c r="AF201" s="574" t="s">
        <v>2952</v>
      </c>
      <c r="AG201" s="576">
        <v>6938.4</v>
      </c>
    </row>
    <row r="202" spans="1:33" hidden="1" x14ac:dyDescent="0.25">
      <c r="A202" s="574" t="s">
        <v>2219</v>
      </c>
      <c r="B202" s="574" t="s">
        <v>2220</v>
      </c>
      <c r="C202" s="574" t="s">
        <v>2221</v>
      </c>
      <c r="D202" s="574" t="s">
        <v>2220</v>
      </c>
      <c r="E202" s="574" t="s">
        <v>2222</v>
      </c>
      <c r="F202" s="574" t="s">
        <v>2223</v>
      </c>
      <c r="G202" s="574" t="s">
        <v>2224</v>
      </c>
      <c r="H202" s="574" t="s">
        <v>2225</v>
      </c>
      <c r="I202" s="574" t="s">
        <v>2226</v>
      </c>
      <c r="J202" s="574" t="s">
        <v>2227</v>
      </c>
      <c r="K202" s="574" t="s">
        <v>2228</v>
      </c>
      <c r="L202" s="574" t="s">
        <v>2229</v>
      </c>
      <c r="M202" s="574" t="s">
        <v>2230</v>
      </c>
      <c r="N202" s="574" t="s">
        <v>2231</v>
      </c>
      <c r="O202" s="574" t="s">
        <v>2759</v>
      </c>
      <c r="P202" s="574" t="s">
        <v>2932</v>
      </c>
      <c r="Q202" s="574" t="s">
        <v>2234</v>
      </c>
      <c r="R202" s="574" t="s">
        <v>2225</v>
      </c>
      <c r="S202" s="574" t="s">
        <v>2235</v>
      </c>
      <c r="T202" s="574" t="s">
        <v>2236</v>
      </c>
      <c r="U202" s="574" t="s">
        <v>2532</v>
      </c>
      <c r="V202" s="574" t="s">
        <v>2238</v>
      </c>
      <c r="W202" s="574" t="s">
        <v>2239</v>
      </c>
      <c r="X202" s="574" t="s">
        <v>2533</v>
      </c>
      <c r="Y202" s="575" t="s">
        <v>2531</v>
      </c>
      <c r="Z202" s="575" t="s">
        <v>2531</v>
      </c>
      <c r="AA202" s="574" t="s">
        <v>2949</v>
      </c>
      <c r="AB202" s="574" t="s">
        <v>2950</v>
      </c>
      <c r="AC202" s="574" t="s">
        <v>2951</v>
      </c>
      <c r="AD202" s="574" t="s">
        <v>2952</v>
      </c>
      <c r="AE202" s="574" t="s">
        <v>2953</v>
      </c>
      <c r="AF202" s="574" t="s">
        <v>2952</v>
      </c>
      <c r="AG202" s="576">
        <v>7537.84</v>
      </c>
    </row>
    <row r="203" spans="1:33" hidden="1" x14ac:dyDescent="0.25">
      <c r="A203" s="574" t="s">
        <v>2219</v>
      </c>
      <c r="B203" s="574" t="s">
        <v>2220</v>
      </c>
      <c r="C203" s="574" t="s">
        <v>2221</v>
      </c>
      <c r="D203" s="574" t="s">
        <v>2220</v>
      </c>
      <c r="E203" s="574" t="s">
        <v>2222</v>
      </c>
      <c r="F203" s="574" t="s">
        <v>2223</v>
      </c>
      <c r="G203" s="574" t="s">
        <v>2224</v>
      </c>
      <c r="H203" s="574" t="s">
        <v>2225</v>
      </c>
      <c r="I203" s="574" t="s">
        <v>2226</v>
      </c>
      <c r="J203" s="574" t="s">
        <v>2227</v>
      </c>
      <c r="K203" s="574" t="s">
        <v>2228</v>
      </c>
      <c r="L203" s="574" t="s">
        <v>2229</v>
      </c>
      <c r="M203" s="574" t="s">
        <v>2230</v>
      </c>
      <c r="N203" s="574" t="s">
        <v>2231</v>
      </c>
      <c r="O203" s="574" t="s">
        <v>2759</v>
      </c>
      <c r="P203" s="574" t="s">
        <v>2932</v>
      </c>
      <c r="Q203" s="574" t="s">
        <v>2234</v>
      </c>
      <c r="R203" s="574" t="s">
        <v>2225</v>
      </c>
      <c r="S203" s="574" t="s">
        <v>2235</v>
      </c>
      <c r="T203" s="574" t="s">
        <v>2236</v>
      </c>
      <c r="U203" s="574" t="s">
        <v>2981</v>
      </c>
      <c r="V203" s="574" t="s">
        <v>2238</v>
      </c>
      <c r="W203" s="574" t="s">
        <v>2239</v>
      </c>
      <c r="X203" s="574" t="s">
        <v>2982</v>
      </c>
      <c r="Y203" s="575" t="s">
        <v>2424</v>
      </c>
      <c r="Z203" s="575" t="s">
        <v>2424</v>
      </c>
      <c r="AA203" s="574" t="s">
        <v>2949</v>
      </c>
      <c r="AB203" s="574" t="s">
        <v>2950</v>
      </c>
      <c r="AC203" s="574" t="s">
        <v>2974</v>
      </c>
      <c r="AD203" s="574" t="s">
        <v>2975</v>
      </c>
      <c r="AE203" s="574" t="s">
        <v>2976</v>
      </c>
      <c r="AF203" s="574" t="s">
        <v>2975</v>
      </c>
      <c r="AG203" s="576">
        <v>10797</v>
      </c>
    </row>
    <row r="204" spans="1:33" hidden="1" x14ac:dyDescent="0.25">
      <c r="A204" s="574" t="s">
        <v>2219</v>
      </c>
      <c r="B204" s="574" t="s">
        <v>2220</v>
      </c>
      <c r="C204" s="574" t="s">
        <v>2221</v>
      </c>
      <c r="D204" s="574" t="s">
        <v>2220</v>
      </c>
      <c r="E204" s="574" t="s">
        <v>2222</v>
      </c>
      <c r="F204" s="574" t="s">
        <v>2223</v>
      </c>
      <c r="G204" s="574" t="s">
        <v>2224</v>
      </c>
      <c r="H204" s="574" t="s">
        <v>2225</v>
      </c>
      <c r="I204" s="574" t="s">
        <v>2226</v>
      </c>
      <c r="J204" s="574" t="s">
        <v>2227</v>
      </c>
      <c r="K204" s="574" t="s">
        <v>2228</v>
      </c>
      <c r="L204" s="574" t="s">
        <v>2229</v>
      </c>
      <c r="M204" s="574" t="s">
        <v>2230</v>
      </c>
      <c r="N204" s="574" t="s">
        <v>2231</v>
      </c>
      <c r="O204" s="574" t="s">
        <v>2759</v>
      </c>
      <c r="P204" s="574" t="s">
        <v>2932</v>
      </c>
      <c r="Q204" s="574" t="s">
        <v>2234</v>
      </c>
      <c r="R204" s="574" t="s">
        <v>2225</v>
      </c>
      <c r="S204" s="574" t="s">
        <v>2235</v>
      </c>
      <c r="T204" s="574" t="s">
        <v>2236</v>
      </c>
      <c r="U204" s="574" t="s">
        <v>3197</v>
      </c>
      <c r="V204" s="574" t="s">
        <v>2238</v>
      </c>
      <c r="W204" s="574" t="s">
        <v>2239</v>
      </c>
      <c r="X204" s="574" t="s">
        <v>3198</v>
      </c>
      <c r="Y204" s="575" t="s">
        <v>2553</v>
      </c>
      <c r="Z204" s="575" t="s">
        <v>2553</v>
      </c>
      <c r="AA204" s="574" t="s">
        <v>2949</v>
      </c>
      <c r="AB204" s="574" t="s">
        <v>2950</v>
      </c>
      <c r="AC204" s="574" t="s">
        <v>2951</v>
      </c>
      <c r="AD204" s="574" t="s">
        <v>2952</v>
      </c>
      <c r="AE204" s="574" t="s">
        <v>2953</v>
      </c>
      <c r="AF204" s="574" t="s">
        <v>2952</v>
      </c>
      <c r="AG204" s="576">
        <v>141600</v>
      </c>
    </row>
    <row r="205" spans="1:33" hidden="1" x14ac:dyDescent="0.25">
      <c r="A205" s="574" t="s">
        <v>2219</v>
      </c>
      <c r="B205" s="574" t="s">
        <v>2220</v>
      </c>
      <c r="C205" s="574" t="s">
        <v>2221</v>
      </c>
      <c r="D205" s="574" t="s">
        <v>2220</v>
      </c>
      <c r="E205" s="574" t="s">
        <v>2222</v>
      </c>
      <c r="F205" s="574" t="s">
        <v>2223</v>
      </c>
      <c r="G205" s="574" t="s">
        <v>2224</v>
      </c>
      <c r="H205" s="574" t="s">
        <v>2225</v>
      </c>
      <c r="I205" s="574" t="s">
        <v>2226</v>
      </c>
      <c r="J205" s="574" t="s">
        <v>2227</v>
      </c>
      <c r="K205" s="574" t="s">
        <v>2228</v>
      </c>
      <c r="L205" s="574" t="s">
        <v>2229</v>
      </c>
      <c r="M205" s="574" t="s">
        <v>2230</v>
      </c>
      <c r="N205" s="574" t="s">
        <v>2231</v>
      </c>
      <c r="O205" s="574" t="s">
        <v>2759</v>
      </c>
      <c r="P205" s="574" t="s">
        <v>2932</v>
      </c>
      <c r="Q205" s="574" t="s">
        <v>2234</v>
      </c>
      <c r="R205" s="574" t="s">
        <v>2225</v>
      </c>
      <c r="S205" s="574" t="s">
        <v>2235</v>
      </c>
      <c r="T205" s="574" t="s">
        <v>2236</v>
      </c>
      <c r="U205" s="574" t="s">
        <v>3182</v>
      </c>
      <c r="V205" s="574" t="s">
        <v>2238</v>
      </c>
      <c r="W205" s="574" t="s">
        <v>2239</v>
      </c>
      <c r="X205" s="574" t="s">
        <v>3183</v>
      </c>
      <c r="Y205" s="575" t="s">
        <v>2543</v>
      </c>
      <c r="Z205" s="575" t="s">
        <v>2543</v>
      </c>
      <c r="AA205" s="574" t="s">
        <v>2949</v>
      </c>
      <c r="AB205" s="574" t="s">
        <v>2950</v>
      </c>
      <c r="AC205" s="574" t="s">
        <v>2951</v>
      </c>
      <c r="AD205" s="574" t="s">
        <v>2952</v>
      </c>
      <c r="AE205" s="574" t="s">
        <v>2953</v>
      </c>
      <c r="AF205" s="574" t="s">
        <v>2952</v>
      </c>
      <c r="AG205" s="576">
        <v>163281.62</v>
      </c>
    </row>
    <row r="206" spans="1:33" hidden="1" x14ac:dyDescent="0.25">
      <c r="A206" s="574" t="s">
        <v>2219</v>
      </c>
      <c r="B206" s="574" t="s">
        <v>2220</v>
      </c>
      <c r="C206" s="574" t="s">
        <v>2221</v>
      </c>
      <c r="D206" s="574" t="s">
        <v>2220</v>
      </c>
      <c r="E206" s="574" t="s">
        <v>2222</v>
      </c>
      <c r="F206" s="574" t="s">
        <v>2223</v>
      </c>
      <c r="G206" s="574" t="s">
        <v>2224</v>
      </c>
      <c r="H206" s="574" t="s">
        <v>2225</v>
      </c>
      <c r="I206" s="574" t="s">
        <v>2226</v>
      </c>
      <c r="J206" s="574" t="s">
        <v>2227</v>
      </c>
      <c r="K206" s="574" t="s">
        <v>2228</v>
      </c>
      <c r="L206" s="574" t="s">
        <v>2229</v>
      </c>
      <c r="M206" s="574" t="s">
        <v>2230</v>
      </c>
      <c r="N206" s="574" t="s">
        <v>2231</v>
      </c>
      <c r="O206" s="574" t="s">
        <v>2759</v>
      </c>
      <c r="P206" s="574" t="s">
        <v>2932</v>
      </c>
      <c r="Q206" s="574" t="s">
        <v>2234</v>
      </c>
      <c r="R206" s="574" t="s">
        <v>2225</v>
      </c>
      <c r="S206" s="574" t="s">
        <v>2235</v>
      </c>
      <c r="T206" s="574" t="s">
        <v>2236</v>
      </c>
      <c r="U206" s="574" t="s">
        <v>3130</v>
      </c>
      <c r="V206" s="574" t="s">
        <v>2238</v>
      </c>
      <c r="W206" s="574" t="s">
        <v>2239</v>
      </c>
      <c r="X206" s="574" t="s">
        <v>3131</v>
      </c>
      <c r="Y206" s="575" t="s">
        <v>2672</v>
      </c>
      <c r="Z206" s="575" t="s">
        <v>2672</v>
      </c>
      <c r="AA206" s="574" t="s">
        <v>2949</v>
      </c>
      <c r="AB206" s="574" t="s">
        <v>2950</v>
      </c>
      <c r="AC206" s="574" t="s">
        <v>2951</v>
      </c>
      <c r="AD206" s="574" t="s">
        <v>2952</v>
      </c>
      <c r="AE206" s="574" t="s">
        <v>2953</v>
      </c>
      <c r="AF206" s="574" t="s">
        <v>2952</v>
      </c>
      <c r="AG206" s="576">
        <v>307620.09999999998</v>
      </c>
    </row>
    <row r="207" spans="1:33" hidden="1" x14ac:dyDescent="0.25">
      <c r="A207" s="574" t="s">
        <v>2219</v>
      </c>
      <c r="B207" s="574" t="s">
        <v>2220</v>
      </c>
      <c r="C207" s="574" t="s">
        <v>2221</v>
      </c>
      <c r="D207" s="574" t="s">
        <v>2220</v>
      </c>
      <c r="E207" s="574" t="s">
        <v>2222</v>
      </c>
      <c r="F207" s="574" t="s">
        <v>2223</v>
      </c>
      <c r="G207" s="574" t="s">
        <v>2224</v>
      </c>
      <c r="H207" s="574" t="s">
        <v>2225</v>
      </c>
      <c r="I207" s="574" t="s">
        <v>2226</v>
      </c>
      <c r="J207" s="574" t="s">
        <v>2227</v>
      </c>
      <c r="K207" s="574" t="s">
        <v>2228</v>
      </c>
      <c r="L207" s="574" t="s">
        <v>2229</v>
      </c>
      <c r="M207" s="574" t="s">
        <v>2230</v>
      </c>
      <c r="N207" s="574" t="s">
        <v>2231</v>
      </c>
      <c r="O207" s="574" t="s">
        <v>2759</v>
      </c>
      <c r="P207" s="574" t="s">
        <v>2932</v>
      </c>
      <c r="Q207" s="574" t="s">
        <v>2234</v>
      </c>
      <c r="R207" s="574" t="s">
        <v>2225</v>
      </c>
      <c r="S207" s="574" t="s">
        <v>2235</v>
      </c>
      <c r="T207" s="574" t="s">
        <v>2236</v>
      </c>
      <c r="U207" s="574" t="s">
        <v>2972</v>
      </c>
      <c r="V207" s="574" t="s">
        <v>2238</v>
      </c>
      <c r="W207" s="574" t="s">
        <v>2239</v>
      </c>
      <c r="X207" s="574" t="s">
        <v>2973</v>
      </c>
      <c r="Y207" s="575" t="s">
        <v>2424</v>
      </c>
      <c r="Z207" s="575" t="s">
        <v>2424</v>
      </c>
      <c r="AA207" s="574" t="s">
        <v>2954</v>
      </c>
      <c r="AB207" s="574" t="s">
        <v>2955</v>
      </c>
      <c r="AC207" s="574" t="s">
        <v>2956</v>
      </c>
      <c r="AD207" s="574" t="s">
        <v>2957</v>
      </c>
      <c r="AE207" s="574" t="s">
        <v>2958</v>
      </c>
      <c r="AF207" s="574" t="s">
        <v>113</v>
      </c>
      <c r="AG207" s="576">
        <v>1929.3</v>
      </c>
    </row>
    <row r="208" spans="1:33" hidden="1" x14ac:dyDescent="0.25">
      <c r="A208" s="574" t="s">
        <v>2219</v>
      </c>
      <c r="B208" s="574" t="s">
        <v>2220</v>
      </c>
      <c r="C208" s="574" t="s">
        <v>2221</v>
      </c>
      <c r="D208" s="574" t="s">
        <v>2220</v>
      </c>
      <c r="E208" s="574" t="s">
        <v>2222</v>
      </c>
      <c r="F208" s="574" t="s">
        <v>2223</v>
      </c>
      <c r="G208" s="574" t="s">
        <v>2224</v>
      </c>
      <c r="H208" s="574" t="s">
        <v>2225</v>
      </c>
      <c r="I208" s="574" t="s">
        <v>2226</v>
      </c>
      <c r="J208" s="574" t="s">
        <v>2227</v>
      </c>
      <c r="K208" s="574" t="s">
        <v>2228</v>
      </c>
      <c r="L208" s="574" t="s">
        <v>2229</v>
      </c>
      <c r="M208" s="574" t="s">
        <v>2230</v>
      </c>
      <c r="N208" s="574" t="s">
        <v>2231</v>
      </c>
      <c r="O208" s="574" t="s">
        <v>2759</v>
      </c>
      <c r="P208" s="574" t="s">
        <v>2932</v>
      </c>
      <c r="Q208" s="574" t="s">
        <v>2234</v>
      </c>
      <c r="R208" s="574" t="s">
        <v>2225</v>
      </c>
      <c r="S208" s="574" t="s">
        <v>2235</v>
      </c>
      <c r="T208" s="574" t="s">
        <v>2236</v>
      </c>
      <c r="U208" s="574" t="s">
        <v>2981</v>
      </c>
      <c r="V208" s="574" t="s">
        <v>2238</v>
      </c>
      <c r="W208" s="574" t="s">
        <v>2239</v>
      </c>
      <c r="X208" s="574" t="s">
        <v>2982</v>
      </c>
      <c r="Y208" s="575" t="s">
        <v>2424</v>
      </c>
      <c r="Z208" s="575" t="s">
        <v>2424</v>
      </c>
      <c r="AA208" s="574" t="s">
        <v>2954</v>
      </c>
      <c r="AB208" s="574" t="s">
        <v>2955</v>
      </c>
      <c r="AC208" s="574" t="s">
        <v>2956</v>
      </c>
      <c r="AD208" s="574" t="s">
        <v>2957</v>
      </c>
      <c r="AE208" s="574" t="s">
        <v>2958</v>
      </c>
      <c r="AF208" s="574" t="s">
        <v>113</v>
      </c>
      <c r="AG208" s="576">
        <v>15245.6</v>
      </c>
    </row>
    <row r="209" spans="1:33" hidden="1" x14ac:dyDescent="0.25">
      <c r="A209" s="574" t="s">
        <v>2219</v>
      </c>
      <c r="B209" s="574" t="s">
        <v>2220</v>
      </c>
      <c r="C209" s="574" t="s">
        <v>2221</v>
      </c>
      <c r="D209" s="574" t="s">
        <v>2220</v>
      </c>
      <c r="E209" s="574" t="s">
        <v>2222</v>
      </c>
      <c r="F209" s="574" t="s">
        <v>2223</v>
      </c>
      <c r="G209" s="574" t="s">
        <v>2224</v>
      </c>
      <c r="H209" s="574" t="s">
        <v>2225</v>
      </c>
      <c r="I209" s="574" t="s">
        <v>2226</v>
      </c>
      <c r="J209" s="574" t="s">
        <v>2227</v>
      </c>
      <c r="K209" s="574" t="s">
        <v>2228</v>
      </c>
      <c r="L209" s="574" t="s">
        <v>2229</v>
      </c>
      <c r="M209" s="574" t="s">
        <v>2230</v>
      </c>
      <c r="N209" s="574" t="s">
        <v>2231</v>
      </c>
      <c r="O209" s="574" t="s">
        <v>2759</v>
      </c>
      <c r="P209" s="574" t="s">
        <v>2932</v>
      </c>
      <c r="Q209" s="574" t="s">
        <v>2234</v>
      </c>
      <c r="R209" s="574" t="s">
        <v>2225</v>
      </c>
      <c r="S209" s="574" t="s">
        <v>2235</v>
      </c>
      <c r="T209" s="574" t="s">
        <v>2236</v>
      </c>
      <c r="U209" s="574" t="s">
        <v>2947</v>
      </c>
      <c r="V209" s="574" t="s">
        <v>2238</v>
      </c>
      <c r="W209" s="574" t="s">
        <v>2239</v>
      </c>
      <c r="X209" s="574" t="s">
        <v>2948</v>
      </c>
      <c r="Y209" s="575" t="s">
        <v>2424</v>
      </c>
      <c r="Z209" s="575" t="s">
        <v>2424</v>
      </c>
      <c r="AA209" s="574" t="s">
        <v>2954</v>
      </c>
      <c r="AB209" s="574" t="s">
        <v>2955</v>
      </c>
      <c r="AC209" s="574" t="s">
        <v>2956</v>
      </c>
      <c r="AD209" s="574" t="s">
        <v>2957</v>
      </c>
      <c r="AE209" s="574" t="s">
        <v>2958</v>
      </c>
      <c r="AF209" s="574" t="s">
        <v>113</v>
      </c>
      <c r="AG209" s="576">
        <v>25358.2</v>
      </c>
    </row>
    <row r="210" spans="1:33" hidden="1" x14ac:dyDescent="0.25">
      <c r="A210" s="574" t="s">
        <v>2219</v>
      </c>
      <c r="B210" s="574" t="s">
        <v>2220</v>
      </c>
      <c r="C210" s="574" t="s">
        <v>2221</v>
      </c>
      <c r="D210" s="574" t="s">
        <v>2220</v>
      </c>
      <c r="E210" s="574" t="s">
        <v>2222</v>
      </c>
      <c r="F210" s="574" t="s">
        <v>2223</v>
      </c>
      <c r="G210" s="574" t="s">
        <v>2224</v>
      </c>
      <c r="H210" s="574" t="s">
        <v>2225</v>
      </c>
      <c r="I210" s="574" t="s">
        <v>2226</v>
      </c>
      <c r="J210" s="574" t="s">
        <v>2227</v>
      </c>
      <c r="K210" s="574" t="s">
        <v>2228</v>
      </c>
      <c r="L210" s="574" t="s">
        <v>2229</v>
      </c>
      <c r="M210" s="574" t="s">
        <v>2230</v>
      </c>
      <c r="N210" s="574" t="s">
        <v>2231</v>
      </c>
      <c r="O210" s="574" t="s">
        <v>2759</v>
      </c>
      <c r="P210" s="574" t="s">
        <v>2932</v>
      </c>
      <c r="Q210" s="574" t="s">
        <v>2234</v>
      </c>
      <c r="R210" s="574" t="s">
        <v>2225</v>
      </c>
      <c r="S210" s="574" t="s">
        <v>2235</v>
      </c>
      <c r="T210" s="574" t="s">
        <v>2236</v>
      </c>
      <c r="U210" s="574" t="s">
        <v>2981</v>
      </c>
      <c r="V210" s="574" t="s">
        <v>2238</v>
      </c>
      <c r="W210" s="574" t="s">
        <v>2239</v>
      </c>
      <c r="X210" s="574" t="s">
        <v>2982</v>
      </c>
      <c r="Y210" s="575" t="s">
        <v>2424</v>
      </c>
      <c r="Z210" s="575" t="s">
        <v>2424</v>
      </c>
      <c r="AA210" s="574" t="s">
        <v>2954</v>
      </c>
      <c r="AB210" s="574" t="s">
        <v>2955</v>
      </c>
      <c r="AC210" s="574" t="s">
        <v>2983</v>
      </c>
      <c r="AD210" s="574" t="s">
        <v>2984</v>
      </c>
      <c r="AE210" s="574" t="s">
        <v>2985</v>
      </c>
      <c r="AF210" s="574" t="s">
        <v>2986</v>
      </c>
      <c r="AG210" s="576">
        <v>41949</v>
      </c>
    </row>
    <row r="211" spans="1:33" hidden="1" x14ac:dyDescent="0.25">
      <c r="A211" s="574" t="s">
        <v>2219</v>
      </c>
      <c r="B211" s="574" t="s">
        <v>2220</v>
      </c>
      <c r="C211" s="574" t="s">
        <v>2221</v>
      </c>
      <c r="D211" s="574" t="s">
        <v>2220</v>
      </c>
      <c r="E211" s="574" t="s">
        <v>2222</v>
      </c>
      <c r="F211" s="574" t="s">
        <v>2223</v>
      </c>
      <c r="G211" s="574" t="s">
        <v>2224</v>
      </c>
      <c r="H211" s="574" t="s">
        <v>2225</v>
      </c>
      <c r="I211" s="574" t="s">
        <v>2226</v>
      </c>
      <c r="J211" s="574" t="s">
        <v>2227</v>
      </c>
      <c r="K211" s="574" t="s">
        <v>2228</v>
      </c>
      <c r="L211" s="574" t="s">
        <v>2229</v>
      </c>
      <c r="M211" s="574" t="s">
        <v>2230</v>
      </c>
      <c r="N211" s="574" t="s">
        <v>2231</v>
      </c>
      <c r="O211" s="574" t="s">
        <v>2759</v>
      </c>
      <c r="P211" s="574" t="s">
        <v>2932</v>
      </c>
      <c r="Q211" s="574" t="s">
        <v>2234</v>
      </c>
      <c r="R211" s="574" t="s">
        <v>2225</v>
      </c>
      <c r="S211" s="574" t="s">
        <v>2235</v>
      </c>
      <c r="T211" s="574" t="s">
        <v>2236</v>
      </c>
      <c r="U211" s="574" t="s">
        <v>2947</v>
      </c>
      <c r="V211" s="574" t="s">
        <v>2238</v>
      </c>
      <c r="W211" s="574" t="s">
        <v>2239</v>
      </c>
      <c r="X211" s="574" t="s">
        <v>2948</v>
      </c>
      <c r="Y211" s="575" t="s">
        <v>2424</v>
      </c>
      <c r="Z211" s="575" t="s">
        <v>2424</v>
      </c>
      <c r="AA211" s="574" t="s">
        <v>2954</v>
      </c>
      <c r="AB211" s="574" t="s">
        <v>2955</v>
      </c>
      <c r="AC211" s="574" t="s">
        <v>2956</v>
      </c>
      <c r="AD211" s="574" t="s">
        <v>2957</v>
      </c>
      <c r="AE211" s="574" t="s">
        <v>2959</v>
      </c>
      <c r="AF211" s="574" t="s">
        <v>2960</v>
      </c>
      <c r="AG211" s="576">
        <v>67142</v>
      </c>
    </row>
    <row r="212" spans="1:33" hidden="1" x14ac:dyDescent="0.25">
      <c r="A212" s="574" t="s">
        <v>2219</v>
      </c>
      <c r="B212" s="574" t="s">
        <v>2220</v>
      </c>
      <c r="C212" s="574" t="s">
        <v>2221</v>
      </c>
      <c r="D212" s="574" t="s">
        <v>2220</v>
      </c>
      <c r="E212" s="574" t="s">
        <v>2222</v>
      </c>
      <c r="F212" s="574" t="s">
        <v>2223</v>
      </c>
      <c r="G212" s="574" t="s">
        <v>2224</v>
      </c>
      <c r="H212" s="574" t="s">
        <v>2225</v>
      </c>
      <c r="I212" s="574" t="s">
        <v>2226</v>
      </c>
      <c r="J212" s="574" t="s">
        <v>2227</v>
      </c>
      <c r="K212" s="574" t="s">
        <v>2228</v>
      </c>
      <c r="L212" s="574" t="s">
        <v>2229</v>
      </c>
      <c r="M212" s="574" t="s">
        <v>2230</v>
      </c>
      <c r="N212" s="574" t="s">
        <v>2231</v>
      </c>
      <c r="O212" s="574" t="s">
        <v>2759</v>
      </c>
      <c r="P212" s="574" t="s">
        <v>2932</v>
      </c>
      <c r="Q212" s="574" t="s">
        <v>2234</v>
      </c>
      <c r="R212" s="574" t="s">
        <v>2225</v>
      </c>
      <c r="S212" s="574" t="s">
        <v>2235</v>
      </c>
      <c r="T212" s="574" t="s">
        <v>2236</v>
      </c>
      <c r="U212" s="574" t="s">
        <v>2489</v>
      </c>
      <c r="V212" s="574" t="s">
        <v>2238</v>
      </c>
      <c r="W212" s="574" t="s">
        <v>2239</v>
      </c>
      <c r="X212" s="574" t="s">
        <v>2490</v>
      </c>
      <c r="Y212" s="575" t="s">
        <v>2491</v>
      </c>
      <c r="Z212" s="575" t="s">
        <v>2491</v>
      </c>
      <c r="AA212" s="574" t="s">
        <v>2954</v>
      </c>
      <c r="AB212" s="574" t="s">
        <v>2955</v>
      </c>
      <c r="AC212" s="574" t="s">
        <v>2956</v>
      </c>
      <c r="AD212" s="574" t="s">
        <v>2957</v>
      </c>
      <c r="AE212" s="574" t="s">
        <v>2958</v>
      </c>
      <c r="AF212" s="574" t="s">
        <v>113</v>
      </c>
      <c r="AG212" s="576">
        <v>78173.820000000007</v>
      </c>
    </row>
    <row r="213" spans="1:33" hidden="1" x14ac:dyDescent="0.25">
      <c r="A213" s="574" t="s">
        <v>2219</v>
      </c>
      <c r="B213" s="574" t="s">
        <v>2220</v>
      </c>
      <c r="C213" s="574" t="s">
        <v>2221</v>
      </c>
      <c r="D213" s="574" t="s">
        <v>2220</v>
      </c>
      <c r="E213" s="574" t="s">
        <v>2222</v>
      </c>
      <c r="F213" s="574" t="s">
        <v>2223</v>
      </c>
      <c r="G213" s="574" t="s">
        <v>2224</v>
      </c>
      <c r="H213" s="574" t="s">
        <v>2225</v>
      </c>
      <c r="I213" s="574" t="s">
        <v>2226</v>
      </c>
      <c r="J213" s="574" t="s">
        <v>2227</v>
      </c>
      <c r="K213" s="574" t="s">
        <v>2228</v>
      </c>
      <c r="L213" s="574" t="s">
        <v>2229</v>
      </c>
      <c r="M213" s="574" t="s">
        <v>2230</v>
      </c>
      <c r="N213" s="574" t="s">
        <v>2231</v>
      </c>
      <c r="O213" s="574" t="s">
        <v>2759</v>
      </c>
      <c r="P213" s="574" t="s">
        <v>2932</v>
      </c>
      <c r="Q213" s="574" t="s">
        <v>2234</v>
      </c>
      <c r="R213" s="574" t="s">
        <v>2225</v>
      </c>
      <c r="S213" s="574" t="s">
        <v>2235</v>
      </c>
      <c r="T213" s="574" t="s">
        <v>2236</v>
      </c>
      <c r="U213" s="574" t="s">
        <v>2981</v>
      </c>
      <c r="V213" s="574" t="s">
        <v>2238</v>
      </c>
      <c r="W213" s="574" t="s">
        <v>2239</v>
      </c>
      <c r="X213" s="574" t="s">
        <v>2982</v>
      </c>
      <c r="Y213" s="575" t="s">
        <v>2424</v>
      </c>
      <c r="Z213" s="575" t="s">
        <v>2424</v>
      </c>
      <c r="AA213" s="574" t="s">
        <v>2954</v>
      </c>
      <c r="AB213" s="574" t="s">
        <v>2955</v>
      </c>
      <c r="AC213" s="574" t="s">
        <v>2956</v>
      </c>
      <c r="AD213" s="574" t="s">
        <v>2957</v>
      </c>
      <c r="AE213" s="574" t="s">
        <v>2959</v>
      </c>
      <c r="AF213" s="574" t="s">
        <v>2960</v>
      </c>
      <c r="AG213" s="576">
        <v>100814.48</v>
      </c>
    </row>
    <row r="214" spans="1:33" hidden="1" x14ac:dyDescent="0.25">
      <c r="A214" s="574" t="s">
        <v>2219</v>
      </c>
      <c r="B214" s="574" t="s">
        <v>2220</v>
      </c>
      <c r="C214" s="574" t="s">
        <v>2221</v>
      </c>
      <c r="D214" s="574" t="s">
        <v>2220</v>
      </c>
      <c r="E214" s="574" t="s">
        <v>2222</v>
      </c>
      <c r="F214" s="574" t="s">
        <v>2223</v>
      </c>
      <c r="G214" s="574" t="s">
        <v>2224</v>
      </c>
      <c r="H214" s="574" t="s">
        <v>2225</v>
      </c>
      <c r="I214" s="574" t="s">
        <v>2226</v>
      </c>
      <c r="J214" s="574" t="s">
        <v>2227</v>
      </c>
      <c r="K214" s="574" t="s">
        <v>2228</v>
      </c>
      <c r="L214" s="574" t="s">
        <v>2229</v>
      </c>
      <c r="M214" s="574" t="s">
        <v>2230</v>
      </c>
      <c r="N214" s="574" t="s">
        <v>2231</v>
      </c>
      <c r="O214" s="574" t="s">
        <v>2759</v>
      </c>
      <c r="P214" s="574" t="s">
        <v>2932</v>
      </c>
      <c r="Q214" s="574" t="s">
        <v>2234</v>
      </c>
      <c r="R214" s="574" t="s">
        <v>2225</v>
      </c>
      <c r="S214" s="574" t="s">
        <v>2235</v>
      </c>
      <c r="T214" s="574" t="s">
        <v>2236</v>
      </c>
      <c r="U214" s="574" t="s">
        <v>2972</v>
      </c>
      <c r="V214" s="574" t="s">
        <v>2238</v>
      </c>
      <c r="W214" s="574" t="s">
        <v>2239</v>
      </c>
      <c r="X214" s="574" t="s">
        <v>2973</v>
      </c>
      <c r="Y214" s="575" t="s">
        <v>2424</v>
      </c>
      <c r="Z214" s="575" t="s">
        <v>2424</v>
      </c>
      <c r="AA214" s="574" t="s">
        <v>2954</v>
      </c>
      <c r="AB214" s="574" t="s">
        <v>2955</v>
      </c>
      <c r="AC214" s="574" t="s">
        <v>2956</v>
      </c>
      <c r="AD214" s="574" t="s">
        <v>2957</v>
      </c>
      <c r="AE214" s="574" t="s">
        <v>2959</v>
      </c>
      <c r="AF214" s="574" t="s">
        <v>2960</v>
      </c>
      <c r="AG214" s="576">
        <v>134343</v>
      </c>
    </row>
    <row r="215" spans="1:33" hidden="1" x14ac:dyDescent="0.25">
      <c r="A215" s="574" t="s">
        <v>2219</v>
      </c>
      <c r="B215" s="574" t="s">
        <v>2220</v>
      </c>
      <c r="C215" s="574" t="s">
        <v>2221</v>
      </c>
      <c r="D215" s="574" t="s">
        <v>2220</v>
      </c>
      <c r="E215" s="574" t="s">
        <v>2222</v>
      </c>
      <c r="F215" s="574" t="s">
        <v>2223</v>
      </c>
      <c r="G215" s="574" t="s">
        <v>2224</v>
      </c>
      <c r="H215" s="574" t="s">
        <v>2225</v>
      </c>
      <c r="I215" s="574" t="s">
        <v>2226</v>
      </c>
      <c r="J215" s="574" t="s">
        <v>2227</v>
      </c>
      <c r="K215" s="574" t="s">
        <v>2228</v>
      </c>
      <c r="L215" s="574" t="s">
        <v>2229</v>
      </c>
      <c r="M215" s="574" t="s">
        <v>2230</v>
      </c>
      <c r="N215" s="574" t="s">
        <v>2231</v>
      </c>
      <c r="O215" s="574" t="s">
        <v>2232</v>
      </c>
      <c r="P215" s="574" t="s">
        <v>2233</v>
      </c>
      <c r="Q215" s="574" t="s">
        <v>2234</v>
      </c>
      <c r="R215" s="574" t="s">
        <v>2225</v>
      </c>
      <c r="S215" s="574" t="s">
        <v>2235</v>
      </c>
      <c r="T215" s="574" t="s">
        <v>2236</v>
      </c>
      <c r="U215" s="574" t="s">
        <v>2606</v>
      </c>
      <c r="V215" s="574" t="s">
        <v>2238</v>
      </c>
      <c r="W215" s="574" t="s">
        <v>2239</v>
      </c>
      <c r="X215" s="574" t="s">
        <v>2607</v>
      </c>
      <c r="Y215" s="575" t="s">
        <v>2599</v>
      </c>
      <c r="Z215" s="575" t="s">
        <v>2599</v>
      </c>
      <c r="AA215" s="574" t="s">
        <v>1692</v>
      </c>
      <c r="AB215" s="574" t="s">
        <v>2307</v>
      </c>
      <c r="AC215" s="574" t="s">
        <v>2308</v>
      </c>
      <c r="AD215" s="574" t="s">
        <v>2309</v>
      </c>
      <c r="AE215" s="574" t="s">
        <v>1490</v>
      </c>
      <c r="AF215" s="574" t="s">
        <v>176</v>
      </c>
      <c r="AG215" s="576">
        <v>5568</v>
      </c>
    </row>
    <row r="216" spans="1:33" hidden="1" x14ac:dyDescent="0.25">
      <c r="A216" s="574" t="s">
        <v>2219</v>
      </c>
      <c r="B216" s="574" t="s">
        <v>2220</v>
      </c>
      <c r="C216" s="574" t="s">
        <v>2221</v>
      </c>
      <c r="D216" s="574" t="s">
        <v>2220</v>
      </c>
      <c r="E216" s="574" t="s">
        <v>2222</v>
      </c>
      <c r="F216" s="574" t="s">
        <v>2223</v>
      </c>
      <c r="G216" s="574" t="s">
        <v>2224</v>
      </c>
      <c r="H216" s="574" t="s">
        <v>2225</v>
      </c>
      <c r="I216" s="574" t="s">
        <v>2226</v>
      </c>
      <c r="J216" s="574" t="s">
        <v>2227</v>
      </c>
      <c r="K216" s="574" t="s">
        <v>2228</v>
      </c>
      <c r="L216" s="574" t="s">
        <v>2229</v>
      </c>
      <c r="M216" s="574" t="s">
        <v>2230</v>
      </c>
      <c r="N216" s="574" t="s">
        <v>2231</v>
      </c>
      <c r="O216" s="574" t="s">
        <v>2759</v>
      </c>
      <c r="P216" s="574" t="s">
        <v>2932</v>
      </c>
      <c r="Q216" s="574" t="s">
        <v>2234</v>
      </c>
      <c r="R216" s="574" t="s">
        <v>2225</v>
      </c>
      <c r="S216" s="574" t="s">
        <v>2235</v>
      </c>
      <c r="T216" s="574" t="s">
        <v>2236</v>
      </c>
      <c r="U216" s="574" t="s">
        <v>2981</v>
      </c>
      <c r="V216" s="574" t="s">
        <v>2238</v>
      </c>
      <c r="W216" s="574" t="s">
        <v>2239</v>
      </c>
      <c r="X216" s="574" t="s">
        <v>2982</v>
      </c>
      <c r="Y216" s="575" t="s">
        <v>2424</v>
      </c>
      <c r="Z216" s="575" t="s">
        <v>2424</v>
      </c>
      <c r="AA216" s="574" t="s">
        <v>1692</v>
      </c>
      <c r="AB216" s="574" t="s">
        <v>2307</v>
      </c>
      <c r="AC216" s="574" t="s">
        <v>2308</v>
      </c>
      <c r="AD216" s="574" t="s">
        <v>2309</v>
      </c>
      <c r="AE216" s="574" t="s">
        <v>1482</v>
      </c>
      <c r="AF216" s="574" t="s">
        <v>2961</v>
      </c>
      <c r="AG216" s="576">
        <v>6513.6</v>
      </c>
    </row>
    <row r="217" spans="1:33" hidden="1" x14ac:dyDescent="0.25">
      <c r="A217" s="574" t="s">
        <v>2219</v>
      </c>
      <c r="B217" s="574" t="s">
        <v>2220</v>
      </c>
      <c r="C217" s="574" t="s">
        <v>2221</v>
      </c>
      <c r="D217" s="574" t="s">
        <v>2220</v>
      </c>
      <c r="E217" s="574" t="s">
        <v>2222</v>
      </c>
      <c r="F217" s="574" t="s">
        <v>2223</v>
      </c>
      <c r="G217" s="574" t="s">
        <v>2224</v>
      </c>
      <c r="H217" s="574" t="s">
        <v>2225</v>
      </c>
      <c r="I217" s="574" t="s">
        <v>2226</v>
      </c>
      <c r="J217" s="574" t="s">
        <v>2227</v>
      </c>
      <c r="K217" s="574" t="s">
        <v>2228</v>
      </c>
      <c r="L217" s="574" t="s">
        <v>2229</v>
      </c>
      <c r="M217" s="574" t="s">
        <v>2230</v>
      </c>
      <c r="N217" s="574" t="s">
        <v>2231</v>
      </c>
      <c r="O217" s="574" t="s">
        <v>2759</v>
      </c>
      <c r="P217" s="574" t="s">
        <v>2932</v>
      </c>
      <c r="Q217" s="574" t="s">
        <v>2234</v>
      </c>
      <c r="R217" s="574" t="s">
        <v>2225</v>
      </c>
      <c r="S217" s="574" t="s">
        <v>2235</v>
      </c>
      <c r="T217" s="574" t="s">
        <v>2236</v>
      </c>
      <c r="U217" s="574" t="s">
        <v>3292</v>
      </c>
      <c r="V217" s="574" t="s">
        <v>2238</v>
      </c>
      <c r="W217" s="574" t="s">
        <v>2239</v>
      </c>
      <c r="X217" s="574" t="s">
        <v>3293</v>
      </c>
      <c r="Y217" s="575" t="s">
        <v>2596</v>
      </c>
      <c r="Z217" s="575" t="s">
        <v>2596</v>
      </c>
      <c r="AA217" s="574" t="s">
        <v>1692</v>
      </c>
      <c r="AB217" s="574" t="s">
        <v>2307</v>
      </c>
      <c r="AC217" s="574" t="s">
        <v>2308</v>
      </c>
      <c r="AD217" s="574" t="s">
        <v>2309</v>
      </c>
      <c r="AE217" s="574" t="s">
        <v>1490</v>
      </c>
      <c r="AF217" s="574" t="s">
        <v>176</v>
      </c>
      <c r="AG217" s="576">
        <v>7020</v>
      </c>
    </row>
    <row r="218" spans="1:33" hidden="1" x14ac:dyDescent="0.25">
      <c r="A218" s="574" t="s">
        <v>2219</v>
      </c>
      <c r="B218" s="574" t="s">
        <v>2220</v>
      </c>
      <c r="C218" s="574" t="s">
        <v>2221</v>
      </c>
      <c r="D218" s="574" t="s">
        <v>2220</v>
      </c>
      <c r="E218" s="574" t="s">
        <v>2222</v>
      </c>
      <c r="F218" s="574" t="s">
        <v>2223</v>
      </c>
      <c r="G218" s="574" t="s">
        <v>2224</v>
      </c>
      <c r="H218" s="574" t="s">
        <v>2225</v>
      </c>
      <c r="I218" s="574" t="s">
        <v>2226</v>
      </c>
      <c r="J218" s="574" t="s">
        <v>2227</v>
      </c>
      <c r="K218" s="574" t="s">
        <v>2228</v>
      </c>
      <c r="L218" s="574" t="s">
        <v>2229</v>
      </c>
      <c r="M218" s="574" t="s">
        <v>2230</v>
      </c>
      <c r="N218" s="574" t="s">
        <v>2231</v>
      </c>
      <c r="O218" s="574" t="s">
        <v>2232</v>
      </c>
      <c r="P218" s="574" t="s">
        <v>2233</v>
      </c>
      <c r="Q218" s="574" t="s">
        <v>2234</v>
      </c>
      <c r="R218" s="574" t="s">
        <v>2225</v>
      </c>
      <c r="S218" s="574" t="s">
        <v>2235</v>
      </c>
      <c r="T218" s="574" t="s">
        <v>2236</v>
      </c>
      <c r="U218" s="574" t="s">
        <v>2379</v>
      </c>
      <c r="V218" s="574" t="s">
        <v>2238</v>
      </c>
      <c r="W218" s="574" t="s">
        <v>2239</v>
      </c>
      <c r="X218" s="574" t="s">
        <v>2380</v>
      </c>
      <c r="Y218" s="575" t="s">
        <v>2372</v>
      </c>
      <c r="Z218" s="575" t="s">
        <v>2372</v>
      </c>
      <c r="AA218" s="574" t="s">
        <v>1692</v>
      </c>
      <c r="AB218" s="574" t="s">
        <v>2307</v>
      </c>
      <c r="AC218" s="574" t="s">
        <v>2308</v>
      </c>
      <c r="AD218" s="574" t="s">
        <v>2309</v>
      </c>
      <c r="AE218" s="574" t="s">
        <v>1490</v>
      </c>
      <c r="AF218" s="574" t="s">
        <v>176</v>
      </c>
      <c r="AG218" s="576">
        <v>8400</v>
      </c>
    </row>
    <row r="219" spans="1:33" hidden="1" x14ac:dyDescent="0.25">
      <c r="A219" s="574" t="s">
        <v>2219</v>
      </c>
      <c r="B219" s="574" t="s">
        <v>2220</v>
      </c>
      <c r="C219" s="574" t="s">
        <v>2221</v>
      </c>
      <c r="D219" s="574" t="s">
        <v>2220</v>
      </c>
      <c r="E219" s="574" t="s">
        <v>2222</v>
      </c>
      <c r="F219" s="574" t="s">
        <v>2223</v>
      </c>
      <c r="G219" s="574" t="s">
        <v>2224</v>
      </c>
      <c r="H219" s="574" t="s">
        <v>2225</v>
      </c>
      <c r="I219" s="574" t="s">
        <v>2226</v>
      </c>
      <c r="J219" s="574" t="s">
        <v>2227</v>
      </c>
      <c r="K219" s="574" t="s">
        <v>2228</v>
      </c>
      <c r="L219" s="574" t="s">
        <v>2229</v>
      </c>
      <c r="M219" s="574" t="s">
        <v>2230</v>
      </c>
      <c r="N219" s="574" t="s">
        <v>2231</v>
      </c>
      <c r="O219" s="574" t="s">
        <v>2232</v>
      </c>
      <c r="P219" s="574" t="s">
        <v>2233</v>
      </c>
      <c r="Q219" s="574" t="s">
        <v>2234</v>
      </c>
      <c r="R219" s="574" t="s">
        <v>2225</v>
      </c>
      <c r="S219" s="574" t="s">
        <v>2235</v>
      </c>
      <c r="T219" s="574" t="s">
        <v>2236</v>
      </c>
      <c r="U219" s="574" t="s">
        <v>2515</v>
      </c>
      <c r="V219" s="574" t="s">
        <v>2238</v>
      </c>
      <c r="W219" s="574" t="s">
        <v>2239</v>
      </c>
      <c r="X219" s="574" t="s">
        <v>2516</v>
      </c>
      <c r="Y219" s="575" t="s">
        <v>2517</v>
      </c>
      <c r="Z219" s="575" t="s">
        <v>2517</v>
      </c>
      <c r="AA219" s="574" t="s">
        <v>1692</v>
      </c>
      <c r="AB219" s="574" t="s">
        <v>2307</v>
      </c>
      <c r="AC219" s="574" t="s">
        <v>2308</v>
      </c>
      <c r="AD219" s="574" t="s">
        <v>2309</v>
      </c>
      <c r="AE219" s="574" t="s">
        <v>1490</v>
      </c>
      <c r="AF219" s="574" t="s">
        <v>176</v>
      </c>
      <c r="AG219" s="576">
        <v>8750</v>
      </c>
    </row>
    <row r="220" spans="1:33" hidden="1" x14ac:dyDescent="0.25">
      <c r="A220" s="574" t="s">
        <v>2219</v>
      </c>
      <c r="B220" s="574" t="s">
        <v>2220</v>
      </c>
      <c r="C220" s="574" t="s">
        <v>2221</v>
      </c>
      <c r="D220" s="574" t="s">
        <v>2220</v>
      </c>
      <c r="E220" s="574" t="s">
        <v>2222</v>
      </c>
      <c r="F220" s="574" t="s">
        <v>2223</v>
      </c>
      <c r="G220" s="574" t="s">
        <v>2224</v>
      </c>
      <c r="H220" s="574" t="s">
        <v>2225</v>
      </c>
      <c r="I220" s="574" t="s">
        <v>2226</v>
      </c>
      <c r="J220" s="574" t="s">
        <v>2227</v>
      </c>
      <c r="K220" s="574" t="s">
        <v>2228</v>
      </c>
      <c r="L220" s="574" t="s">
        <v>2229</v>
      </c>
      <c r="M220" s="574" t="s">
        <v>2230</v>
      </c>
      <c r="N220" s="574" t="s">
        <v>2231</v>
      </c>
      <c r="O220" s="574" t="s">
        <v>2759</v>
      </c>
      <c r="P220" s="574" t="s">
        <v>2932</v>
      </c>
      <c r="Q220" s="574" t="s">
        <v>2234</v>
      </c>
      <c r="R220" s="574" t="s">
        <v>2225</v>
      </c>
      <c r="S220" s="574" t="s">
        <v>2235</v>
      </c>
      <c r="T220" s="574" t="s">
        <v>2236</v>
      </c>
      <c r="U220" s="574" t="s">
        <v>3215</v>
      </c>
      <c r="V220" s="574" t="s">
        <v>2238</v>
      </c>
      <c r="W220" s="574" t="s">
        <v>2239</v>
      </c>
      <c r="X220" s="574" t="s">
        <v>3216</v>
      </c>
      <c r="Y220" s="575" t="s">
        <v>2568</v>
      </c>
      <c r="Z220" s="575" t="s">
        <v>2568</v>
      </c>
      <c r="AA220" s="574" t="s">
        <v>1692</v>
      </c>
      <c r="AB220" s="574" t="s">
        <v>2307</v>
      </c>
      <c r="AC220" s="574" t="s">
        <v>2308</v>
      </c>
      <c r="AD220" s="574" t="s">
        <v>2309</v>
      </c>
      <c r="AE220" s="574" t="s">
        <v>1490</v>
      </c>
      <c r="AF220" s="574" t="s">
        <v>176</v>
      </c>
      <c r="AG220" s="576">
        <v>8800</v>
      </c>
    </row>
    <row r="221" spans="1:33" hidden="1" x14ac:dyDescent="0.25">
      <c r="A221" s="574" t="s">
        <v>2219</v>
      </c>
      <c r="B221" s="574" t="s">
        <v>2220</v>
      </c>
      <c r="C221" s="574" t="s">
        <v>2221</v>
      </c>
      <c r="D221" s="574" t="s">
        <v>2220</v>
      </c>
      <c r="E221" s="574" t="s">
        <v>2222</v>
      </c>
      <c r="F221" s="574" t="s">
        <v>2223</v>
      </c>
      <c r="G221" s="574" t="s">
        <v>2224</v>
      </c>
      <c r="H221" s="574" t="s">
        <v>2225</v>
      </c>
      <c r="I221" s="574" t="s">
        <v>2226</v>
      </c>
      <c r="J221" s="574" t="s">
        <v>2227</v>
      </c>
      <c r="K221" s="574" t="s">
        <v>2228</v>
      </c>
      <c r="L221" s="574" t="s">
        <v>2229</v>
      </c>
      <c r="M221" s="574" t="s">
        <v>2230</v>
      </c>
      <c r="N221" s="574" t="s">
        <v>2231</v>
      </c>
      <c r="O221" s="574" t="s">
        <v>2759</v>
      </c>
      <c r="P221" s="574" t="s">
        <v>2932</v>
      </c>
      <c r="Q221" s="574" t="s">
        <v>2234</v>
      </c>
      <c r="R221" s="574" t="s">
        <v>2225</v>
      </c>
      <c r="S221" s="574" t="s">
        <v>2235</v>
      </c>
      <c r="T221" s="574" t="s">
        <v>2236</v>
      </c>
      <c r="U221" s="574" t="s">
        <v>2632</v>
      </c>
      <c r="V221" s="574" t="s">
        <v>2238</v>
      </c>
      <c r="W221" s="574" t="s">
        <v>2239</v>
      </c>
      <c r="X221" s="574" t="s">
        <v>2633</v>
      </c>
      <c r="Y221" s="575" t="s">
        <v>2634</v>
      </c>
      <c r="Z221" s="575" t="s">
        <v>2634</v>
      </c>
      <c r="AA221" s="574" t="s">
        <v>1692</v>
      </c>
      <c r="AB221" s="574" t="s">
        <v>2307</v>
      </c>
      <c r="AC221" s="574" t="s">
        <v>2308</v>
      </c>
      <c r="AD221" s="574" t="s">
        <v>2309</v>
      </c>
      <c r="AE221" s="574" t="s">
        <v>1482</v>
      </c>
      <c r="AF221" s="574" t="s">
        <v>2961</v>
      </c>
      <c r="AG221" s="576">
        <v>8850</v>
      </c>
    </row>
    <row r="222" spans="1:33" hidden="1" x14ac:dyDescent="0.25">
      <c r="A222" s="574" t="s">
        <v>2219</v>
      </c>
      <c r="B222" s="574" t="s">
        <v>2220</v>
      </c>
      <c r="C222" s="574" t="s">
        <v>2221</v>
      </c>
      <c r="D222" s="574" t="s">
        <v>2220</v>
      </c>
      <c r="E222" s="574" t="s">
        <v>2222</v>
      </c>
      <c r="F222" s="574" t="s">
        <v>2223</v>
      </c>
      <c r="G222" s="574" t="s">
        <v>2224</v>
      </c>
      <c r="H222" s="574" t="s">
        <v>2225</v>
      </c>
      <c r="I222" s="574" t="s">
        <v>2226</v>
      </c>
      <c r="J222" s="574" t="s">
        <v>2227</v>
      </c>
      <c r="K222" s="574" t="s">
        <v>2228</v>
      </c>
      <c r="L222" s="574" t="s">
        <v>2229</v>
      </c>
      <c r="M222" s="574" t="s">
        <v>2230</v>
      </c>
      <c r="N222" s="574" t="s">
        <v>2231</v>
      </c>
      <c r="O222" s="574" t="s">
        <v>2232</v>
      </c>
      <c r="P222" s="574" t="s">
        <v>2233</v>
      </c>
      <c r="Q222" s="574" t="s">
        <v>2234</v>
      </c>
      <c r="R222" s="574" t="s">
        <v>2225</v>
      </c>
      <c r="S222" s="574" t="s">
        <v>2235</v>
      </c>
      <c r="T222" s="574" t="s">
        <v>2236</v>
      </c>
      <c r="U222" s="574" t="s">
        <v>2479</v>
      </c>
      <c r="V222" s="574" t="s">
        <v>2238</v>
      </c>
      <c r="W222" s="574" t="s">
        <v>2239</v>
      </c>
      <c r="X222" s="574" t="s">
        <v>2480</v>
      </c>
      <c r="Y222" s="575" t="s">
        <v>2481</v>
      </c>
      <c r="Z222" s="575" t="s">
        <v>2481</v>
      </c>
      <c r="AA222" s="574" t="s">
        <v>1692</v>
      </c>
      <c r="AB222" s="574" t="s">
        <v>2307</v>
      </c>
      <c r="AC222" s="574" t="s">
        <v>2308</v>
      </c>
      <c r="AD222" s="574" t="s">
        <v>2309</v>
      </c>
      <c r="AE222" s="574" t="s">
        <v>1490</v>
      </c>
      <c r="AF222" s="574" t="s">
        <v>176</v>
      </c>
      <c r="AG222" s="576">
        <v>9900</v>
      </c>
    </row>
    <row r="223" spans="1:33" hidden="1" x14ac:dyDescent="0.25">
      <c r="A223" s="574" t="s">
        <v>2219</v>
      </c>
      <c r="B223" s="574" t="s">
        <v>2220</v>
      </c>
      <c r="C223" s="574" t="s">
        <v>2221</v>
      </c>
      <c r="D223" s="574" t="s">
        <v>2220</v>
      </c>
      <c r="E223" s="574" t="s">
        <v>2222</v>
      </c>
      <c r="F223" s="574" t="s">
        <v>2223</v>
      </c>
      <c r="G223" s="574" t="s">
        <v>2224</v>
      </c>
      <c r="H223" s="574" t="s">
        <v>2225</v>
      </c>
      <c r="I223" s="574" t="s">
        <v>2226</v>
      </c>
      <c r="J223" s="574" t="s">
        <v>2227</v>
      </c>
      <c r="K223" s="574" t="s">
        <v>2228</v>
      </c>
      <c r="L223" s="574" t="s">
        <v>2229</v>
      </c>
      <c r="M223" s="574" t="s">
        <v>2230</v>
      </c>
      <c r="N223" s="574" t="s">
        <v>2231</v>
      </c>
      <c r="O223" s="574" t="s">
        <v>2232</v>
      </c>
      <c r="P223" s="574" t="s">
        <v>2233</v>
      </c>
      <c r="Q223" s="574" t="s">
        <v>2234</v>
      </c>
      <c r="R223" s="574" t="s">
        <v>2225</v>
      </c>
      <c r="S223" s="574" t="s">
        <v>2235</v>
      </c>
      <c r="T223" s="574" t="s">
        <v>2236</v>
      </c>
      <c r="U223" s="574" t="s">
        <v>2618</v>
      </c>
      <c r="V223" s="574" t="s">
        <v>2238</v>
      </c>
      <c r="W223" s="574" t="s">
        <v>2239</v>
      </c>
      <c r="X223" s="574" t="s">
        <v>2619</v>
      </c>
      <c r="Y223" s="575" t="s">
        <v>2599</v>
      </c>
      <c r="Z223" s="575" t="s">
        <v>2599</v>
      </c>
      <c r="AA223" s="574" t="s">
        <v>1692</v>
      </c>
      <c r="AB223" s="574" t="s">
        <v>2307</v>
      </c>
      <c r="AC223" s="574" t="s">
        <v>2308</v>
      </c>
      <c r="AD223" s="574" t="s">
        <v>2309</v>
      </c>
      <c r="AE223" s="574" t="s">
        <v>1490</v>
      </c>
      <c r="AF223" s="574" t="s">
        <v>176</v>
      </c>
      <c r="AG223" s="576">
        <v>13117</v>
      </c>
    </row>
    <row r="224" spans="1:33" hidden="1" x14ac:dyDescent="0.25">
      <c r="A224" s="574" t="s">
        <v>2219</v>
      </c>
      <c r="B224" s="574" t="s">
        <v>2220</v>
      </c>
      <c r="C224" s="574" t="s">
        <v>2221</v>
      </c>
      <c r="D224" s="574" t="s">
        <v>2220</v>
      </c>
      <c r="E224" s="574" t="s">
        <v>2222</v>
      </c>
      <c r="F224" s="574" t="s">
        <v>2223</v>
      </c>
      <c r="G224" s="574" t="s">
        <v>2224</v>
      </c>
      <c r="H224" s="574" t="s">
        <v>2225</v>
      </c>
      <c r="I224" s="574" t="s">
        <v>2226</v>
      </c>
      <c r="J224" s="574" t="s">
        <v>2227</v>
      </c>
      <c r="K224" s="574" t="s">
        <v>2228</v>
      </c>
      <c r="L224" s="574" t="s">
        <v>2229</v>
      </c>
      <c r="M224" s="574" t="s">
        <v>2230</v>
      </c>
      <c r="N224" s="574" t="s">
        <v>2231</v>
      </c>
      <c r="O224" s="574" t="s">
        <v>2232</v>
      </c>
      <c r="P224" s="574" t="s">
        <v>2233</v>
      </c>
      <c r="Q224" s="574" t="s">
        <v>2234</v>
      </c>
      <c r="R224" s="574" t="s">
        <v>2225</v>
      </c>
      <c r="S224" s="574" t="s">
        <v>2235</v>
      </c>
      <c r="T224" s="574" t="s">
        <v>2236</v>
      </c>
      <c r="U224" s="574" t="s">
        <v>2637</v>
      </c>
      <c r="V224" s="574" t="s">
        <v>2238</v>
      </c>
      <c r="W224" s="574" t="s">
        <v>2239</v>
      </c>
      <c r="X224" s="574" t="s">
        <v>2638</v>
      </c>
      <c r="Y224" s="575" t="s">
        <v>2634</v>
      </c>
      <c r="Z224" s="575" t="s">
        <v>2634</v>
      </c>
      <c r="AA224" s="574" t="s">
        <v>1692</v>
      </c>
      <c r="AB224" s="574" t="s">
        <v>2307</v>
      </c>
      <c r="AC224" s="574" t="s">
        <v>2308</v>
      </c>
      <c r="AD224" s="574" t="s">
        <v>2309</v>
      </c>
      <c r="AE224" s="574" t="s">
        <v>1490</v>
      </c>
      <c r="AF224" s="574" t="s">
        <v>176</v>
      </c>
      <c r="AG224" s="576">
        <v>13409</v>
      </c>
    </row>
    <row r="225" spans="1:33" hidden="1" x14ac:dyDescent="0.25">
      <c r="A225" s="574" t="s">
        <v>2219</v>
      </c>
      <c r="B225" s="574" t="s">
        <v>2220</v>
      </c>
      <c r="C225" s="574" t="s">
        <v>2221</v>
      </c>
      <c r="D225" s="574" t="s">
        <v>2220</v>
      </c>
      <c r="E225" s="574" t="s">
        <v>2222</v>
      </c>
      <c r="F225" s="574" t="s">
        <v>2223</v>
      </c>
      <c r="G225" s="574" t="s">
        <v>2224</v>
      </c>
      <c r="H225" s="574" t="s">
        <v>2225</v>
      </c>
      <c r="I225" s="574" t="s">
        <v>2226</v>
      </c>
      <c r="J225" s="574" t="s">
        <v>2227</v>
      </c>
      <c r="K225" s="574" t="s">
        <v>2228</v>
      </c>
      <c r="L225" s="574" t="s">
        <v>2229</v>
      </c>
      <c r="M225" s="574" t="s">
        <v>2230</v>
      </c>
      <c r="N225" s="574" t="s">
        <v>2231</v>
      </c>
      <c r="O225" s="574" t="s">
        <v>2759</v>
      </c>
      <c r="P225" s="574" t="s">
        <v>2932</v>
      </c>
      <c r="Q225" s="574" t="s">
        <v>2234</v>
      </c>
      <c r="R225" s="574" t="s">
        <v>2225</v>
      </c>
      <c r="S225" s="574" t="s">
        <v>2235</v>
      </c>
      <c r="T225" s="574" t="s">
        <v>2236</v>
      </c>
      <c r="U225" s="574" t="s">
        <v>3304</v>
      </c>
      <c r="V225" s="574" t="s">
        <v>2238</v>
      </c>
      <c r="W225" s="574" t="s">
        <v>2239</v>
      </c>
      <c r="X225" s="574" t="s">
        <v>3305</v>
      </c>
      <c r="Y225" s="575" t="s">
        <v>2641</v>
      </c>
      <c r="Z225" s="575" t="s">
        <v>2641</v>
      </c>
      <c r="AA225" s="574" t="s">
        <v>1692</v>
      </c>
      <c r="AB225" s="574" t="s">
        <v>2307</v>
      </c>
      <c r="AC225" s="574" t="s">
        <v>2308</v>
      </c>
      <c r="AD225" s="574" t="s">
        <v>2309</v>
      </c>
      <c r="AE225" s="574" t="s">
        <v>1482</v>
      </c>
      <c r="AF225" s="574" t="s">
        <v>2961</v>
      </c>
      <c r="AG225" s="576">
        <v>15458</v>
      </c>
    </row>
    <row r="226" spans="1:33" hidden="1" x14ac:dyDescent="0.25">
      <c r="A226" s="574" t="s">
        <v>2219</v>
      </c>
      <c r="B226" s="574" t="s">
        <v>2220</v>
      </c>
      <c r="C226" s="574" t="s">
        <v>2221</v>
      </c>
      <c r="D226" s="574" t="s">
        <v>2220</v>
      </c>
      <c r="E226" s="574" t="s">
        <v>2222</v>
      </c>
      <c r="F226" s="574" t="s">
        <v>2223</v>
      </c>
      <c r="G226" s="574" t="s">
        <v>2224</v>
      </c>
      <c r="H226" s="574" t="s">
        <v>2225</v>
      </c>
      <c r="I226" s="574" t="s">
        <v>2226</v>
      </c>
      <c r="J226" s="574" t="s">
        <v>2227</v>
      </c>
      <c r="K226" s="574" t="s">
        <v>2228</v>
      </c>
      <c r="L226" s="574" t="s">
        <v>2229</v>
      </c>
      <c r="M226" s="574" t="s">
        <v>2230</v>
      </c>
      <c r="N226" s="574" t="s">
        <v>2231</v>
      </c>
      <c r="O226" s="574" t="s">
        <v>2759</v>
      </c>
      <c r="P226" s="574" t="s">
        <v>2932</v>
      </c>
      <c r="Q226" s="574" t="s">
        <v>2234</v>
      </c>
      <c r="R226" s="574" t="s">
        <v>2225</v>
      </c>
      <c r="S226" s="574" t="s">
        <v>2235</v>
      </c>
      <c r="T226" s="574" t="s">
        <v>2236</v>
      </c>
      <c r="U226" s="574" t="s">
        <v>3027</v>
      </c>
      <c r="V226" s="574" t="s">
        <v>2238</v>
      </c>
      <c r="W226" s="574" t="s">
        <v>2239</v>
      </c>
      <c r="X226" s="574" t="s">
        <v>3028</v>
      </c>
      <c r="Y226" s="575" t="s">
        <v>2457</v>
      </c>
      <c r="Z226" s="575" t="s">
        <v>2457</v>
      </c>
      <c r="AA226" s="574" t="s">
        <v>1692</v>
      </c>
      <c r="AB226" s="574" t="s">
        <v>2307</v>
      </c>
      <c r="AC226" s="574" t="s">
        <v>2308</v>
      </c>
      <c r="AD226" s="574" t="s">
        <v>2309</v>
      </c>
      <c r="AE226" s="574" t="s">
        <v>1490</v>
      </c>
      <c r="AF226" s="574" t="s">
        <v>176</v>
      </c>
      <c r="AG226" s="576">
        <v>18409.41</v>
      </c>
    </row>
    <row r="227" spans="1:33" hidden="1" x14ac:dyDescent="0.25">
      <c r="A227" s="574" t="s">
        <v>2219</v>
      </c>
      <c r="B227" s="574" t="s">
        <v>2220</v>
      </c>
      <c r="C227" s="574" t="s">
        <v>2221</v>
      </c>
      <c r="D227" s="574" t="s">
        <v>2220</v>
      </c>
      <c r="E227" s="574" t="s">
        <v>2222</v>
      </c>
      <c r="F227" s="574" t="s">
        <v>2223</v>
      </c>
      <c r="G227" s="574" t="s">
        <v>2224</v>
      </c>
      <c r="H227" s="574" t="s">
        <v>2225</v>
      </c>
      <c r="I227" s="574" t="s">
        <v>2226</v>
      </c>
      <c r="J227" s="574" t="s">
        <v>2227</v>
      </c>
      <c r="K227" s="574" t="s">
        <v>2228</v>
      </c>
      <c r="L227" s="574" t="s">
        <v>2229</v>
      </c>
      <c r="M227" s="574" t="s">
        <v>2230</v>
      </c>
      <c r="N227" s="574" t="s">
        <v>2231</v>
      </c>
      <c r="O227" s="574" t="s">
        <v>2759</v>
      </c>
      <c r="P227" s="574" t="s">
        <v>2932</v>
      </c>
      <c r="Q227" s="574" t="s">
        <v>2234</v>
      </c>
      <c r="R227" s="574" t="s">
        <v>2225</v>
      </c>
      <c r="S227" s="574" t="s">
        <v>2235</v>
      </c>
      <c r="T227" s="574" t="s">
        <v>2236</v>
      </c>
      <c r="U227" s="574" t="s">
        <v>3031</v>
      </c>
      <c r="V227" s="574" t="s">
        <v>2238</v>
      </c>
      <c r="W227" s="574" t="s">
        <v>2239</v>
      </c>
      <c r="X227" s="574" t="s">
        <v>3032</v>
      </c>
      <c r="Y227" s="575" t="s">
        <v>2464</v>
      </c>
      <c r="Z227" s="575" t="s">
        <v>2464</v>
      </c>
      <c r="AA227" s="574" t="s">
        <v>1692</v>
      </c>
      <c r="AB227" s="574" t="s">
        <v>2307</v>
      </c>
      <c r="AC227" s="574" t="s">
        <v>2308</v>
      </c>
      <c r="AD227" s="574" t="s">
        <v>2309</v>
      </c>
      <c r="AE227" s="574" t="s">
        <v>1490</v>
      </c>
      <c r="AF227" s="574" t="s">
        <v>176</v>
      </c>
      <c r="AG227" s="576">
        <v>21280</v>
      </c>
    </row>
    <row r="228" spans="1:33" hidden="1" x14ac:dyDescent="0.25">
      <c r="A228" s="574" t="s">
        <v>2219</v>
      </c>
      <c r="B228" s="574" t="s">
        <v>2220</v>
      </c>
      <c r="C228" s="574" t="s">
        <v>2221</v>
      </c>
      <c r="D228" s="574" t="s">
        <v>2220</v>
      </c>
      <c r="E228" s="574" t="s">
        <v>2222</v>
      </c>
      <c r="F228" s="574" t="s">
        <v>2223</v>
      </c>
      <c r="G228" s="574" t="s">
        <v>2224</v>
      </c>
      <c r="H228" s="574" t="s">
        <v>2225</v>
      </c>
      <c r="I228" s="574" t="s">
        <v>2226</v>
      </c>
      <c r="J228" s="574" t="s">
        <v>2227</v>
      </c>
      <c r="K228" s="574" t="s">
        <v>2228</v>
      </c>
      <c r="L228" s="574" t="s">
        <v>2229</v>
      </c>
      <c r="M228" s="574" t="s">
        <v>2230</v>
      </c>
      <c r="N228" s="574" t="s">
        <v>2231</v>
      </c>
      <c r="O228" s="574" t="s">
        <v>2232</v>
      </c>
      <c r="P228" s="574" t="s">
        <v>2233</v>
      </c>
      <c r="Q228" s="574" t="s">
        <v>2234</v>
      </c>
      <c r="R228" s="574" t="s">
        <v>2225</v>
      </c>
      <c r="S228" s="574" t="s">
        <v>2235</v>
      </c>
      <c r="T228" s="574" t="s">
        <v>2236</v>
      </c>
      <c r="U228" s="574" t="s">
        <v>2635</v>
      </c>
      <c r="V228" s="574" t="s">
        <v>2238</v>
      </c>
      <c r="W228" s="574" t="s">
        <v>2239</v>
      </c>
      <c r="X228" s="574" t="s">
        <v>2636</v>
      </c>
      <c r="Y228" s="575" t="s">
        <v>2634</v>
      </c>
      <c r="Z228" s="575" t="s">
        <v>2634</v>
      </c>
      <c r="AA228" s="574" t="s">
        <v>1692</v>
      </c>
      <c r="AB228" s="574" t="s">
        <v>2307</v>
      </c>
      <c r="AC228" s="574" t="s">
        <v>2308</v>
      </c>
      <c r="AD228" s="574" t="s">
        <v>2309</v>
      </c>
      <c r="AE228" s="574" t="s">
        <v>1490</v>
      </c>
      <c r="AF228" s="574" t="s">
        <v>176</v>
      </c>
      <c r="AG228" s="576">
        <v>40400</v>
      </c>
    </row>
    <row r="229" spans="1:33" hidden="1" x14ac:dyDescent="0.25">
      <c r="A229" s="574" t="s">
        <v>2219</v>
      </c>
      <c r="B229" s="574" t="s">
        <v>2220</v>
      </c>
      <c r="C229" s="574" t="s">
        <v>2221</v>
      </c>
      <c r="D229" s="574" t="s">
        <v>2220</v>
      </c>
      <c r="E229" s="574" t="s">
        <v>2222</v>
      </c>
      <c r="F229" s="574" t="s">
        <v>2223</v>
      </c>
      <c r="G229" s="574" t="s">
        <v>2224</v>
      </c>
      <c r="H229" s="574" t="s">
        <v>2225</v>
      </c>
      <c r="I229" s="574" t="s">
        <v>2226</v>
      </c>
      <c r="J229" s="574" t="s">
        <v>2227</v>
      </c>
      <c r="K229" s="574" t="s">
        <v>2228</v>
      </c>
      <c r="L229" s="574" t="s">
        <v>2229</v>
      </c>
      <c r="M229" s="574" t="s">
        <v>2230</v>
      </c>
      <c r="N229" s="574" t="s">
        <v>2231</v>
      </c>
      <c r="O229" s="574" t="s">
        <v>2759</v>
      </c>
      <c r="P229" s="574" t="s">
        <v>2932</v>
      </c>
      <c r="Q229" s="574" t="s">
        <v>2234</v>
      </c>
      <c r="R229" s="574" t="s">
        <v>2225</v>
      </c>
      <c r="S229" s="574" t="s">
        <v>2235</v>
      </c>
      <c r="T229" s="574" t="s">
        <v>2236</v>
      </c>
      <c r="U229" s="574" t="s">
        <v>3063</v>
      </c>
      <c r="V229" s="574" t="s">
        <v>2238</v>
      </c>
      <c r="W229" s="574" t="s">
        <v>2239</v>
      </c>
      <c r="X229" s="574" t="s">
        <v>2723</v>
      </c>
      <c r="Y229" s="575" t="s">
        <v>2484</v>
      </c>
      <c r="Z229" s="575" t="s">
        <v>2484</v>
      </c>
      <c r="AA229" s="574" t="s">
        <v>1692</v>
      </c>
      <c r="AB229" s="574" t="s">
        <v>2307</v>
      </c>
      <c r="AC229" s="574" t="s">
        <v>2308</v>
      </c>
      <c r="AD229" s="574" t="s">
        <v>2309</v>
      </c>
      <c r="AE229" s="574" t="s">
        <v>1490</v>
      </c>
      <c r="AF229" s="574" t="s">
        <v>176</v>
      </c>
      <c r="AG229" s="576">
        <v>60232</v>
      </c>
    </row>
    <row r="230" spans="1:33" hidden="1" x14ac:dyDescent="0.25">
      <c r="A230" s="574" t="s">
        <v>2219</v>
      </c>
      <c r="B230" s="574" t="s">
        <v>2220</v>
      </c>
      <c r="C230" s="574" t="s">
        <v>2221</v>
      </c>
      <c r="D230" s="574" t="s">
        <v>2220</v>
      </c>
      <c r="E230" s="574" t="s">
        <v>2222</v>
      </c>
      <c r="F230" s="574" t="s">
        <v>2223</v>
      </c>
      <c r="G230" s="574" t="s">
        <v>2224</v>
      </c>
      <c r="H230" s="574" t="s">
        <v>2225</v>
      </c>
      <c r="I230" s="574" t="s">
        <v>2226</v>
      </c>
      <c r="J230" s="574" t="s">
        <v>2227</v>
      </c>
      <c r="K230" s="574" t="s">
        <v>2228</v>
      </c>
      <c r="L230" s="574" t="s">
        <v>2229</v>
      </c>
      <c r="M230" s="574" t="s">
        <v>2230</v>
      </c>
      <c r="N230" s="574" t="s">
        <v>2231</v>
      </c>
      <c r="O230" s="574" t="s">
        <v>2232</v>
      </c>
      <c r="P230" s="574" t="s">
        <v>2233</v>
      </c>
      <c r="Q230" s="574" t="s">
        <v>2234</v>
      </c>
      <c r="R230" s="574" t="s">
        <v>2225</v>
      </c>
      <c r="S230" s="574" t="s">
        <v>2235</v>
      </c>
      <c r="T230" s="574" t="s">
        <v>2236</v>
      </c>
      <c r="U230" s="574" t="s">
        <v>2604</v>
      </c>
      <c r="V230" s="574" t="s">
        <v>2238</v>
      </c>
      <c r="W230" s="574" t="s">
        <v>2239</v>
      </c>
      <c r="X230" s="574" t="s">
        <v>2605</v>
      </c>
      <c r="Y230" s="575" t="s">
        <v>2599</v>
      </c>
      <c r="Z230" s="575" t="s">
        <v>2599</v>
      </c>
      <c r="AA230" s="574" t="s">
        <v>1692</v>
      </c>
      <c r="AB230" s="574" t="s">
        <v>2307</v>
      </c>
      <c r="AC230" s="574" t="s">
        <v>2308</v>
      </c>
      <c r="AD230" s="574" t="s">
        <v>2309</v>
      </c>
      <c r="AE230" s="574" t="s">
        <v>1490</v>
      </c>
      <c r="AF230" s="574" t="s">
        <v>176</v>
      </c>
      <c r="AG230" s="576">
        <v>66805</v>
      </c>
    </row>
    <row r="231" spans="1:33" hidden="1" x14ac:dyDescent="0.25">
      <c r="A231" s="574" t="s">
        <v>2219</v>
      </c>
      <c r="B231" s="574" t="s">
        <v>2220</v>
      </c>
      <c r="C231" s="574" t="s">
        <v>2221</v>
      </c>
      <c r="D231" s="574" t="s">
        <v>2220</v>
      </c>
      <c r="E231" s="574" t="s">
        <v>2222</v>
      </c>
      <c r="F231" s="574" t="s">
        <v>2223</v>
      </c>
      <c r="G231" s="574" t="s">
        <v>2224</v>
      </c>
      <c r="H231" s="574" t="s">
        <v>2225</v>
      </c>
      <c r="I231" s="574" t="s">
        <v>2226</v>
      </c>
      <c r="J231" s="574" t="s">
        <v>2227</v>
      </c>
      <c r="K231" s="574" t="s">
        <v>2228</v>
      </c>
      <c r="L231" s="574" t="s">
        <v>2229</v>
      </c>
      <c r="M231" s="574" t="s">
        <v>2230</v>
      </c>
      <c r="N231" s="574" t="s">
        <v>2231</v>
      </c>
      <c r="O231" s="574" t="s">
        <v>2232</v>
      </c>
      <c r="P231" s="574" t="s">
        <v>2233</v>
      </c>
      <c r="Q231" s="574" t="s">
        <v>2234</v>
      </c>
      <c r="R231" s="574" t="s">
        <v>2225</v>
      </c>
      <c r="S231" s="574" t="s">
        <v>2235</v>
      </c>
      <c r="T231" s="574" t="s">
        <v>2236</v>
      </c>
      <c r="U231" s="574" t="s">
        <v>2614</v>
      </c>
      <c r="V231" s="574" t="s">
        <v>2238</v>
      </c>
      <c r="W231" s="574" t="s">
        <v>2239</v>
      </c>
      <c r="X231" s="574" t="s">
        <v>2615</v>
      </c>
      <c r="Y231" s="575" t="s">
        <v>2599</v>
      </c>
      <c r="Z231" s="575" t="s">
        <v>2599</v>
      </c>
      <c r="AA231" s="574" t="s">
        <v>1692</v>
      </c>
      <c r="AB231" s="574" t="s">
        <v>2307</v>
      </c>
      <c r="AC231" s="574" t="s">
        <v>2308</v>
      </c>
      <c r="AD231" s="574" t="s">
        <v>2309</v>
      </c>
      <c r="AE231" s="574" t="s">
        <v>1490</v>
      </c>
      <c r="AF231" s="574" t="s">
        <v>176</v>
      </c>
      <c r="AG231" s="576">
        <v>72000</v>
      </c>
    </row>
    <row r="232" spans="1:33" hidden="1" x14ac:dyDescent="0.25">
      <c r="A232" s="574" t="s">
        <v>2219</v>
      </c>
      <c r="B232" s="574" t="s">
        <v>2220</v>
      </c>
      <c r="C232" s="574" t="s">
        <v>2221</v>
      </c>
      <c r="D232" s="574" t="s">
        <v>2220</v>
      </c>
      <c r="E232" s="574" t="s">
        <v>2222</v>
      </c>
      <c r="F232" s="574" t="s">
        <v>2223</v>
      </c>
      <c r="G232" s="574" t="s">
        <v>2224</v>
      </c>
      <c r="H232" s="574" t="s">
        <v>2225</v>
      </c>
      <c r="I232" s="574" t="s">
        <v>2226</v>
      </c>
      <c r="J232" s="574" t="s">
        <v>2227</v>
      </c>
      <c r="K232" s="574" t="s">
        <v>2228</v>
      </c>
      <c r="L232" s="574" t="s">
        <v>2229</v>
      </c>
      <c r="M232" s="574" t="s">
        <v>2230</v>
      </c>
      <c r="N232" s="574" t="s">
        <v>2231</v>
      </c>
      <c r="O232" s="574" t="s">
        <v>2759</v>
      </c>
      <c r="P232" s="574" t="s">
        <v>2932</v>
      </c>
      <c r="Q232" s="574" t="s">
        <v>2234</v>
      </c>
      <c r="R232" s="574" t="s">
        <v>2225</v>
      </c>
      <c r="S232" s="574" t="s">
        <v>2235</v>
      </c>
      <c r="T232" s="574" t="s">
        <v>2236</v>
      </c>
      <c r="U232" s="574" t="s">
        <v>2947</v>
      </c>
      <c r="V232" s="574" t="s">
        <v>2238</v>
      </c>
      <c r="W232" s="574" t="s">
        <v>2239</v>
      </c>
      <c r="X232" s="574" t="s">
        <v>2948</v>
      </c>
      <c r="Y232" s="575" t="s">
        <v>2424</v>
      </c>
      <c r="Z232" s="575" t="s">
        <v>2424</v>
      </c>
      <c r="AA232" s="574" t="s">
        <v>1692</v>
      </c>
      <c r="AB232" s="574" t="s">
        <v>2307</v>
      </c>
      <c r="AC232" s="574" t="s">
        <v>2308</v>
      </c>
      <c r="AD232" s="574" t="s">
        <v>2309</v>
      </c>
      <c r="AE232" s="574" t="s">
        <v>1482</v>
      </c>
      <c r="AF232" s="574" t="s">
        <v>2961</v>
      </c>
      <c r="AG232" s="576">
        <v>85951.2</v>
      </c>
    </row>
    <row r="233" spans="1:33" hidden="1" x14ac:dyDescent="0.25">
      <c r="A233" s="574" t="s">
        <v>2219</v>
      </c>
      <c r="B233" s="574" t="s">
        <v>2220</v>
      </c>
      <c r="C233" s="574" t="s">
        <v>2221</v>
      </c>
      <c r="D233" s="574" t="s">
        <v>2220</v>
      </c>
      <c r="E233" s="574" t="s">
        <v>2222</v>
      </c>
      <c r="F233" s="574" t="s">
        <v>2223</v>
      </c>
      <c r="G233" s="574" t="s">
        <v>2224</v>
      </c>
      <c r="H233" s="574" t="s">
        <v>2225</v>
      </c>
      <c r="I233" s="574" t="s">
        <v>2226</v>
      </c>
      <c r="J233" s="574" t="s">
        <v>2227</v>
      </c>
      <c r="K233" s="574" t="s">
        <v>2228</v>
      </c>
      <c r="L233" s="574" t="s">
        <v>2229</v>
      </c>
      <c r="M233" s="574" t="s">
        <v>2230</v>
      </c>
      <c r="N233" s="574" t="s">
        <v>2231</v>
      </c>
      <c r="O233" s="574" t="s">
        <v>2759</v>
      </c>
      <c r="P233" s="574" t="s">
        <v>2932</v>
      </c>
      <c r="Q233" s="574" t="s">
        <v>2234</v>
      </c>
      <c r="R233" s="574" t="s">
        <v>2225</v>
      </c>
      <c r="S233" s="574" t="s">
        <v>2235</v>
      </c>
      <c r="T233" s="574" t="s">
        <v>2236</v>
      </c>
      <c r="U233" s="574" t="s">
        <v>3203</v>
      </c>
      <c r="V233" s="574" t="s">
        <v>2238</v>
      </c>
      <c r="W233" s="574" t="s">
        <v>2239</v>
      </c>
      <c r="X233" s="574" t="s">
        <v>3204</v>
      </c>
      <c r="Y233" s="575" t="s">
        <v>2562</v>
      </c>
      <c r="Z233" s="575" t="s">
        <v>2562</v>
      </c>
      <c r="AA233" s="574" t="s">
        <v>1692</v>
      </c>
      <c r="AB233" s="574" t="s">
        <v>2307</v>
      </c>
      <c r="AC233" s="574" t="s">
        <v>2308</v>
      </c>
      <c r="AD233" s="574" t="s">
        <v>2309</v>
      </c>
      <c r="AE233" s="574" t="s">
        <v>1490</v>
      </c>
      <c r="AF233" s="574" t="s">
        <v>176</v>
      </c>
      <c r="AG233" s="576">
        <v>90392.72</v>
      </c>
    </row>
    <row r="234" spans="1:33" hidden="1" x14ac:dyDescent="0.25">
      <c r="A234" s="574" t="s">
        <v>2219</v>
      </c>
      <c r="B234" s="574" t="s">
        <v>2220</v>
      </c>
      <c r="C234" s="574" t="s">
        <v>2221</v>
      </c>
      <c r="D234" s="574" t="s">
        <v>2220</v>
      </c>
      <c r="E234" s="574" t="s">
        <v>2222</v>
      </c>
      <c r="F234" s="574" t="s">
        <v>2223</v>
      </c>
      <c r="G234" s="574" t="s">
        <v>2224</v>
      </c>
      <c r="H234" s="574" t="s">
        <v>2225</v>
      </c>
      <c r="I234" s="574" t="s">
        <v>2226</v>
      </c>
      <c r="J234" s="574" t="s">
        <v>2227</v>
      </c>
      <c r="K234" s="574" t="s">
        <v>2228</v>
      </c>
      <c r="L234" s="574" t="s">
        <v>2229</v>
      </c>
      <c r="M234" s="574" t="s">
        <v>2230</v>
      </c>
      <c r="N234" s="574" t="s">
        <v>2231</v>
      </c>
      <c r="O234" s="574" t="s">
        <v>2232</v>
      </c>
      <c r="P234" s="574" t="s">
        <v>2233</v>
      </c>
      <c r="Q234" s="574" t="s">
        <v>2234</v>
      </c>
      <c r="R234" s="574" t="s">
        <v>2225</v>
      </c>
      <c r="S234" s="574" t="s">
        <v>2235</v>
      </c>
      <c r="T234" s="574" t="s">
        <v>2236</v>
      </c>
      <c r="U234" s="574" t="s">
        <v>2602</v>
      </c>
      <c r="V234" s="574" t="s">
        <v>2238</v>
      </c>
      <c r="W234" s="574" t="s">
        <v>2239</v>
      </c>
      <c r="X234" s="574" t="s">
        <v>2603</v>
      </c>
      <c r="Y234" s="575" t="s">
        <v>2599</v>
      </c>
      <c r="Z234" s="575" t="s">
        <v>2599</v>
      </c>
      <c r="AA234" s="574" t="s">
        <v>1692</v>
      </c>
      <c r="AB234" s="574" t="s">
        <v>2307</v>
      </c>
      <c r="AC234" s="574" t="s">
        <v>2308</v>
      </c>
      <c r="AD234" s="574" t="s">
        <v>2309</v>
      </c>
      <c r="AE234" s="574" t="s">
        <v>1490</v>
      </c>
      <c r="AF234" s="574" t="s">
        <v>176</v>
      </c>
      <c r="AG234" s="576">
        <v>95995</v>
      </c>
    </row>
    <row r="235" spans="1:33" hidden="1" x14ac:dyDescent="0.25">
      <c r="A235" s="574" t="s">
        <v>2219</v>
      </c>
      <c r="B235" s="574" t="s">
        <v>2220</v>
      </c>
      <c r="C235" s="574" t="s">
        <v>2221</v>
      </c>
      <c r="D235" s="574" t="s">
        <v>2220</v>
      </c>
      <c r="E235" s="574" t="s">
        <v>2222</v>
      </c>
      <c r="F235" s="574" t="s">
        <v>2223</v>
      </c>
      <c r="G235" s="574" t="s">
        <v>2224</v>
      </c>
      <c r="H235" s="574" t="s">
        <v>2225</v>
      </c>
      <c r="I235" s="574" t="s">
        <v>2226</v>
      </c>
      <c r="J235" s="574" t="s">
        <v>2227</v>
      </c>
      <c r="K235" s="574" t="s">
        <v>2228</v>
      </c>
      <c r="L235" s="574" t="s">
        <v>2229</v>
      </c>
      <c r="M235" s="574" t="s">
        <v>2230</v>
      </c>
      <c r="N235" s="574" t="s">
        <v>2231</v>
      </c>
      <c r="O235" s="574" t="s">
        <v>2759</v>
      </c>
      <c r="P235" s="574" t="s">
        <v>2932</v>
      </c>
      <c r="Q235" s="574" t="s">
        <v>2234</v>
      </c>
      <c r="R235" s="574" t="s">
        <v>2225</v>
      </c>
      <c r="S235" s="574" t="s">
        <v>2235</v>
      </c>
      <c r="T235" s="574" t="s">
        <v>2236</v>
      </c>
      <c r="U235" s="574" t="s">
        <v>3095</v>
      </c>
      <c r="V235" s="574" t="s">
        <v>2238</v>
      </c>
      <c r="W235" s="574" t="s">
        <v>2239</v>
      </c>
      <c r="X235" s="574" t="s">
        <v>3096</v>
      </c>
      <c r="Y235" s="575" t="s">
        <v>2671</v>
      </c>
      <c r="Z235" s="575" t="s">
        <v>2671</v>
      </c>
      <c r="AA235" s="574" t="s">
        <v>1692</v>
      </c>
      <c r="AB235" s="574" t="s">
        <v>2307</v>
      </c>
      <c r="AC235" s="574" t="s">
        <v>2308</v>
      </c>
      <c r="AD235" s="574" t="s">
        <v>2309</v>
      </c>
      <c r="AE235" s="574" t="s">
        <v>1490</v>
      </c>
      <c r="AF235" s="574" t="s">
        <v>176</v>
      </c>
      <c r="AG235" s="576">
        <v>98000</v>
      </c>
    </row>
    <row r="236" spans="1:33" hidden="1" x14ac:dyDescent="0.25">
      <c r="A236" s="574" t="s">
        <v>2219</v>
      </c>
      <c r="B236" s="574" t="s">
        <v>2220</v>
      </c>
      <c r="C236" s="574" t="s">
        <v>2221</v>
      </c>
      <c r="D236" s="574" t="s">
        <v>2220</v>
      </c>
      <c r="E236" s="574" t="s">
        <v>2222</v>
      </c>
      <c r="F236" s="574" t="s">
        <v>2223</v>
      </c>
      <c r="G236" s="574" t="s">
        <v>2224</v>
      </c>
      <c r="H236" s="574" t="s">
        <v>2225</v>
      </c>
      <c r="I236" s="574" t="s">
        <v>2226</v>
      </c>
      <c r="J236" s="574" t="s">
        <v>2227</v>
      </c>
      <c r="K236" s="574" t="s">
        <v>2228</v>
      </c>
      <c r="L236" s="574" t="s">
        <v>2229</v>
      </c>
      <c r="M236" s="574" t="s">
        <v>2230</v>
      </c>
      <c r="N236" s="574" t="s">
        <v>2231</v>
      </c>
      <c r="O236" s="574" t="s">
        <v>2759</v>
      </c>
      <c r="P236" s="574" t="s">
        <v>2932</v>
      </c>
      <c r="Q236" s="574" t="s">
        <v>2234</v>
      </c>
      <c r="R236" s="574" t="s">
        <v>2225</v>
      </c>
      <c r="S236" s="574" t="s">
        <v>2235</v>
      </c>
      <c r="T236" s="574" t="s">
        <v>2236</v>
      </c>
      <c r="U236" s="574" t="s">
        <v>3201</v>
      </c>
      <c r="V236" s="574" t="s">
        <v>2238</v>
      </c>
      <c r="W236" s="574" t="s">
        <v>2239</v>
      </c>
      <c r="X236" s="574" t="s">
        <v>3202</v>
      </c>
      <c r="Y236" s="575" t="s">
        <v>2562</v>
      </c>
      <c r="Z236" s="575" t="s">
        <v>2562</v>
      </c>
      <c r="AA236" s="574" t="s">
        <v>1692</v>
      </c>
      <c r="AB236" s="574" t="s">
        <v>2307</v>
      </c>
      <c r="AC236" s="574" t="s">
        <v>2308</v>
      </c>
      <c r="AD236" s="574" t="s">
        <v>2309</v>
      </c>
      <c r="AE236" s="574" t="s">
        <v>1482</v>
      </c>
      <c r="AF236" s="574" t="s">
        <v>2961</v>
      </c>
      <c r="AG236" s="576">
        <v>110250</v>
      </c>
    </row>
    <row r="237" spans="1:33" hidden="1" x14ac:dyDescent="0.25">
      <c r="A237" s="574" t="s">
        <v>2219</v>
      </c>
      <c r="B237" s="574" t="s">
        <v>2220</v>
      </c>
      <c r="C237" s="574" t="s">
        <v>2221</v>
      </c>
      <c r="D237" s="574" t="s">
        <v>2220</v>
      </c>
      <c r="E237" s="574" t="s">
        <v>2222</v>
      </c>
      <c r="F237" s="574" t="s">
        <v>2223</v>
      </c>
      <c r="G237" s="574" t="s">
        <v>2224</v>
      </c>
      <c r="H237" s="574" t="s">
        <v>2225</v>
      </c>
      <c r="I237" s="574" t="s">
        <v>2226</v>
      </c>
      <c r="J237" s="574" t="s">
        <v>2227</v>
      </c>
      <c r="K237" s="574" t="s">
        <v>2228</v>
      </c>
      <c r="L237" s="574" t="s">
        <v>2229</v>
      </c>
      <c r="M237" s="574" t="s">
        <v>2230</v>
      </c>
      <c r="N237" s="574" t="s">
        <v>2231</v>
      </c>
      <c r="O237" s="574" t="s">
        <v>2232</v>
      </c>
      <c r="P237" s="574" t="s">
        <v>2233</v>
      </c>
      <c r="Q237" s="574" t="s">
        <v>2234</v>
      </c>
      <c r="R237" s="574" t="s">
        <v>2225</v>
      </c>
      <c r="S237" s="574" t="s">
        <v>2235</v>
      </c>
      <c r="T237" s="574" t="s">
        <v>2236</v>
      </c>
      <c r="U237" s="574" t="s">
        <v>2467</v>
      </c>
      <c r="V237" s="574" t="s">
        <v>2238</v>
      </c>
      <c r="W237" s="574" t="s">
        <v>2239</v>
      </c>
      <c r="X237" s="574" t="s">
        <v>2468</v>
      </c>
      <c r="Y237" s="575" t="s">
        <v>2464</v>
      </c>
      <c r="Z237" s="575" t="s">
        <v>2464</v>
      </c>
      <c r="AA237" s="574" t="s">
        <v>1692</v>
      </c>
      <c r="AB237" s="574" t="s">
        <v>2307</v>
      </c>
      <c r="AC237" s="574" t="s">
        <v>2308</v>
      </c>
      <c r="AD237" s="574" t="s">
        <v>2309</v>
      </c>
      <c r="AE237" s="574" t="s">
        <v>1490</v>
      </c>
      <c r="AF237" s="574" t="s">
        <v>176</v>
      </c>
      <c r="AG237" s="576">
        <v>114170</v>
      </c>
    </row>
    <row r="238" spans="1:33" hidden="1" x14ac:dyDescent="0.25">
      <c r="A238" s="574" t="s">
        <v>2219</v>
      </c>
      <c r="B238" s="574" t="s">
        <v>2220</v>
      </c>
      <c r="C238" s="574" t="s">
        <v>2221</v>
      </c>
      <c r="D238" s="574" t="s">
        <v>2220</v>
      </c>
      <c r="E238" s="574" t="s">
        <v>2222</v>
      </c>
      <c r="F238" s="574" t="s">
        <v>2223</v>
      </c>
      <c r="G238" s="574" t="s">
        <v>2224</v>
      </c>
      <c r="H238" s="574" t="s">
        <v>2225</v>
      </c>
      <c r="I238" s="574" t="s">
        <v>2226</v>
      </c>
      <c r="J238" s="574" t="s">
        <v>2227</v>
      </c>
      <c r="K238" s="574" t="s">
        <v>2228</v>
      </c>
      <c r="L238" s="574" t="s">
        <v>2229</v>
      </c>
      <c r="M238" s="574" t="s">
        <v>2230</v>
      </c>
      <c r="N238" s="574" t="s">
        <v>2231</v>
      </c>
      <c r="O238" s="574" t="s">
        <v>2759</v>
      </c>
      <c r="P238" s="574" t="s">
        <v>2932</v>
      </c>
      <c r="Q238" s="574" t="s">
        <v>2234</v>
      </c>
      <c r="R238" s="574" t="s">
        <v>2225</v>
      </c>
      <c r="S238" s="574" t="s">
        <v>2235</v>
      </c>
      <c r="T238" s="574" t="s">
        <v>2236</v>
      </c>
      <c r="U238" s="574" t="s">
        <v>3221</v>
      </c>
      <c r="V238" s="574" t="s">
        <v>2238</v>
      </c>
      <c r="W238" s="574" t="s">
        <v>2239</v>
      </c>
      <c r="X238" s="574" t="s">
        <v>3222</v>
      </c>
      <c r="Y238" s="575" t="s">
        <v>2568</v>
      </c>
      <c r="Z238" s="575" t="s">
        <v>2568</v>
      </c>
      <c r="AA238" s="574" t="s">
        <v>1692</v>
      </c>
      <c r="AB238" s="574" t="s">
        <v>2307</v>
      </c>
      <c r="AC238" s="574" t="s">
        <v>2308</v>
      </c>
      <c r="AD238" s="574" t="s">
        <v>2309</v>
      </c>
      <c r="AE238" s="574" t="s">
        <v>1482</v>
      </c>
      <c r="AF238" s="574" t="s">
        <v>2961</v>
      </c>
      <c r="AG238" s="576">
        <v>125000</v>
      </c>
    </row>
    <row r="239" spans="1:33" hidden="1" x14ac:dyDescent="0.25">
      <c r="A239" s="574" t="s">
        <v>2219</v>
      </c>
      <c r="B239" s="574" t="s">
        <v>2220</v>
      </c>
      <c r="C239" s="574" t="s">
        <v>2221</v>
      </c>
      <c r="D239" s="574" t="s">
        <v>2220</v>
      </c>
      <c r="E239" s="574" t="s">
        <v>2222</v>
      </c>
      <c r="F239" s="574" t="s">
        <v>2223</v>
      </c>
      <c r="G239" s="574" t="s">
        <v>2224</v>
      </c>
      <c r="H239" s="574" t="s">
        <v>2225</v>
      </c>
      <c r="I239" s="574" t="s">
        <v>2226</v>
      </c>
      <c r="J239" s="574" t="s">
        <v>2227</v>
      </c>
      <c r="K239" s="574" t="s">
        <v>2228</v>
      </c>
      <c r="L239" s="574" t="s">
        <v>2229</v>
      </c>
      <c r="M239" s="574" t="s">
        <v>2230</v>
      </c>
      <c r="N239" s="574" t="s">
        <v>2231</v>
      </c>
      <c r="O239" s="574" t="s">
        <v>2759</v>
      </c>
      <c r="P239" s="574" t="s">
        <v>2932</v>
      </c>
      <c r="Q239" s="574" t="s">
        <v>2234</v>
      </c>
      <c r="R239" s="574" t="s">
        <v>2225</v>
      </c>
      <c r="S239" s="574" t="s">
        <v>2235</v>
      </c>
      <c r="T239" s="574" t="s">
        <v>2236</v>
      </c>
      <c r="U239" s="574" t="s">
        <v>3105</v>
      </c>
      <c r="V239" s="574" t="s">
        <v>2238</v>
      </c>
      <c r="W239" s="574" t="s">
        <v>2239</v>
      </c>
      <c r="X239" s="574" t="s">
        <v>3106</v>
      </c>
      <c r="Y239" s="575" t="s">
        <v>2726</v>
      </c>
      <c r="Z239" s="575" t="s">
        <v>2726</v>
      </c>
      <c r="AA239" s="574" t="s">
        <v>1692</v>
      </c>
      <c r="AB239" s="574" t="s">
        <v>2307</v>
      </c>
      <c r="AC239" s="574" t="s">
        <v>2308</v>
      </c>
      <c r="AD239" s="574" t="s">
        <v>2309</v>
      </c>
      <c r="AE239" s="574" t="s">
        <v>1490</v>
      </c>
      <c r="AF239" s="574" t="s">
        <v>176</v>
      </c>
      <c r="AG239" s="576">
        <v>140800</v>
      </c>
    </row>
    <row r="240" spans="1:33" hidden="1" x14ac:dyDescent="0.25">
      <c r="A240" s="574" t="s">
        <v>2219</v>
      </c>
      <c r="B240" s="574" t="s">
        <v>2220</v>
      </c>
      <c r="C240" s="574" t="s">
        <v>2221</v>
      </c>
      <c r="D240" s="574" t="s">
        <v>2220</v>
      </c>
      <c r="E240" s="574" t="s">
        <v>2222</v>
      </c>
      <c r="F240" s="574" t="s">
        <v>2223</v>
      </c>
      <c r="G240" s="574" t="s">
        <v>2224</v>
      </c>
      <c r="H240" s="574" t="s">
        <v>2225</v>
      </c>
      <c r="I240" s="574" t="s">
        <v>2226</v>
      </c>
      <c r="J240" s="574" t="s">
        <v>2227</v>
      </c>
      <c r="K240" s="574" t="s">
        <v>2228</v>
      </c>
      <c r="L240" s="574" t="s">
        <v>2229</v>
      </c>
      <c r="M240" s="574" t="s">
        <v>2230</v>
      </c>
      <c r="N240" s="574" t="s">
        <v>2231</v>
      </c>
      <c r="O240" s="574" t="s">
        <v>2232</v>
      </c>
      <c r="P240" s="574" t="s">
        <v>2233</v>
      </c>
      <c r="Q240" s="574" t="s">
        <v>2234</v>
      </c>
      <c r="R240" s="574" t="s">
        <v>2225</v>
      </c>
      <c r="S240" s="574" t="s">
        <v>2235</v>
      </c>
      <c r="T240" s="574" t="s">
        <v>2236</v>
      </c>
      <c r="U240" s="574" t="s">
        <v>2560</v>
      </c>
      <c r="V240" s="574" t="s">
        <v>2238</v>
      </c>
      <c r="W240" s="574" t="s">
        <v>2239</v>
      </c>
      <c r="X240" s="574" t="s">
        <v>2561</v>
      </c>
      <c r="Y240" s="575" t="s">
        <v>2562</v>
      </c>
      <c r="Z240" s="575" t="s">
        <v>2562</v>
      </c>
      <c r="AA240" s="574" t="s">
        <v>1692</v>
      </c>
      <c r="AB240" s="574" t="s">
        <v>2307</v>
      </c>
      <c r="AC240" s="574" t="s">
        <v>2308</v>
      </c>
      <c r="AD240" s="574" t="s">
        <v>2309</v>
      </c>
      <c r="AE240" s="574" t="s">
        <v>1490</v>
      </c>
      <c r="AF240" s="574" t="s">
        <v>176</v>
      </c>
      <c r="AG240" s="576">
        <v>147000</v>
      </c>
    </row>
    <row r="241" spans="1:33" hidden="1" x14ac:dyDescent="0.25">
      <c r="A241" s="574" t="s">
        <v>2219</v>
      </c>
      <c r="B241" s="574" t="s">
        <v>2220</v>
      </c>
      <c r="C241" s="574" t="s">
        <v>2221</v>
      </c>
      <c r="D241" s="574" t="s">
        <v>2220</v>
      </c>
      <c r="E241" s="574" t="s">
        <v>2222</v>
      </c>
      <c r="F241" s="574" t="s">
        <v>2223</v>
      </c>
      <c r="G241" s="574" t="s">
        <v>2224</v>
      </c>
      <c r="H241" s="574" t="s">
        <v>2225</v>
      </c>
      <c r="I241" s="574" t="s">
        <v>2226</v>
      </c>
      <c r="J241" s="574" t="s">
        <v>2227</v>
      </c>
      <c r="K241" s="574" t="s">
        <v>2228</v>
      </c>
      <c r="L241" s="574" t="s">
        <v>2229</v>
      </c>
      <c r="M241" s="574" t="s">
        <v>2230</v>
      </c>
      <c r="N241" s="574" t="s">
        <v>2231</v>
      </c>
      <c r="O241" s="574" t="s">
        <v>2232</v>
      </c>
      <c r="P241" s="574" t="s">
        <v>2233</v>
      </c>
      <c r="Q241" s="574" t="s">
        <v>2234</v>
      </c>
      <c r="R241" s="574" t="s">
        <v>2225</v>
      </c>
      <c r="S241" s="574" t="s">
        <v>2235</v>
      </c>
      <c r="T241" s="574" t="s">
        <v>2236</v>
      </c>
      <c r="U241" s="574" t="s">
        <v>2612</v>
      </c>
      <c r="V241" s="574" t="s">
        <v>2238</v>
      </c>
      <c r="W241" s="574" t="s">
        <v>2239</v>
      </c>
      <c r="X241" s="574" t="s">
        <v>2613</v>
      </c>
      <c r="Y241" s="575" t="s">
        <v>2599</v>
      </c>
      <c r="Z241" s="575" t="s">
        <v>2599</v>
      </c>
      <c r="AA241" s="574" t="s">
        <v>1692</v>
      </c>
      <c r="AB241" s="574" t="s">
        <v>2307</v>
      </c>
      <c r="AC241" s="574" t="s">
        <v>2308</v>
      </c>
      <c r="AD241" s="574" t="s">
        <v>2309</v>
      </c>
      <c r="AE241" s="574" t="s">
        <v>1490</v>
      </c>
      <c r="AF241" s="574" t="s">
        <v>176</v>
      </c>
      <c r="AG241" s="576">
        <v>167501</v>
      </c>
    </row>
    <row r="242" spans="1:33" hidden="1" x14ac:dyDescent="0.25">
      <c r="A242" s="574" t="s">
        <v>2219</v>
      </c>
      <c r="B242" s="574" t="s">
        <v>2220</v>
      </c>
      <c r="C242" s="574" t="s">
        <v>2221</v>
      </c>
      <c r="D242" s="574" t="s">
        <v>2220</v>
      </c>
      <c r="E242" s="574" t="s">
        <v>2222</v>
      </c>
      <c r="F242" s="574" t="s">
        <v>2223</v>
      </c>
      <c r="G242" s="574" t="s">
        <v>2224</v>
      </c>
      <c r="H242" s="574" t="s">
        <v>2225</v>
      </c>
      <c r="I242" s="574" t="s">
        <v>2226</v>
      </c>
      <c r="J242" s="574" t="s">
        <v>2227</v>
      </c>
      <c r="K242" s="574" t="s">
        <v>2228</v>
      </c>
      <c r="L242" s="574" t="s">
        <v>2229</v>
      </c>
      <c r="M242" s="574" t="s">
        <v>2230</v>
      </c>
      <c r="N242" s="574" t="s">
        <v>2231</v>
      </c>
      <c r="O242" s="574" t="s">
        <v>2232</v>
      </c>
      <c r="P242" s="574" t="s">
        <v>2233</v>
      </c>
      <c r="Q242" s="574" t="s">
        <v>2234</v>
      </c>
      <c r="R242" s="574" t="s">
        <v>2225</v>
      </c>
      <c r="S242" s="574" t="s">
        <v>2235</v>
      </c>
      <c r="T242" s="574" t="s">
        <v>2236</v>
      </c>
      <c r="U242" s="574" t="s">
        <v>2472</v>
      </c>
      <c r="V242" s="574" t="s">
        <v>2238</v>
      </c>
      <c r="W242" s="574" t="s">
        <v>2239</v>
      </c>
      <c r="X242" s="574" t="s">
        <v>2473</v>
      </c>
      <c r="Y242" s="575" t="s">
        <v>2474</v>
      </c>
      <c r="Z242" s="575" t="s">
        <v>2474</v>
      </c>
      <c r="AA242" s="574" t="s">
        <v>1692</v>
      </c>
      <c r="AB242" s="574" t="s">
        <v>2307</v>
      </c>
      <c r="AC242" s="574" t="s">
        <v>2308</v>
      </c>
      <c r="AD242" s="574" t="s">
        <v>2309</v>
      </c>
      <c r="AE242" s="574" t="s">
        <v>1490</v>
      </c>
      <c r="AF242" s="574" t="s">
        <v>176</v>
      </c>
      <c r="AG242" s="576">
        <v>183318.36</v>
      </c>
    </row>
    <row r="243" spans="1:33" hidden="1" x14ac:dyDescent="0.25">
      <c r="A243" s="574" t="s">
        <v>2219</v>
      </c>
      <c r="B243" s="574" t="s">
        <v>2220</v>
      </c>
      <c r="C243" s="574" t="s">
        <v>2221</v>
      </c>
      <c r="D243" s="574" t="s">
        <v>2220</v>
      </c>
      <c r="E243" s="574" t="s">
        <v>2222</v>
      </c>
      <c r="F243" s="574" t="s">
        <v>2223</v>
      </c>
      <c r="G243" s="574" t="s">
        <v>2224</v>
      </c>
      <c r="H243" s="574" t="s">
        <v>2225</v>
      </c>
      <c r="I243" s="574" t="s">
        <v>2226</v>
      </c>
      <c r="J243" s="574" t="s">
        <v>2227</v>
      </c>
      <c r="K243" s="574" t="s">
        <v>2228</v>
      </c>
      <c r="L243" s="574" t="s">
        <v>2229</v>
      </c>
      <c r="M243" s="574" t="s">
        <v>2230</v>
      </c>
      <c r="N243" s="574" t="s">
        <v>2231</v>
      </c>
      <c r="O243" s="574" t="s">
        <v>2759</v>
      </c>
      <c r="P243" s="574" t="s">
        <v>2932</v>
      </c>
      <c r="Q243" s="574" t="s">
        <v>2234</v>
      </c>
      <c r="R243" s="574" t="s">
        <v>2225</v>
      </c>
      <c r="S243" s="574" t="s">
        <v>2235</v>
      </c>
      <c r="T243" s="574" t="s">
        <v>2236</v>
      </c>
      <c r="U243" s="574" t="s">
        <v>3184</v>
      </c>
      <c r="V243" s="574" t="s">
        <v>2238</v>
      </c>
      <c r="W243" s="574" t="s">
        <v>2239</v>
      </c>
      <c r="X243" s="574" t="s">
        <v>3185</v>
      </c>
      <c r="Y243" s="575" t="s">
        <v>2543</v>
      </c>
      <c r="Z243" s="575" t="s">
        <v>2543</v>
      </c>
      <c r="AA243" s="574" t="s">
        <v>1692</v>
      </c>
      <c r="AB243" s="574" t="s">
        <v>2307</v>
      </c>
      <c r="AC243" s="574" t="s">
        <v>2308</v>
      </c>
      <c r="AD243" s="574" t="s">
        <v>2309</v>
      </c>
      <c r="AE243" s="574" t="s">
        <v>1482</v>
      </c>
      <c r="AF243" s="574" t="s">
        <v>2961</v>
      </c>
      <c r="AG243" s="576">
        <v>184000</v>
      </c>
    </row>
    <row r="244" spans="1:33" hidden="1" x14ac:dyDescent="0.25">
      <c r="A244" s="574" t="s">
        <v>2219</v>
      </c>
      <c r="B244" s="574" t="s">
        <v>2220</v>
      </c>
      <c r="C244" s="574" t="s">
        <v>2221</v>
      </c>
      <c r="D244" s="574" t="s">
        <v>2220</v>
      </c>
      <c r="E244" s="574" t="s">
        <v>2222</v>
      </c>
      <c r="F244" s="574" t="s">
        <v>2223</v>
      </c>
      <c r="G244" s="574" t="s">
        <v>2224</v>
      </c>
      <c r="H244" s="574" t="s">
        <v>2225</v>
      </c>
      <c r="I244" s="574" t="s">
        <v>2226</v>
      </c>
      <c r="J244" s="574" t="s">
        <v>2227</v>
      </c>
      <c r="K244" s="574" t="s">
        <v>2228</v>
      </c>
      <c r="L244" s="574" t="s">
        <v>2229</v>
      </c>
      <c r="M244" s="574" t="s">
        <v>2230</v>
      </c>
      <c r="N244" s="574" t="s">
        <v>2231</v>
      </c>
      <c r="O244" s="574" t="s">
        <v>2759</v>
      </c>
      <c r="P244" s="574" t="s">
        <v>2932</v>
      </c>
      <c r="Q244" s="574" t="s">
        <v>2234</v>
      </c>
      <c r="R244" s="574" t="s">
        <v>2225</v>
      </c>
      <c r="S244" s="574" t="s">
        <v>2235</v>
      </c>
      <c r="T244" s="574" t="s">
        <v>2236</v>
      </c>
      <c r="U244" s="574" t="s">
        <v>3172</v>
      </c>
      <c r="V244" s="574" t="s">
        <v>2238</v>
      </c>
      <c r="W244" s="574" t="s">
        <v>2239</v>
      </c>
      <c r="X244" s="574" t="s">
        <v>3173</v>
      </c>
      <c r="Y244" s="575" t="s">
        <v>2675</v>
      </c>
      <c r="Z244" s="575" t="s">
        <v>2675</v>
      </c>
      <c r="AA244" s="574" t="s">
        <v>1692</v>
      </c>
      <c r="AB244" s="574" t="s">
        <v>2307</v>
      </c>
      <c r="AC244" s="574" t="s">
        <v>2308</v>
      </c>
      <c r="AD244" s="574" t="s">
        <v>2309</v>
      </c>
      <c r="AE244" s="574" t="s">
        <v>1490</v>
      </c>
      <c r="AF244" s="574" t="s">
        <v>176</v>
      </c>
      <c r="AG244" s="576">
        <v>228000</v>
      </c>
    </row>
    <row r="245" spans="1:33" hidden="1" x14ac:dyDescent="0.25">
      <c r="A245" s="574" t="s">
        <v>2219</v>
      </c>
      <c r="B245" s="574" t="s">
        <v>2220</v>
      </c>
      <c r="C245" s="574" t="s">
        <v>2221</v>
      </c>
      <c r="D245" s="574" t="s">
        <v>2220</v>
      </c>
      <c r="E245" s="574" t="s">
        <v>2222</v>
      </c>
      <c r="F245" s="574" t="s">
        <v>2223</v>
      </c>
      <c r="G245" s="574" t="s">
        <v>2224</v>
      </c>
      <c r="H245" s="574" t="s">
        <v>2225</v>
      </c>
      <c r="I245" s="574" t="s">
        <v>2226</v>
      </c>
      <c r="J245" s="574" t="s">
        <v>2227</v>
      </c>
      <c r="K245" s="574" t="s">
        <v>2228</v>
      </c>
      <c r="L245" s="574" t="s">
        <v>2229</v>
      </c>
      <c r="M245" s="574" t="s">
        <v>2230</v>
      </c>
      <c r="N245" s="574" t="s">
        <v>2231</v>
      </c>
      <c r="O245" s="574" t="s">
        <v>2232</v>
      </c>
      <c r="P245" s="574" t="s">
        <v>2233</v>
      </c>
      <c r="Q245" s="574" t="s">
        <v>2234</v>
      </c>
      <c r="R245" s="574" t="s">
        <v>2225</v>
      </c>
      <c r="S245" s="574" t="s">
        <v>2235</v>
      </c>
      <c r="T245" s="574" t="s">
        <v>2236</v>
      </c>
      <c r="U245" s="574" t="s">
        <v>2630</v>
      </c>
      <c r="V245" s="574" t="s">
        <v>2238</v>
      </c>
      <c r="W245" s="574" t="s">
        <v>2239</v>
      </c>
      <c r="X245" s="574" t="s">
        <v>2631</v>
      </c>
      <c r="Y245" s="575" t="s">
        <v>2599</v>
      </c>
      <c r="Z245" s="575" t="s">
        <v>2599</v>
      </c>
      <c r="AA245" s="574" t="s">
        <v>1692</v>
      </c>
      <c r="AB245" s="574" t="s">
        <v>2307</v>
      </c>
      <c r="AC245" s="574" t="s">
        <v>2308</v>
      </c>
      <c r="AD245" s="574" t="s">
        <v>2309</v>
      </c>
      <c r="AE245" s="574" t="s">
        <v>1490</v>
      </c>
      <c r="AF245" s="574" t="s">
        <v>176</v>
      </c>
      <c r="AG245" s="576">
        <v>249185.88</v>
      </c>
    </row>
    <row r="246" spans="1:33" hidden="1" x14ac:dyDescent="0.25">
      <c r="A246" s="574" t="s">
        <v>2219</v>
      </c>
      <c r="B246" s="574" t="s">
        <v>2220</v>
      </c>
      <c r="C246" s="574" t="s">
        <v>2221</v>
      </c>
      <c r="D246" s="574" t="s">
        <v>2220</v>
      </c>
      <c r="E246" s="574" t="s">
        <v>2222</v>
      </c>
      <c r="F246" s="574" t="s">
        <v>2223</v>
      </c>
      <c r="G246" s="574" t="s">
        <v>2224</v>
      </c>
      <c r="H246" s="574" t="s">
        <v>2225</v>
      </c>
      <c r="I246" s="574" t="s">
        <v>2226</v>
      </c>
      <c r="J246" s="574" t="s">
        <v>2227</v>
      </c>
      <c r="K246" s="574" t="s">
        <v>2228</v>
      </c>
      <c r="L246" s="574" t="s">
        <v>2229</v>
      </c>
      <c r="M246" s="574" t="s">
        <v>2230</v>
      </c>
      <c r="N246" s="574" t="s">
        <v>2231</v>
      </c>
      <c r="O246" s="574" t="s">
        <v>2232</v>
      </c>
      <c r="P246" s="574" t="s">
        <v>2233</v>
      </c>
      <c r="Q246" s="574" t="s">
        <v>2234</v>
      </c>
      <c r="R246" s="574" t="s">
        <v>2225</v>
      </c>
      <c r="S246" s="574" t="s">
        <v>2235</v>
      </c>
      <c r="T246" s="574" t="s">
        <v>2236</v>
      </c>
      <c r="U246" s="574" t="s">
        <v>2632</v>
      </c>
      <c r="V246" s="574" t="s">
        <v>2238</v>
      </c>
      <c r="W246" s="574" t="s">
        <v>2239</v>
      </c>
      <c r="X246" s="574" t="s">
        <v>2633</v>
      </c>
      <c r="Y246" s="575" t="s">
        <v>2634</v>
      </c>
      <c r="Z246" s="575" t="s">
        <v>2634</v>
      </c>
      <c r="AA246" s="574" t="s">
        <v>1692</v>
      </c>
      <c r="AB246" s="574" t="s">
        <v>2307</v>
      </c>
      <c r="AC246" s="574" t="s">
        <v>2308</v>
      </c>
      <c r="AD246" s="574" t="s">
        <v>2309</v>
      </c>
      <c r="AE246" s="574" t="s">
        <v>1490</v>
      </c>
      <c r="AF246" s="574" t="s">
        <v>176</v>
      </c>
      <c r="AG246" s="576">
        <v>304806.3</v>
      </c>
    </row>
    <row r="247" spans="1:33" hidden="1" x14ac:dyDescent="0.25">
      <c r="A247" s="574" t="s">
        <v>2219</v>
      </c>
      <c r="B247" s="574" t="s">
        <v>2220</v>
      </c>
      <c r="C247" s="574" t="s">
        <v>2221</v>
      </c>
      <c r="D247" s="574" t="s">
        <v>2220</v>
      </c>
      <c r="E247" s="574" t="s">
        <v>2222</v>
      </c>
      <c r="F247" s="574" t="s">
        <v>2223</v>
      </c>
      <c r="G247" s="574" t="s">
        <v>2224</v>
      </c>
      <c r="H247" s="574" t="s">
        <v>2225</v>
      </c>
      <c r="I247" s="574" t="s">
        <v>2226</v>
      </c>
      <c r="J247" s="574" t="s">
        <v>2227</v>
      </c>
      <c r="K247" s="574" t="s">
        <v>2228</v>
      </c>
      <c r="L247" s="574" t="s">
        <v>2229</v>
      </c>
      <c r="M247" s="574" t="s">
        <v>2230</v>
      </c>
      <c r="N247" s="574" t="s">
        <v>2231</v>
      </c>
      <c r="O247" s="574" t="s">
        <v>2232</v>
      </c>
      <c r="P247" s="574" t="s">
        <v>2233</v>
      </c>
      <c r="Q247" s="574" t="s">
        <v>2234</v>
      </c>
      <c r="R247" s="574" t="s">
        <v>2225</v>
      </c>
      <c r="S247" s="574" t="s">
        <v>2235</v>
      </c>
      <c r="T247" s="574" t="s">
        <v>2236</v>
      </c>
      <c r="U247" s="574" t="s">
        <v>2597</v>
      </c>
      <c r="V247" s="574" t="s">
        <v>2238</v>
      </c>
      <c r="W247" s="574" t="s">
        <v>2239</v>
      </c>
      <c r="X247" s="574" t="s">
        <v>2598</v>
      </c>
      <c r="Y247" s="575" t="s">
        <v>2599</v>
      </c>
      <c r="Z247" s="575" t="s">
        <v>2599</v>
      </c>
      <c r="AA247" s="574" t="s">
        <v>1692</v>
      </c>
      <c r="AB247" s="574" t="s">
        <v>2307</v>
      </c>
      <c r="AC247" s="574" t="s">
        <v>2308</v>
      </c>
      <c r="AD247" s="574" t="s">
        <v>2309</v>
      </c>
      <c r="AE247" s="574" t="s">
        <v>1490</v>
      </c>
      <c r="AF247" s="574" t="s">
        <v>176</v>
      </c>
      <c r="AG247" s="576">
        <v>312011</v>
      </c>
    </row>
    <row r="248" spans="1:33" hidden="1" x14ac:dyDescent="0.25">
      <c r="A248" s="574" t="s">
        <v>2219</v>
      </c>
      <c r="B248" s="574" t="s">
        <v>2220</v>
      </c>
      <c r="C248" s="574" t="s">
        <v>2221</v>
      </c>
      <c r="D248" s="574" t="s">
        <v>2220</v>
      </c>
      <c r="E248" s="574" t="s">
        <v>2222</v>
      </c>
      <c r="F248" s="574" t="s">
        <v>2223</v>
      </c>
      <c r="G248" s="574" t="s">
        <v>2224</v>
      </c>
      <c r="H248" s="574" t="s">
        <v>2225</v>
      </c>
      <c r="I248" s="574" t="s">
        <v>2226</v>
      </c>
      <c r="J248" s="574" t="s">
        <v>2227</v>
      </c>
      <c r="K248" s="574" t="s">
        <v>2228</v>
      </c>
      <c r="L248" s="574" t="s">
        <v>2229</v>
      </c>
      <c r="M248" s="574" t="s">
        <v>2230</v>
      </c>
      <c r="N248" s="574" t="s">
        <v>2231</v>
      </c>
      <c r="O248" s="574" t="s">
        <v>2232</v>
      </c>
      <c r="P248" s="574" t="s">
        <v>2233</v>
      </c>
      <c r="Q248" s="574" t="s">
        <v>2234</v>
      </c>
      <c r="R248" s="574" t="s">
        <v>2225</v>
      </c>
      <c r="S248" s="574" t="s">
        <v>2235</v>
      </c>
      <c r="T248" s="574" t="s">
        <v>2236</v>
      </c>
      <c r="U248" s="574" t="s">
        <v>2591</v>
      </c>
      <c r="V248" s="574" t="s">
        <v>2238</v>
      </c>
      <c r="W248" s="574" t="s">
        <v>2239</v>
      </c>
      <c r="X248" s="574" t="s">
        <v>2592</v>
      </c>
      <c r="Y248" s="575" t="s">
        <v>2593</v>
      </c>
      <c r="Z248" s="575" t="s">
        <v>2593</v>
      </c>
      <c r="AA248" s="574" t="s">
        <v>1692</v>
      </c>
      <c r="AB248" s="574" t="s">
        <v>2307</v>
      </c>
      <c r="AC248" s="574" t="s">
        <v>2308</v>
      </c>
      <c r="AD248" s="574" t="s">
        <v>2309</v>
      </c>
      <c r="AE248" s="574" t="s">
        <v>1490</v>
      </c>
      <c r="AF248" s="574" t="s">
        <v>176</v>
      </c>
      <c r="AG248" s="576">
        <v>351123.22</v>
      </c>
    </row>
    <row r="249" spans="1:33" hidden="1" x14ac:dyDescent="0.25">
      <c r="A249" s="574" t="s">
        <v>2219</v>
      </c>
      <c r="B249" s="574" t="s">
        <v>2220</v>
      </c>
      <c r="C249" s="574" t="s">
        <v>2221</v>
      </c>
      <c r="D249" s="574" t="s">
        <v>2220</v>
      </c>
      <c r="E249" s="574" t="s">
        <v>2222</v>
      </c>
      <c r="F249" s="574" t="s">
        <v>2223</v>
      </c>
      <c r="G249" s="574" t="s">
        <v>2224</v>
      </c>
      <c r="H249" s="574" t="s">
        <v>2225</v>
      </c>
      <c r="I249" s="574" t="s">
        <v>2226</v>
      </c>
      <c r="J249" s="574" t="s">
        <v>2227</v>
      </c>
      <c r="K249" s="574" t="s">
        <v>2228</v>
      </c>
      <c r="L249" s="574" t="s">
        <v>2229</v>
      </c>
      <c r="M249" s="574" t="s">
        <v>2230</v>
      </c>
      <c r="N249" s="574" t="s">
        <v>2231</v>
      </c>
      <c r="O249" s="574" t="s">
        <v>2232</v>
      </c>
      <c r="P249" s="574" t="s">
        <v>2233</v>
      </c>
      <c r="Q249" s="574" t="s">
        <v>2234</v>
      </c>
      <c r="R249" s="574" t="s">
        <v>2225</v>
      </c>
      <c r="S249" s="574" t="s">
        <v>2235</v>
      </c>
      <c r="T249" s="574" t="s">
        <v>2236</v>
      </c>
      <c r="U249" s="574" t="s">
        <v>2362</v>
      </c>
      <c r="V249" s="574" t="s">
        <v>2238</v>
      </c>
      <c r="W249" s="574" t="s">
        <v>2239</v>
      </c>
      <c r="X249" s="574" t="s">
        <v>2363</v>
      </c>
      <c r="Y249" s="575" t="s">
        <v>2361</v>
      </c>
      <c r="Z249" s="575" t="s">
        <v>2361</v>
      </c>
      <c r="AA249" s="574" t="s">
        <v>1692</v>
      </c>
      <c r="AB249" s="574" t="s">
        <v>2307</v>
      </c>
      <c r="AC249" s="574" t="s">
        <v>2308</v>
      </c>
      <c r="AD249" s="574" t="s">
        <v>2309</v>
      </c>
      <c r="AE249" s="574" t="s">
        <v>1490</v>
      </c>
      <c r="AF249" s="574" t="s">
        <v>176</v>
      </c>
      <c r="AG249" s="576">
        <v>361422.2</v>
      </c>
    </row>
    <row r="250" spans="1:33" hidden="1" x14ac:dyDescent="0.25">
      <c r="A250" s="574" t="s">
        <v>2219</v>
      </c>
      <c r="B250" s="574" t="s">
        <v>2220</v>
      </c>
      <c r="C250" s="574" t="s">
        <v>2221</v>
      </c>
      <c r="D250" s="574" t="s">
        <v>2220</v>
      </c>
      <c r="E250" s="574" t="s">
        <v>2222</v>
      </c>
      <c r="F250" s="574" t="s">
        <v>2223</v>
      </c>
      <c r="G250" s="574" t="s">
        <v>2224</v>
      </c>
      <c r="H250" s="574" t="s">
        <v>2225</v>
      </c>
      <c r="I250" s="574" t="s">
        <v>2226</v>
      </c>
      <c r="J250" s="574" t="s">
        <v>2227</v>
      </c>
      <c r="K250" s="574" t="s">
        <v>2228</v>
      </c>
      <c r="L250" s="574" t="s">
        <v>2229</v>
      </c>
      <c r="M250" s="574" t="s">
        <v>2230</v>
      </c>
      <c r="N250" s="574" t="s">
        <v>2231</v>
      </c>
      <c r="O250" s="574" t="s">
        <v>2759</v>
      </c>
      <c r="P250" s="574" t="s">
        <v>2932</v>
      </c>
      <c r="Q250" s="574" t="s">
        <v>2234</v>
      </c>
      <c r="R250" s="574" t="s">
        <v>2225</v>
      </c>
      <c r="S250" s="574" t="s">
        <v>2235</v>
      </c>
      <c r="T250" s="574" t="s">
        <v>2236</v>
      </c>
      <c r="U250" s="574" t="s">
        <v>3021</v>
      </c>
      <c r="V250" s="574" t="s">
        <v>2238</v>
      </c>
      <c r="W250" s="574" t="s">
        <v>2239</v>
      </c>
      <c r="X250" s="574" t="s">
        <v>3022</v>
      </c>
      <c r="Y250" s="575" t="s">
        <v>2457</v>
      </c>
      <c r="Z250" s="575" t="s">
        <v>2457</v>
      </c>
      <c r="AA250" s="574" t="s">
        <v>1692</v>
      </c>
      <c r="AB250" s="574" t="s">
        <v>2307</v>
      </c>
      <c r="AC250" s="574" t="s">
        <v>2308</v>
      </c>
      <c r="AD250" s="574" t="s">
        <v>2309</v>
      </c>
      <c r="AE250" s="574" t="s">
        <v>1490</v>
      </c>
      <c r="AF250" s="574" t="s">
        <v>176</v>
      </c>
      <c r="AG250" s="576">
        <v>365350</v>
      </c>
    </row>
    <row r="251" spans="1:33" hidden="1" x14ac:dyDescent="0.25">
      <c r="A251" s="574" t="s">
        <v>2219</v>
      </c>
      <c r="B251" s="574" t="s">
        <v>2220</v>
      </c>
      <c r="C251" s="574" t="s">
        <v>2221</v>
      </c>
      <c r="D251" s="574" t="s">
        <v>2220</v>
      </c>
      <c r="E251" s="574" t="s">
        <v>2222</v>
      </c>
      <c r="F251" s="574" t="s">
        <v>2223</v>
      </c>
      <c r="G251" s="574" t="s">
        <v>2224</v>
      </c>
      <c r="H251" s="574" t="s">
        <v>2225</v>
      </c>
      <c r="I251" s="574" t="s">
        <v>2226</v>
      </c>
      <c r="J251" s="574" t="s">
        <v>2227</v>
      </c>
      <c r="K251" s="574" t="s">
        <v>2228</v>
      </c>
      <c r="L251" s="574" t="s">
        <v>2229</v>
      </c>
      <c r="M251" s="574" t="s">
        <v>2230</v>
      </c>
      <c r="N251" s="574" t="s">
        <v>2231</v>
      </c>
      <c r="O251" s="574" t="s">
        <v>2232</v>
      </c>
      <c r="P251" s="574" t="s">
        <v>2233</v>
      </c>
      <c r="Q251" s="574" t="s">
        <v>2234</v>
      </c>
      <c r="R251" s="574" t="s">
        <v>2225</v>
      </c>
      <c r="S251" s="574" t="s">
        <v>2235</v>
      </c>
      <c r="T251" s="574" t="s">
        <v>2236</v>
      </c>
      <c r="U251" s="574" t="s">
        <v>2304</v>
      </c>
      <c r="V251" s="574" t="s">
        <v>2238</v>
      </c>
      <c r="W251" s="574" t="s">
        <v>2239</v>
      </c>
      <c r="X251" s="574" t="s">
        <v>2305</v>
      </c>
      <c r="Y251" s="575" t="s">
        <v>2306</v>
      </c>
      <c r="Z251" s="575" t="s">
        <v>2306</v>
      </c>
      <c r="AA251" s="574" t="s">
        <v>1692</v>
      </c>
      <c r="AB251" s="574" t="s">
        <v>2307</v>
      </c>
      <c r="AC251" s="574" t="s">
        <v>2308</v>
      </c>
      <c r="AD251" s="574" t="s">
        <v>2309</v>
      </c>
      <c r="AE251" s="574" t="s">
        <v>1490</v>
      </c>
      <c r="AF251" s="574" t="s">
        <v>176</v>
      </c>
      <c r="AG251" s="576">
        <v>374226.46</v>
      </c>
    </row>
    <row r="252" spans="1:33" hidden="1" x14ac:dyDescent="0.25">
      <c r="A252" s="574" t="s">
        <v>2219</v>
      </c>
      <c r="B252" s="574" t="s">
        <v>2220</v>
      </c>
      <c r="C252" s="574" t="s">
        <v>2221</v>
      </c>
      <c r="D252" s="574" t="s">
        <v>2220</v>
      </c>
      <c r="E252" s="574" t="s">
        <v>2222</v>
      </c>
      <c r="F252" s="574" t="s">
        <v>2223</v>
      </c>
      <c r="G252" s="574" t="s">
        <v>2224</v>
      </c>
      <c r="H252" s="574" t="s">
        <v>2225</v>
      </c>
      <c r="I252" s="574" t="s">
        <v>2226</v>
      </c>
      <c r="J252" s="574" t="s">
        <v>2227</v>
      </c>
      <c r="K252" s="574" t="s">
        <v>2228</v>
      </c>
      <c r="L252" s="574" t="s">
        <v>2229</v>
      </c>
      <c r="M252" s="574" t="s">
        <v>2230</v>
      </c>
      <c r="N252" s="574" t="s">
        <v>2231</v>
      </c>
      <c r="O252" s="574" t="s">
        <v>2759</v>
      </c>
      <c r="P252" s="574" t="s">
        <v>2932</v>
      </c>
      <c r="Q252" s="574" t="s">
        <v>2234</v>
      </c>
      <c r="R252" s="574" t="s">
        <v>2225</v>
      </c>
      <c r="S252" s="574" t="s">
        <v>2235</v>
      </c>
      <c r="T252" s="574" t="s">
        <v>2236</v>
      </c>
      <c r="U252" s="574" t="s">
        <v>3203</v>
      </c>
      <c r="V252" s="574" t="s">
        <v>2238</v>
      </c>
      <c r="W252" s="574" t="s">
        <v>2239</v>
      </c>
      <c r="X252" s="574" t="s">
        <v>3204</v>
      </c>
      <c r="Y252" s="575" t="s">
        <v>2562</v>
      </c>
      <c r="Z252" s="575" t="s">
        <v>2562</v>
      </c>
      <c r="AA252" s="574" t="s">
        <v>1692</v>
      </c>
      <c r="AB252" s="574" t="s">
        <v>2307</v>
      </c>
      <c r="AC252" s="574" t="s">
        <v>2308</v>
      </c>
      <c r="AD252" s="574" t="s">
        <v>2309</v>
      </c>
      <c r="AE252" s="574" t="s">
        <v>1482</v>
      </c>
      <c r="AF252" s="574" t="s">
        <v>2961</v>
      </c>
      <c r="AG252" s="576">
        <v>376954.54</v>
      </c>
    </row>
    <row r="253" spans="1:33" hidden="1" x14ac:dyDescent="0.25">
      <c r="A253" s="574" t="s">
        <v>2219</v>
      </c>
      <c r="B253" s="574" t="s">
        <v>2220</v>
      </c>
      <c r="C253" s="574" t="s">
        <v>2221</v>
      </c>
      <c r="D253" s="574" t="s">
        <v>2220</v>
      </c>
      <c r="E253" s="574" t="s">
        <v>2222</v>
      </c>
      <c r="F253" s="574" t="s">
        <v>2223</v>
      </c>
      <c r="G253" s="574" t="s">
        <v>2224</v>
      </c>
      <c r="H253" s="574" t="s">
        <v>2225</v>
      </c>
      <c r="I253" s="574" t="s">
        <v>2226</v>
      </c>
      <c r="J253" s="574" t="s">
        <v>2227</v>
      </c>
      <c r="K253" s="574" t="s">
        <v>2228</v>
      </c>
      <c r="L253" s="574" t="s">
        <v>2229</v>
      </c>
      <c r="M253" s="574" t="s">
        <v>2230</v>
      </c>
      <c r="N253" s="574" t="s">
        <v>2231</v>
      </c>
      <c r="O253" s="574" t="s">
        <v>2232</v>
      </c>
      <c r="P253" s="574" t="s">
        <v>2233</v>
      </c>
      <c r="Q253" s="574" t="s">
        <v>2234</v>
      </c>
      <c r="R253" s="574" t="s">
        <v>2225</v>
      </c>
      <c r="S253" s="574" t="s">
        <v>2235</v>
      </c>
      <c r="T253" s="574" t="s">
        <v>2236</v>
      </c>
      <c r="U253" s="574" t="s">
        <v>2364</v>
      </c>
      <c r="V253" s="574" t="s">
        <v>2238</v>
      </c>
      <c r="W253" s="574" t="s">
        <v>2239</v>
      </c>
      <c r="X253" s="574" t="s">
        <v>2365</v>
      </c>
      <c r="Y253" s="575" t="s">
        <v>2366</v>
      </c>
      <c r="Z253" s="575" t="s">
        <v>2366</v>
      </c>
      <c r="AA253" s="574" t="s">
        <v>1692</v>
      </c>
      <c r="AB253" s="574" t="s">
        <v>2307</v>
      </c>
      <c r="AC253" s="574" t="s">
        <v>2367</v>
      </c>
      <c r="AD253" s="574" t="s">
        <v>2368</v>
      </c>
      <c r="AE253" s="574" t="s">
        <v>2369</v>
      </c>
      <c r="AF253" s="574" t="s">
        <v>117</v>
      </c>
      <c r="AG253" s="576">
        <v>664800</v>
      </c>
    </row>
    <row r="254" spans="1:33" hidden="1" x14ac:dyDescent="0.25">
      <c r="A254" s="574" t="s">
        <v>2219</v>
      </c>
      <c r="B254" s="574" t="s">
        <v>2220</v>
      </c>
      <c r="C254" s="574" t="s">
        <v>2221</v>
      </c>
      <c r="D254" s="574" t="s">
        <v>2220</v>
      </c>
      <c r="E254" s="574" t="s">
        <v>2222</v>
      </c>
      <c r="F254" s="574" t="s">
        <v>2223</v>
      </c>
      <c r="G254" s="574" t="s">
        <v>2224</v>
      </c>
      <c r="H254" s="574" t="s">
        <v>2225</v>
      </c>
      <c r="I254" s="574" t="s">
        <v>2226</v>
      </c>
      <c r="J254" s="574" t="s">
        <v>2227</v>
      </c>
      <c r="K254" s="574" t="s">
        <v>2228</v>
      </c>
      <c r="L254" s="574" t="s">
        <v>2229</v>
      </c>
      <c r="M254" s="574" t="s">
        <v>2230</v>
      </c>
      <c r="N254" s="574" t="s">
        <v>2231</v>
      </c>
      <c r="O254" s="574" t="s">
        <v>2232</v>
      </c>
      <c r="P254" s="574" t="s">
        <v>2233</v>
      </c>
      <c r="Q254" s="574" t="s">
        <v>2234</v>
      </c>
      <c r="R254" s="574" t="s">
        <v>2225</v>
      </c>
      <c r="S254" s="574" t="s">
        <v>2235</v>
      </c>
      <c r="T254" s="574" t="s">
        <v>2236</v>
      </c>
      <c r="U254" s="574" t="s">
        <v>2639</v>
      </c>
      <c r="V254" s="574" t="s">
        <v>2238</v>
      </c>
      <c r="W254" s="574" t="s">
        <v>2239</v>
      </c>
      <c r="X254" s="574" t="s">
        <v>2640</v>
      </c>
      <c r="Y254" s="575" t="s">
        <v>2641</v>
      </c>
      <c r="Z254" s="575" t="s">
        <v>2641</v>
      </c>
      <c r="AA254" s="574" t="s">
        <v>1692</v>
      </c>
      <c r="AB254" s="574" t="s">
        <v>2307</v>
      </c>
      <c r="AC254" s="574" t="s">
        <v>2308</v>
      </c>
      <c r="AD254" s="574" t="s">
        <v>2309</v>
      </c>
      <c r="AE254" s="574" t="s">
        <v>1490</v>
      </c>
      <c r="AF254" s="574" t="s">
        <v>176</v>
      </c>
      <c r="AG254" s="576">
        <v>683019</v>
      </c>
    </row>
    <row r="255" spans="1:33" hidden="1" x14ac:dyDescent="0.25">
      <c r="A255" s="574" t="s">
        <v>2219</v>
      </c>
      <c r="B255" s="574" t="s">
        <v>2220</v>
      </c>
      <c r="C255" s="574" t="s">
        <v>2221</v>
      </c>
      <c r="D255" s="574" t="s">
        <v>2220</v>
      </c>
      <c r="E255" s="574" t="s">
        <v>2222</v>
      </c>
      <c r="F255" s="574" t="s">
        <v>2223</v>
      </c>
      <c r="G255" s="574" t="s">
        <v>2224</v>
      </c>
      <c r="H255" s="574" t="s">
        <v>2225</v>
      </c>
      <c r="I255" s="574" t="s">
        <v>2226</v>
      </c>
      <c r="J255" s="574" t="s">
        <v>2227</v>
      </c>
      <c r="K255" s="574" t="s">
        <v>2228</v>
      </c>
      <c r="L255" s="574" t="s">
        <v>2229</v>
      </c>
      <c r="M255" s="574" t="s">
        <v>2230</v>
      </c>
      <c r="N255" s="574" t="s">
        <v>2231</v>
      </c>
      <c r="O255" s="574" t="s">
        <v>2232</v>
      </c>
      <c r="P255" s="574" t="s">
        <v>2233</v>
      </c>
      <c r="Q255" s="574" t="s">
        <v>2234</v>
      </c>
      <c r="R255" s="574" t="s">
        <v>2225</v>
      </c>
      <c r="S255" s="574" t="s">
        <v>2235</v>
      </c>
      <c r="T255" s="574" t="s">
        <v>2236</v>
      </c>
      <c r="U255" s="574" t="s">
        <v>2644</v>
      </c>
      <c r="V255" s="574" t="s">
        <v>2238</v>
      </c>
      <c r="W255" s="574" t="s">
        <v>2239</v>
      </c>
      <c r="X255" s="574" t="s">
        <v>2645</v>
      </c>
      <c r="Y255" s="575" t="s">
        <v>2641</v>
      </c>
      <c r="Z255" s="575" t="s">
        <v>2641</v>
      </c>
      <c r="AA255" s="574" t="s">
        <v>1692</v>
      </c>
      <c r="AB255" s="574" t="s">
        <v>2307</v>
      </c>
      <c r="AC255" s="574" t="s">
        <v>2308</v>
      </c>
      <c r="AD255" s="574" t="s">
        <v>2309</v>
      </c>
      <c r="AE255" s="574" t="s">
        <v>1490</v>
      </c>
      <c r="AF255" s="574" t="s">
        <v>176</v>
      </c>
      <c r="AG255" s="576">
        <v>787967</v>
      </c>
    </row>
    <row r="256" spans="1:33" hidden="1" x14ac:dyDescent="0.25">
      <c r="A256" s="574" t="s">
        <v>2219</v>
      </c>
      <c r="B256" s="574" t="s">
        <v>2220</v>
      </c>
      <c r="C256" s="574" t="s">
        <v>2221</v>
      </c>
      <c r="D256" s="574" t="s">
        <v>2220</v>
      </c>
      <c r="E256" s="574" t="s">
        <v>2222</v>
      </c>
      <c r="F256" s="574" t="s">
        <v>2223</v>
      </c>
      <c r="G256" s="574" t="s">
        <v>2224</v>
      </c>
      <c r="H256" s="574" t="s">
        <v>2225</v>
      </c>
      <c r="I256" s="574" t="s">
        <v>2226</v>
      </c>
      <c r="J256" s="574" t="s">
        <v>2227</v>
      </c>
      <c r="K256" s="574" t="s">
        <v>2228</v>
      </c>
      <c r="L256" s="574" t="s">
        <v>2229</v>
      </c>
      <c r="M256" s="574" t="s">
        <v>2230</v>
      </c>
      <c r="N256" s="574" t="s">
        <v>2231</v>
      </c>
      <c r="O256" s="574" t="s">
        <v>2232</v>
      </c>
      <c r="P256" s="574" t="s">
        <v>2233</v>
      </c>
      <c r="Q256" s="574" t="s">
        <v>2234</v>
      </c>
      <c r="R256" s="574" t="s">
        <v>2225</v>
      </c>
      <c r="S256" s="574" t="s">
        <v>2235</v>
      </c>
      <c r="T256" s="574" t="s">
        <v>2236</v>
      </c>
      <c r="U256" s="574" t="s">
        <v>2342</v>
      </c>
      <c r="V256" s="574" t="s">
        <v>2238</v>
      </c>
      <c r="W256" s="574" t="s">
        <v>2239</v>
      </c>
      <c r="X256" s="574" t="s">
        <v>2343</v>
      </c>
      <c r="Y256" s="575" t="s">
        <v>2326</v>
      </c>
      <c r="Z256" s="575" t="s">
        <v>2326</v>
      </c>
      <c r="AA256" s="574" t="s">
        <v>1692</v>
      </c>
      <c r="AB256" s="574" t="s">
        <v>2307</v>
      </c>
      <c r="AC256" s="574" t="s">
        <v>2308</v>
      </c>
      <c r="AD256" s="574" t="s">
        <v>2309</v>
      </c>
      <c r="AE256" s="574" t="s">
        <v>1490</v>
      </c>
      <c r="AF256" s="574" t="s">
        <v>176</v>
      </c>
      <c r="AG256" s="576">
        <v>827535.72</v>
      </c>
    </row>
    <row r="257" spans="1:33" hidden="1" x14ac:dyDescent="0.25">
      <c r="A257" s="574" t="s">
        <v>2219</v>
      </c>
      <c r="B257" s="574" t="s">
        <v>2220</v>
      </c>
      <c r="C257" s="574" t="s">
        <v>2221</v>
      </c>
      <c r="D257" s="574" t="s">
        <v>2220</v>
      </c>
      <c r="E257" s="574" t="s">
        <v>2222</v>
      </c>
      <c r="F257" s="574" t="s">
        <v>2223</v>
      </c>
      <c r="G257" s="574" t="s">
        <v>2224</v>
      </c>
      <c r="H257" s="574" t="s">
        <v>2225</v>
      </c>
      <c r="I257" s="574" t="s">
        <v>2226</v>
      </c>
      <c r="J257" s="574" t="s">
        <v>2227</v>
      </c>
      <c r="K257" s="574" t="s">
        <v>2228</v>
      </c>
      <c r="L257" s="574" t="s">
        <v>2229</v>
      </c>
      <c r="M257" s="574" t="s">
        <v>2230</v>
      </c>
      <c r="N257" s="574" t="s">
        <v>2231</v>
      </c>
      <c r="O257" s="574" t="s">
        <v>2232</v>
      </c>
      <c r="P257" s="574" t="s">
        <v>2233</v>
      </c>
      <c r="Q257" s="574" t="s">
        <v>2234</v>
      </c>
      <c r="R257" s="574" t="s">
        <v>2225</v>
      </c>
      <c r="S257" s="574" t="s">
        <v>2235</v>
      </c>
      <c r="T257" s="574" t="s">
        <v>2236</v>
      </c>
      <c r="U257" s="574" t="s">
        <v>2370</v>
      </c>
      <c r="V257" s="574" t="s">
        <v>2238</v>
      </c>
      <c r="W257" s="574" t="s">
        <v>2239</v>
      </c>
      <c r="X257" s="574" t="s">
        <v>2371</v>
      </c>
      <c r="Y257" s="575" t="s">
        <v>2372</v>
      </c>
      <c r="Z257" s="575" t="s">
        <v>2372</v>
      </c>
      <c r="AA257" s="574" t="s">
        <v>1692</v>
      </c>
      <c r="AB257" s="574" t="s">
        <v>2307</v>
      </c>
      <c r="AC257" s="574" t="s">
        <v>2308</v>
      </c>
      <c r="AD257" s="574" t="s">
        <v>2309</v>
      </c>
      <c r="AE257" s="574" t="s">
        <v>1490</v>
      </c>
      <c r="AF257" s="574" t="s">
        <v>176</v>
      </c>
      <c r="AG257" s="576">
        <v>1387311.78</v>
      </c>
    </row>
    <row r="258" spans="1:33" hidden="1" x14ac:dyDescent="0.25">
      <c r="A258" s="574" t="s">
        <v>2219</v>
      </c>
      <c r="B258" s="574" t="s">
        <v>2220</v>
      </c>
      <c r="C258" s="574" t="s">
        <v>2221</v>
      </c>
      <c r="D258" s="574" t="s">
        <v>2220</v>
      </c>
      <c r="E258" s="574" t="s">
        <v>2222</v>
      </c>
      <c r="F258" s="574" t="s">
        <v>2223</v>
      </c>
      <c r="G258" s="574" t="s">
        <v>2224</v>
      </c>
      <c r="H258" s="574" t="s">
        <v>2225</v>
      </c>
      <c r="I258" s="574" t="s">
        <v>2226</v>
      </c>
      <c r="J258" s="574" t="s">
        <v>2227</v>
      </c>
      <c r="K258" s="574" t="s">
        <v>2228</v>
      </c>
      <c r="L258" s="574" t="s">
        <v>2229</v>
      </c>
      <c r="M258" s="574" t="s">
        <v>2230</v>
      </c>
      <c r="N258" s="574" t="s">
        <v>2231</v>
      </c>
      <c r="O258" s="574" t="s">
        <v>2759</v>
      </c>
      <c r="P258" s="574" t="s">
        <v>2932</v>
      </c>
      <c r="Q258" s="574" t="s">
        <v>2234</v>
      </c>
      <c r="R258" s="574" t="s">
        <v>2225</v>
      </c>
      <c r="S258" s="574" t="s">
        <v>2235</v>
      </c>
      <c r="T258" s="574" t="s">
        <v>2236</v>
      </c>
      <c r="U258" s="574" t="s">
        <v>3219</v>
      </c>
      <c r="V258" s="574" t="s">
        <v>2238</v>
      </c>
      <c r="W258" s="574" t="s">
        <v>2239</v>
      </c>
      <c r="X258" s="574" t="s">
        <v>3220</v>
      </c>
      <c r="Y258" s="575" t="s">
        <v>2568</v>
      </c>
      <c r="Z258" s="575" t="s">
        <v>2568</v>
      </c>
      <c r="AA258" s="574" t="s">
        <v>1692</v>
      </c>
      <c r="AB258" s="574" t="s">
        <v>2307</v>
      </c>
      <c r="AC258" s="574" t="s">
        <v>2308</v>
      </c>
      <c r="AD258" s="574" t="s">
        <v>2309</v>
      </c>
      <c r="AE258" s="574" t="s">
        <v>1490</v>
      </c>
      <c r="AF258" s="574" t="s">
        <v>176</v>
      </c>
      <c r="AG258" s="576">
        <v>7018694.7599999998</v>
      </c>
    </row>
    <row r="259" spans="1:33" hidden="1" x14ac:dyDescent="0.25">
      <c r="A259" s="574" t="s">
        <v>2219</v>
      </c>
      <c r="B259" s="574" t="s">
        <v>2220</v>
      </c>
      <c r="C259" s="574" t="s">
        <v>2221</v>
      </c>
      <c r="D259" s="574" t="s">
        <v>2220</v>
      </c>
      <c r="E259" s="574" t="s">
        <v>2222</v>
      </c>
      <c r="F259" s="574" t="s">
        <v>2223</v>
      </c>
      <c r="G259" s="574" t="s">
        <v>2224</v>
      </c>
      <c r="H259" s="574" t="s">
        <v>2225</v>
      </c>
      <c r="I259" s="574" t="s">
        <v>2226</v>
      </c>
      <c r="J259" s="574" t="s">
        <v>2227</v>
      </c>
      <c r="K259" s="574" t="s">
        <v>2228</v>
      </c>
      <c r="L259" s="574" t="s">
        <v>2229</v>
      </c>
      <c r="M259" s="574" t="s">
        <v>2230</v>
      </c>
      <c r="N259" s="574" t="s">
        <v>2231</v>
      </c>
      <c r="O259" s="574" t="s">
        <v>2759</v>
      </c>
      <c r="P259" s="574" t="s">
        <v>2932</v>
      </c>
      <c r="Q259" s="574" t="s">
        <v>2234</v>
      </c>
      <c r="R259" s="574" t="s">
        <v>2225</v>
      </c>
      <c r="S259" s="574" t="s">
        <v>2235</v>
      </c>
      <c r="T259" s="574" t="s">
        <v>2236</v>
      </c>
      <c r="U259" s="574" t="s">
        <v>2972</v>
      </c>
      <c r="V259" s="574" t="s">
        <v>2238</v>
      </c>
      <c r="W259" s="574" t="s">
        <v>2239</v>
      </c>
      <c r="X259" s="574" t="s">
        <v>2973</v>
      </c>
      <c r="Y259" s="575" t="s">
        <v>2424</v>
      </c>
      <c r="Z259" s="575" t="s">
        <v>2424</v>
      </c>
      <c r="AA259" s="574" t="s">
        <v>1693</v>
      </c>
      <c r="AB259" s="574" t="s">
        <v>2319</v>
      </c>
      <c r="AC259" s="574" t="s">
        <v>2652</v>
      </c>
      <c r="AD259" s="574" t="s">
        <v>2653</v>
      </c>
      <c r="AE259" s="574" t="s">
        <v>2654</v>
      </c>
      <c r="AF259" s="574" t="s">
        <v>2655</v>
      </c>
      <c r="AG259" s="576">
        <v>654.9</v>
      </c>
    </row>
    <row r="260" spans="1:33" hidden="1" x14ac:dyDescent="0.25">
      <c r="A260" s="574" t="s">
        <v>2219</v>
      </c>
      <c r="B260" s="574" t="s">
        <v>2220</v>
      </c>
      <c r="C260" s="574" t="s">
        <v>2221</v>
      </c>
      <c r="D260" s="574" t="s">
        <v>2220</v>
      </c>
      <c r="E260" s="574" t="s">
        <v>2222</v>
      </c>
      <c r="F260" s="574" t="s">
        <v>2223</v>
      </c>
      <c r="G260" s="574" t="s">
        <v>2224</v>
      </c>
      <c r="H260" s="574" t="s">
        <v>2225</v>
      </c>
      <c r="I260" s="574" t="s">
        <v>2226</v>
      </c>
      <c r="J260" s="574" t="s">
        <v>2227</v>
      </c>
      <c r="K260" s="574" t="s">
        <v>2228</v>
      </c>
      <c r="L260" s="574" t="s">
        <v>2229</v>
      </c>
      <c r="M260" s="574" t="s">
        <v>2230</v>
      </c>
      <c r="N260" s="574" t="s">
        <v>2231</v>
      </c>
      <c r="O260" s="574" t="s">
        <v>2759</v>
      </c>
      <c r="P260" s="574" t="s">
        <v>2932</v>
      </c>
      <c r="Q260" s="574" t="s">
        <v>2234</v>
      </c>
      <c r="R260" s="574" t="s">
        <v>2225</v>
      </c>
      <c r="S260" s="574" t="s">
        <v>2235</v>
      </c>
      <c r="T260" s="574" t="s">
        <v>2236</v>
      </c>
      <c r="U260" s="574" t="s">
        <v>2981</v>
      </c>
      <c r="V260" s="574" t="s">
        <v>2238</v>
      </c>
      <c r="W260" s="574" t="s">
        <v>2239</v>
      </c>
      <c r="X260" s="574" t="s">
        <v>2982</v>
      </c>
      <c r="Y260" s="575" t="s">
        <v>2424</v>
      </c>
      <c r="Z260" s="575" t="s">
        <v>2424</v>
      </c>
      <c r="AA260" s="574" t="s">
        <v>1693</v>
      </c>
      <c r="AB260" s="574" t="s">
        <v>2319</v>
      </c>
      <c r="AC260" s="574" t="s">
        <v>2987</v>
      </c>
      <c r="AD260" s="574" t="s">
        <v>2988</v>
      </c>
      <c r="AE260" s="574" t="s">
        <v>2989</v>
      </c>
      <c r="AF260" s="574" t="s">
        <v>2990</v>
      </c>
      <c r="AG260" s="576">
        <v>1309.8</v>
      </c>
    </row>
    <row r="261" spans="1:33" hidden="1" x14ac:dyDescent="0.25">
      <c r="A261" s="574" t="s">
        <v>2219</v>
      </c>
      <c r="B261" s="574" t="s">
        <v>2220</v>
      </c>
      <c r="C261" s="574" t="s">
        <v>2221</v>
      </c>
      <c r="D261" s="574" t="s">
        <v>2220</v>
      </c>
      <c r="E261" s="574" t="s">
        <v>2222</v>
      </c>
      <c r="F261" s="574" t="s">
        <v>2223</v>
      </c>
      <c r="G261" s="574" t="s">
        <v>2224</v>
      </c>
      <c r="H261" s="574" t="s">
        <v>2225</v>
      </c>
      <c r="I261" s="574" t="s">
        <v>2226</v>
      </c>
      <c r="J261" s="574" t="s">
        <v>2227</v>
      </c>
      <c r="K261" s="574" t="s">
        <v>2228</v>
      </c>
      <c r="L261" s="574" t="s">
        <v>2229</v>
      </c>
      <c r="M261" s="574" t="s">
        <v>2230</v>
      </c>
      <c r="N261" s="574" t="s">
        <v>2231</v>
      </c>
      <c r="O261" s="574" t="s">
        <v>2232</v>
      </c>
      <c r="P261" s="574" t="s">
        <v>2233</v>
      </c>
      <c r="Q261" s="574" t="s">
        <v>2234</v>
      </c>
      <c r="R261" s="574" t="s">
        <v>2225</v>
      </c>
      <c r="S261" s="574" t="s">
        <v>2235</v>
      </c>
      <c r="T261" s="574" t="s">
        <v>2236</v>
      </c>
      <c r="U261" s="574" t="s">
        <v>2547</v>
      </c>
      <c r="V261" s="574" t="s">
        <v>2238</v>
      </c>
      <c r="W261" s="574" t="s">
        <v>2239</v>
      </c>
      <c r="X261" s="574" t="s">
        <v>2548</v>
      </c>
      <c r="Y261" s="575" t="s">
        <v>2543</v>
      </c>
      <c r="Z261" s="575" t="s">
        <v>2543</v>
      </c>
      <c r="AA261" s="574" t="s">
        <v>1693</v>
      </c>
      <c r="AB261" s="574" t="s">
        <v>2319</v>
      </c>
      <c r="AC261" s="574" t="s">
        <v>2402</v>
      </c>
      <c r="AD261" s="574" t="s">
        <v>2403</v>
      </c>
      <c r="AE261" s="574" t="s">
        <v>1486</v>
      </c>
      <c r="AF261" s="574" t="s">
        <v>2403</v>
      </c>
      <c r="AG261" s="576">
        <v>1911.6</v>
      </c>
    </row>
    <row r="262" spans="1:33" hidden="1" x14ac:dyDescent="0.25">
      <c r="A262" s="574" t="s">
        <v>2219</v>
      </c>
      <c r="B262" s="574" t="s">
        <v>2220</v>
      </c>
      <c r="C262" s="574" t="s">
        <v>2221</v>
      </c>
      <c r="D262" s="574" t="s">
        <v>2220</v>
      </c>
      <c r="E262" s="574" t="s">
        <v>2222</v>
      </c>
      <c r="F262" s="574" t="s">
        <v>2223</v>
      </c>
      <c r="G262" s="574" t="s">
        <v>2224</v>
      </c>
      <c r="H262" s="574" t="s">
        <v>2225</v>
      </c>
      <c r="I262" s="574" t="s">
        <v>2226</v>
      </c>
      <c r="J262" s="574" t="s">
        <v>2227</v>
      </c>
      <c r="K262" s="574" t="s">
        <v>2228</v>
      </c>
      <c r="L262" s="574" t="s">
        <v>2229</v>
      </c>
      <c r="M262" s="574" t="s">
        <v>2230</v>
      </c>
      <c r="N262" s="574" t="s">
        <v>2231</v>
      </c>
      <c r="O262" s="574" t="s">
        <v>2232</v>
      </c>
      <c r="P262" s="574" t="s">
        <v>2233</v>
      </c>
      <c r="Q262" s="574" t="s">
        <v>2234</v>
      </c>
      <c r="R262" s="574" t="s">
        <v>2225</v>
      </c>
      <c r="S262" s="574" t="s">
        <v>2235</v>
      </c>
      <c r="T262" s="574" t="s">
        <v>2236</v>
      </c>
      <c r="U262" s="574" t="s">
        <v>2515</v>
      </c>
      <c r="V262" s="574" t="s">
        <v>2238</v>
      </c>
      <c r="W262" s="574" t="s">
        <v>2239</v>
      </c>
      <c r="X262" s="574" t="s">
        <v>2516</v>
      </c>
      <c r="Y262" s="575" t="s">
        <v>2517</v>
      </c>
      <c r="Z262" s="575" t="s">
        <v>2517</v>
      </c>
      <c r="AA262" s="574" t="s">
        <v>1693</v>
      </c>
      <c r="AB262" s="574" t="s">
        <v>2319</v>
      </c>
      <c r="AC262" s="574" t="s">
        <v>2402</v>
      </c>
      <c r="AD262" s="574" t="s">
        <v>2403</v>
      </c>
      <c r="AE262" s="574" t="s">
        <v>1486</v>
      </c>
      <c r="AF262" s="574" t="s">
        <v>2403</v>
      </c>
      <c r="AG262" s="576">
        <v>2000</v>
      </c>
    </row>
    <row r="263" spans="1:33" hidden="1" x14ac:dyDescent="0.25">
      <c r="A263" s="574" t="s">
        <v>2219</v>
      </c>
      <c r="B263" s="574" t="s">
        <v>2220</v>
      </c>
      <c r="C263" s="574" t="s">
        <v>2221</v>
      </c>
      <c r="D263" s="574" t="s">
        <v>2220</v>
      </c>
      <c r="E263" s="574" t="s">
        <v>2222</v>
      </c>
      <c r="F263" s="574" t="s">
        <v>2223</v>
      </c>
      <c r="G263" s="574" t="s">
        <v>2224</v>
      </c>
      <c r="H263" s="574" t="s">
        <v>2225</v>
      </c>
      <c r="I263" s="574" t="s">
        <v>2226</v>
      </c>
      <c r="J263" s="574" t="s">
        <v>2227</v>
      </c>
      <c r="K263" s="574" t="s">
        <v>2228</v>
      </c>
      <c r="L263" s="574" t="s">
        <v>2229</v>
      </c>
      <c r="M263" s="574" t="s">
        <v>2230</v>
      </c>
      <c r="N263" s="574" t="s">
        <v>2231</v>
      </c>
      <c r="O263" s="574" t="s">
        <v>2759</v>
      </c>
      <c r="P263" s="574" t="s">
        <v>2932</v>
      </c>
      <c r="Q263" s="574" t="s">
        <v>2234</v>
      </c>
      <c r="R263" s="574" t="s">
        <v>2225</v>
      </c>
      <c r="S263" s="574" t="s">
        <v>2235</v>
      </c>
      <c r="T263" s="574" t="s">
        <v>2236</v>
      </c>
      <c r="U263" s="574" t="s">
        <v>2947</v>
      </c>
      <c r="V263" s="574" t="s">
        <v>2238</v>
      </c>
      <c r="W263" s="574" t="s">
        <v>2239</v>
      </c>
      <c r="X263" s="574" t="s">
        <v>2948</v>
      </c>
      <c r="Y263" s="575" t="s">
        <v>2424</v>
      </c>
      <c r="Z263" s="575" t="s">
        <v>2424</v>
      </c>
      <c r="AA263" s="574" t="s">
        <v>1693</v>
      </c>
      <c r="AB263" s="574" t="s">
        <v>2319</v>
      </c>
      <c r="AC263" s="574" t="s">
        <v>2652</v>
      </c>
      <c r="AD263" s="574" t="s">
        <v>2653</v>
      </c>
      <c r="AE263" s="574" t="s">
        <v>2654</v>
      </c>
      <c r="AF263" s="574" t="s">
        <v>2655</v>
      </c>
      <c r="AG263" s="576">
        <v>2301</v>
      </c>
    </row>
    <row r="264" spans="1:33" hidden="1" x14ac:dyDescent="0.25">
      <c r="A264" s="574" t="s">
        <v>2219</v>
      </c>
      <c r="B264" s="574" t="s">
        <v>2220</v>
      </c>
      <c r="C264" s="574" t="s">
        <v>2221</v>
      </c>
      <c r="D264" s="574" t="s">
        <v>2220</v>
      </c>
      <c r="E264" s="574" t="s">
        <v>2222</v>
      </c>
      <c r="F264" s="574" t="s">
        <v>2223</v>
      </c>
      <c r="G264" s="574" t="s">
        <v>2224</v>
      </c>
      <c r="H264" s="574" t="s">
        <v>2225</v>
      </c>
      <c r="I264" s="574" t="s">
        <v>2226</v>
      </c>
      <c r="J264" s="574" t="s">
        <v>2227</v>
      </c>
      <c r="K264" s="574" t="s">
        <v>2228</v>
      </c>
      <c r="L264" s="574" t="s">
        <v>2229</v>
      </c>
      <c r="M264" s="574" t="s">
        <v>2230</v>
      </c>
      <c r="N264" s="574" t="s">
        <v>2231</v>
      </c>
      <c r="O264" s="574" t="s">
        <v>2232</v>
      </c>
      <c r="P264" s="574" t="s">
        <v>2233</v>
      </c>
      <c r="Q264" s="574" t="s">
        <v>2234</v>
      </c>
      <c r="R264" s="574" t="s">
        <v>2225</v>
      </c>
      <c r="S264" s="574" t="s">
        <v>2235</v>
      </c>
      <c r="T264" s="574" t="s">
        <v>2236</v>
      </c>
      <c r="U264" s="574" t="s">
        <v>2400</v>
      </c>
      <c r="V264" s="574" t="s">
        <v>2238</v>
      </c>
      <c r="W264" s="574" t="s">
        <v>2239</v>
      </c>
      <c r="X264" s="574" t="s">
        <v>2401</v>
      </c>
      <c r="Y264" s="575" t="s">
        <v>2372</v>
      </c>
      <c r="Z264" s="575" t="s">
        <v>2372</v>
      </c>
      <c r="AA264" s="574" t="s">
        <v>1693</v>
      </c>
      <c r="AB264" s="574" t="s">
        <v>2319</v>
      </c>
      <c r="AC264" s="574" t="s">
        <v>2402</v>
      </c>
      <c r="AD264" s="574" t="s">
        <v>2403</v>
      </c>
      <c r="AE264" s="574" t="s">
        <v>1486</v>
      </c>
      <c r="AF264" s="574" t="s">
        <v>2403</v>
      </c>
      <c r="AG264" s="576">
        <v>5015</v>
      </c>
    </row>
    <row r="265" spans="1:33" hidden="1" x14ac:dyDescent="0.25">
      <c r="A265" s="574" t="s">
        <v>2219</v>
      </c>
      <c r="B265" s="574" t="s">
        <v>2220</v>
      </c>
      <c r="C265" s="574" t="s">
        <v>2221</v>
      </c>
      <c r="D265" s="574" t="s">
        <v>2220</v>
      </c>
      <c r="E265" s="574" t="s">
        <v>2222</v>
      </c>
      <c r="F265" s="574" t="s">
        <v>2223</v>
      </c>
      <c r="G265" s="574" t="s">
        <v>2224</v>
      </c>
      <c r="H265" s="574" t="s">
        <v>2225</v>
      </c>
      <c r="I265" s="574" t="s">
        <v>2226</v>
      </c>
      <c r="J265" s="574" t="s">
        <v>2227</v>
      </c>
      <c r="K265" s="574" t="s">
        <v>2228</v>
      </c>
      <c r="L265" s="574" t="s">
        <v>2229</v>
      </c>
      <c r="M265" s="574" t="s">
        <v>2230</v>
      </c>
      <c r="N265" s="574" t="s">
        <v>2231</v>
      </c>
      <c r="O265" s="574" t="s">
        <v>2759</v>
      </c>
      <c r="P265" s="574" t="s">
        <v>2932</v>
      </c>
      <c r="Q265" s="574" t="s">
        <v>2234</v>
      </c>
      <c r="R265" s="574" t="s">
        <v>2225</v>
      </c>
      <c r="S265" s="574" t="s">
        <v>2235</v>
      </c>
      <c r="T265" s="574" t="s">
        <v>2236</v>
      </c>
      <c r="U265" s="574" t="s">
        <v>2554</v>
      </c>
      <c r="V265" s="574" t="s">
        <v>2238</v>
      </c>
      <c r="W265" s="574" t="s">
        <v>2239</v>
      </c>
      <c r="X265" s="574" t="s">
        <v>2555</v>
      </c>
      <c r="Y265" s="575" t="s">
        <v>2553</v>
      </c>
      <c r="Z265" s="575" t="s">
        <v>2553</v>
      </c>
      <c r="AA265" s="574" t="s">
        <v>1693</v>
      </c>
      <c r="AB265" s="574" t="s">
        <v>2319</v>
      </c>
      <c r="AC265" s="574" t="s">
        <v>2987</v>
      </c>
      <c r="AD265" s="574" t="s">
        <v>2988</v>
      </c>
      <c r="AE265" s="574" t="s">
        <v>1451</v>
      </c>
      <c r="AF265" s="574" t="s">
        <v>178</v>
      </c>
      <c r="AG265" s="576">
        <v>6372</v>
      </c>
    </row>
    <row r="266" spans="1:33" hidden="1" x14ac:dyDescent="0.25">
      <c r="A266" s="574" t="s">
        <v>2219</v>
      </c>
      <c r="B266" s="574" t="s">
        <v>2220</v>
      </c>
      <c r="C266" s="574" t="s">
        <v>2221</v>
      </c>
      <c r="D266" s="574" t="s">
        <v>2220</v>
      </c>
      <c r="E266" s="574" t="s">
        <v>2222</v>
      </c>
      <c r="F266" s="574" t="s">
        <v>2223</v>
      </c>
      <c r="G266" s="574" t="s">
        <v>2224</v>
      </c>
      <c r="H266" s="574" t="s">
        <v>2225</v>
      </c>
      <c r="I266" s="574" t="s">
        <v>2226</v>
      </c>
      <c r="J266" s="574" t="s">
        <v>2227</v>
      </c>
      <c r="K266" s="574" t="s">
        <v>2228</v>
      </c>
      <c r="L266" s="574" t="s">
        <v>2229</v>
      </c>
      <c r="M266" s="574" t="s">
        <v>2230</v>
      </c>
      <c r="N266" s="574" t="s">
        <v>2231</v>
      </c>
      <c r="O266" s="574" t="s">
        <v>2759</v>
      </c>
      <c r="P266" s="574" t="s">
        <v>2932</v>
      </c>
      <c r="Q266" s="574" t="s">
        <v>2234</v>
      </c>
      <c r="R266" s="574" t="s">
        <v>2225</v>
      </c>
      <c r="S266" s="574" t="s">
        <v>2235</v>
      </c>
      <c r="T266" s="574" t="s">
        <v>2236</v>
      </c>
      <c r="U266" s="574" t="s">
        <v>2450</v>
      </c>
      <c r="V266" s="574" t="s">
        <v>2238</v>
      </c>
      <c r="W266" s="574" t="s">
        <v>2239</v>
      </c>
      <c r="X266" s="574" t="s">
        <v>2451</v>
      </c>
      <c r="Y266" s="575" t="s">
        <v>2429</v>
      </c>
      <c r="Z266" s="575" t="s">
        <v>2429</v>
      </c>
      <c r="AA266" s="574" t="s">
        <v>1693</v>
      </c>
      <c r="AB266" s="574" t="s">
        <v>2319</v>
      </c>
      <c r="AC266" s="574" t="s">
        <v>3004</v>
      </c>
      <c r="AD266" s="574" t="s">
        <v>125</v>
      </c>
      <c r="AE266" s="574" t="s">
        <v>1655</v>
      </c>
      <c r="AF266" s="574" t="s">
        <v>125</v>
      </c>
      <c r="AG266" s="576">
        <v>7670</v>
      </c>
    </row>
    <row r="267" spans="1:33" hidden="1" x14ac:dyDescent="0.25">
      <c r="A267" s="574" t="s">
        <v>2219</v>
      </c>
      <c r="B267" s="574" t="s">
        <v>2220</v>
      </c>
      <c r="C267" s="574" t="s">
        <v>2221</v>
      </c>
      <c r="D267" s="574" t="s">
        <v>2220</v>
      </c>
      <c r="E267" s="574" t="s">
        <v>2222</v>
      </c>
      <c r="F267" s="574" t="s">
        <v>2223</v>
      </c>
      <c r="G267" s="574" t="s">
        <v>2224</v>
      </c>
      <c r="H267" s="574" t="s">
        <v>2225</v>
      </c>
      <c r="I267" s="574" t="s">
        <v>2226</v>
      </c>
      <c r="J267" s="574" t="s">
        <v>2227</v>
      </c>
      <c r="K267" s="574" t="s">
        <v>2228</v>
      </c>
      <c r="L267" s="574" t="s">
        <v>2229</v>
      </c>
      <c r="M267" s="574" t="s">
        <v>2230</v>
      </c>
      <c r="N267" s="574" t="s">
        <v>2231</v>
      </c>
      <c r="O267" s="574" t="s">
        <v>2759</v>
      </c>
      <c r="P267" s="574" t="s">
        <v>2932</v>
      </c>
      <c r="Q267" s="574" t="s">
        <v>2234</v>
      </c>
      <c r="R267" s="574" t="s">
        <v>2225</v>
      </c>
      <c r="S267" s="574" t="s">
        <v>2235</v>
      </c>
      <c r="T267" s="574" t="s">
        <v>2236</v>
      </c>
      <c r="U267" s="574" t="s">
        <v>2532</v>
      </c>
      <c r="V267" s="574" t="s">
        <v>2238</v>
      </c>
      <c r="W267" s="574" t="s">
        <v>2239</v>
      </c>
      <c r="X267" s="574" t="s">
        <v>2533</v>
      </c>
      <c r="Y267" s="575" t="s">
        <v>2531</v>
      </c>
      <c r="Z267" s="575" t="s">
        <v>2531</v>
      </c>
      <c r="AA267" s="574" t="s">
        <v>1693</v>
      </c>
      <c r="AB267" s="574" t="s">
        <v>2319</v>
      </c>
      <c r="AC267" s="574" t="s">
        <v>2987</v>
      </c>
      <c r="AD267" s="574" t="s">
        <v>2988</v>
      </c>
      <c r="AE267" s="574" t="s">
        <v>2989</v>
      </c>
      <c r="AF267" s="574" t="s">
        <v>2990</v>
      </c>
      <c r="AG267" s="576">
        <v>9676</v>
      </c>
    </row>
    <row r="268" spans="1:33" hidden="1" x14ac:dyDescent="0.25">
      <c r="A268" s="574" t="s">
        <v>2219</v>
      </c>
      <c r="B268" s="574" t="s">
        <v>2220</v>
      </c>
      <c r="C268" s="574" t="s">
        <v>2221</v>
      </c>
      <c r="D268" s="574" t="s">
        <v>2220</v>
      </c>
      <c r="E268" s="574" t="s">
        <v>2222</v>
      </c>
      <c r="F268" s="574" t="s">
        <v>2223</v>
      </c>
      <c r="G268" s="574" t="s">
        <v>2224</v>
      </c>
      <c r="H268" s="574" t="s">
        <v>2225</v>
      </c>
      <c r="I268" s="574" t="s">
        <v>2226</v>
      </c>
      <c r="J268" s="574" t="s">
        <v>2227</v>
      </c>
      <c r="K268" s="574" t="s">
        <v>2228</v>
      </c>
      <c r="L268" s="574" t="s">
        <v>2229</v>
      </c>
      <c r="M268" s="574" t="s">
        <v>2230</v>
      </c>
      <c r="N268" s="574" t="s">
        <v>2231</v>
      </c>
      <c r="O268" s="574" t="s">
        <v>2759</v>
      </c>
      <c r="P268" s="574" t="s">
        <v>2932</v>
      </c>
      <c r="Q268" s="574" t="s">
        <v>2234</v>
      </c>
      <c r="R268" s="574" t="s">
        <v>2225</v>
      </c>
      <c r="S268" s="574" t="s">
        <v>2235</v>
      </c>
      <c r="T268" s="574" t="s">
        <v>2236</v>
      </c>
      <c r="U268" s="574" t="s">
        <v>3087</v>
      </c>
      <c r="V268" s="574" t="s">
        <v>2238</v>
      </c>
      <c r="W268" s="574" t="s">
        <v>2239</v>
      </c>
      <c r="X268" s="574" t="s">
        <v>3088</v>
      </c>
      <c r="Y268" s="575" t="s">
        <v>3070</v>
      </c>
      <c r="Z268" s="575" t="s">
        <v>3070</v>
      </c>
      <c r="AA268" s="574" t="s">
        <v>1693</v>
      </c>
      <c r="AB268" s="574" t="s">
        <v>2319</v>
      </c>
      <c r="AC268" s="574" t="s">
        <v>2320</v>
      </c>
      <c r="AD268" s="574" t="s">
        <v>2321</v>
      </c>
      <c r="AE268" s="574" t="s">
        <v>1446</v>
      </c>
      <c r="AF268" s="574" t="s">
        <v>2321</v>
      </c>
      <c r="AG268" s="576">
        <v>10553.92</v>
      </c>
    </row>
    <row r="269" spans="1:33" hidden="1" x14ac:dyDescent="0.25">
      <c r="A269" s="574" t="s">
        <v>2219</v>
      </c>
      <c r="B269" s="574" t="s">
        <v>2220</v>
      </c>
      <c r="C269" s="574" t="s">
        <v>2221</v>
      </c>
      <c r="D269" s="574" t="s">
        <v>2220</v>
      </c>
      <c r="E269" s="574" t="s">
        <v>2222</v>
      </c>
      <c r="F269" s="574" t="s">
        <v>2223</v>
      </c>
      <c r="G269" s="574" t="s">
        <v>2224</v>
      </c>
      <c r="H269" s="574" t="s">
        <v>2225</v>
      </c>
      <c r="I269" s="574" t="s">
        <v>2226</v>
      </c>
      <c r="J269" s="574" t="s">
        <v>2227</v>
      </c>
      <c r="K269" s="574" t="s">
        <v>2228</v>
      </c>
      <c r="L269" s="574" t="s">
        <v>2229</v>
      </c>
      <c r="M269" s="574" t="s">
        <v>2230</v>
      </c>
      <c r="N269" s="574" t="s">
        <v>2231</v>
      </c>
      <c r="O269" s="574" t="s">
        <v>2759</v>
      </c>
      <c r="P269" s="574" t="s">
        <v>2932</v>
      </c>
      <c r="Q269" s="574" t="s">
        <v>2234</v>
      </c>
      <c r="R269" s="574" t="s">
        <v>2225</v>
      </c>
      <c r="S269" s="574" t="s">
        <v>2235</v>
      </c>
      <c r="T269" s="574" t="s">
        <v>2236</v>
      </c>
      <c r="U269" s="574" t="s">
        <v>3296</v>
      </c>
      <c r="V269" s="574" t="s">
        <v>2238</v>
      </c>
      <c r="W269" s="574" t="s">
        <v>2239</v>
      </c>
      <c r="X269" s="574" t="s">
        <v>3297</v>
      </c>
      <c r="Y269" s="575" t="s">
        <v>2599</v>
      </c>
      <c r="Z269" s="575" t="s">
        <v>2599</v>
      </c>
      <c r="AA269" s="574" t="s">
        <v>1693</v>
      </c>
      <c r="AB269" s="574" t="s">
        <v>2319</v>
      </c>
      <c r="AC269" s="574" t="s">
        <v>2962</v>
      </c>
      <c r="AD269" s="574" t="s">
        <v>126</v>
      </c>
      <c r="AE269" s="574" t="s">
        <v>1522</v>
      </c>
      <c r="AF269" s="574" t="s">
        <v>126</v>
      </c>
      <c r="AG269" s="576">
        <v>11894.4</v>
      </c>
    </row>
    <row r="270" spans="1:33" hidden="1" x14ac:dyDescent="0.25">
      <c r="A270" s="574" t="s">
        <v>2219</v>
      </c>
      <c r="B270" s="574" t="s">
        <v>2220</v>
      </c>
      <c r="C270" s="574" t="s">
        <v>2221</v>
      </c>
      <c r="D270" s="574" t="s">
        <v>2220</v>
      </c>
      <c r="E270" s="574" t="s">
        <v>2222</v>
      </c>
      <c r="F270" s="574" t="s">
        <v>2223</v>
      </c>
      <c r="G270" s="574" t="s">
        <v>2224</v>
      </c>
      <c r="H270" s="574" t="s">
        <v>2225</v>
      </c>
      <c r="I270" s="574" t="s">
        <v>2226</v>
      </c>
      <c r="J270" s="574" t="s">
        <v>2227</v>
      </c>
      <c r="K270" s="574" t="s">
        <v>2228</v>
      </c>
      <c r="L270" s="574" t="s">
        <v>2229</v>
      </c>
      <c r="M270" s="574" t="s">
        <v>2230</v>
      </c>
      <c r="N270" s="574" t="s">
        <v>2231</v>
      </c>
      <c r="O270" s="574" t="s">
        <v>2759</v>
      </c>
      <c r="P270" s="574" t="s">
        <v>2932</v>
      </c>
      <c r="Q270" s="574" t="s">
        <v>2234</v>
      </c>
      <c r="R270" s="574" t="s">
        <v>2225</v>
      </c>
      <c r="S270" s="574" t="s">
        <v>2235</v>
      </c>
      <c r="T270" s="574" t="s">
        <v>2236</v>
      </c>
      <c r="U270" s="574" t="s">
        <v>2947</v>
      </c>
      <c r="V270" s="574" t="s">
        <v>2238</v>
      </c>
      <c r="W270" s="574" t="s">
        <v>2239</v>
      </c>
      <c r="X270" s="574" t="s">
        <v>2948</v>
      </c>
      <c r="Y270" s="575" t="s">
        <v>2424</v>
      </c>
      <c r="Z270" s="575" t="s">
        <v>2424</v>
      </c>
      <c r="AA270" s="574" t="s">
        <v>1693</v>
      </c>
      <c r="AB270" s="574" t="s">
        <v>2319</v>
      </c>
      <c r="AC270" s="574" t="s">
        <v>2962</v>
      </c>
      <c r="AD270" s="574" t="s">
        <v>126</v>
      </c>
      <c r="AE270" s="574" t="s">
        <v>1522</v>
      </c>
      <c r="AF270" s="574" t="s">
        <v>126</v>
      </c>
      <c r="AG270" s="576">
        <v>13452</v>
      </c>
    </row>
    <row r="271" spans="1:33" hidden="1" x14ac:dyDescent="0.25">
      <c r="A271" s="574" t="s">
        <v>2219</v>
      </c>
      <c r="B271" s="574" t="s">
        <v>2220</v>
      </c>
      <c r="C271" s="574" t="s">
        <v>2221</v>
      </c>
      <c r="D271" s="574" t="s">
        <v>2220</v>
      </c>
      <c r="E271" s="574" t="s">
        <v>2222</v>
      </c>
      <c r="F271" s="574" t="s">
        <v>2223</v>
      </c>
      <c r="G271" s="574" t="s">
        <v>2224</v>
      </c>
      <c r="H271" s="574" t="s">
        <v>2225</v>
      </c>
      <c r="I271" s="574" t="s">
        <v>2226</v>
      </c>
      <c r="J271" s="574" t="s">
        <v>2227</v>
      </c>
      <c r="K271" s="574" t="s">
        <v>2228</v>
      </c>
      <c r="L271" s="574" t="s">
        <v>2229</v>
      </c>
      <c r="M271" s="574" t="s">
        <v>2230</v>
      </c>
      <c r="N271" s="574" t="s">
        <v>2231</v>
      </c>
      <c r="O271" s="574" t="s">
        <v>2232</v>
      </c>
      <c r="P271" s="574" t="s">
        <v>2233</v>
      </c>
      <c r="Q271" s="574" t="s">
        <v>2234</v>
      </c>
      <c r="R271" s="574" t="s">
        <v>2225</v>
      </c>
      <c r="S271" s="574" t="s">
        <v>2235</v>
      </c>
      <c r="T271" s="574" t="s">
        <v>2236</v>
      </c>
      <c r="U271" s="574" t="s">
        <v>2558</v>
      </c>
      <c r="V271" s="574" t="s">
        <v>2238</v>
      </c>
      <c r="W271" s="574" t="s">
        <v>2239</v>
      </c>
      <c r="X271" s="574" t="s">
        <v>2559</v>
      </c>
      <c r="Y271" s="575" t="s">
        <v>2553</v>
      </c>
      <c r="Z271" s="575" t="s">
        <v>2553</v>
      </c>
      <c r="AA271" s="574" t="s">
        <v>1693</v>
      </c>
      <c r="AB271" s="574" t="s">
        <v>2319</v>
      </c>
      <c r="AC271" s="574" t="s">
        <v>2320</v>
      </c>
      <c r="AD271" s="574" t="s">
        <v>2321</v>
      </c>
      <c r="AE271" s="574" t="s">
        <v>1446</v>
      </c>
      <c r="AF271" s="574" t="s">
        <v>2321</v>
      </c>
      <c r="AG271" s="576">
        <v>13688</v>
      </c>
    </row>
    <row r="272" spans="1:33" hidden="1" x14ac:dyDescent="0.25">
      <c r="A272" s="574" t="s">
        <v>2219</v>
      </c>
      <c r="B272" s="574" t="s">
        <v>2220</v>
      </c>
      <c r="C272" s="574" t="s">
        <v>2221</v>
      </c>
      <c r="D272" s="574" t="s">
        <v>2220</v>
      </c>
      <c r="E272" s="574" t="s">
        <v>2222</v>
      </c>
      <c r="F272" s="574" t="s">
        <v>2223</v>
      </c>
      <c r="G272" s="574" t="s">
        <v>2224</v>
      </c>
      <c r="H272" s="574" t="s">
        <v>2225</v>
      </c>
      <c r="I272" s="574" t="s">
        <v>2226</v>
      </c>
      <c r="J272" s="574" t="s">
        <v>2227</v>
      </c>
      <c r="K272" s="574" t="s">
        <v>2228</v>
      </c>
      <c r="L272" s="574" t="s">
        <v>2229</v>
      </c>
      <c r="M272" s="574" t="s">
        <v>2230</v>
      </c>
      <c r="N272" s="574" t="s">
        <v>2231</v>
      </c>
      <c r="O272" s="574" t="s">
        <v>2759</v>
      </c>
      <c r="P272" s="574" t="s">
        <v>2932</v>
      </c>
      <c r="Q272" s="574" t="s">
        <v>2234</v>
      </c>
      <c r="R272" s="574" t="s">
        <v>2225</v>
      </c>
      <c r="S272" s="574" t="s">
        <v>2235</v>
      </c>
      <c r="T272" s="574" t="s">
        <v>2236</v>
      </c>
      <c r="U272" s="574" t="s">
        <v>3085</v>
      </c>
      <c r="V272" s="574" t="s">
        <v>2238</v>
      </c>
      <c r="W272" s="574" t="s">
        <v>2239</v>
      </c>
      <c r="X272" s="574" t="s">
        <v>3086</v>
      </c>
      <c r="Y272" s="575" t="s">
        <v>3070</v>
      </c>
      <c r="Z272" s="575" t="s">
        <v>3070</v>
      </c>
      <c r="AA272" s="574" t="s">
        <v>1693</v>
      </c>
      <c r="AB272" s="574" t="s">
        <v>2319</v>
      </c>
      <c r="AC272" s="574" t="s">
        <v>2320</v>
      </c>
      <c r="AD272" s="574" t="s">
        <v>2321</v>
      </c>
      <c r="AE272" s="574" t="s">
        <v>1446</v>
      </c>
      <c r="AF272" s="574" t="s">
        <v>2321</v>
      </c>
      <c r="AG272" s="576">
        <v>15557.41</v>
      </c>
    </row>
    <row r="273" spans="1:33" hidden="1" x14ac:dyDescent="0.25">
      <c r="A273" s="574" t="s">
        <v>2219</v>
      </c>
      <c r="B273" s="574" t="s">
        <v>2220</v>
      </c>
      <c r="C273" s="574" t="s">
        <v>2221</v>
      </c>
      <c r="D273" s="574" t="s">
        <v>2220</v>
      </c>
      <c r="E273" s="574" t="s">
        <v>2222</v>
      </c>
      <c r="F273" s="574" t="s">
        <v>2223</v>
      </c>
      <c r="G273" s="574" t="s">
        <v>2224</v>
      </c>
      <c r="H273" s="574" t="s">
        <v>2225</v>
      </c>
      <c r="I273" s="574" t="s">
        <v>2226</v>
      </c>
      <c r="J273" s="574" t="s">
        <v>2227</v>
      </c>
      <c r="K273" s="574" t="s">
        <v>2228</v>
      </c>
      <c r="L273" s="574" t="s">
        <v>2229</v>
      </c>
      <c r="M273" s="574" t="s">
        <v>2230</v>
      </c>
      <c r="N273" s="574" t="s">
        <v>2231</v>
      </c>
      <c r="O273" s="574" t="s">
        <v>2759</v>
      </c>
      <c r="P273" s="574" t="s">
        <v>2932</v>
      </c>
      <c r="Q273" s="574" t="s">
        <v>2234</v>
      </c>
      <c r="R273" s="574" t="s">
        <v>2225</v>
      </c>
      <c r="S273" s="574" t="s">
        <v>2235</v>
      </c>
      <c r="T273" s="574" t="s">
        <v>2236</v>
      </c>
      <c r="U273" s="574" t="s">
        <v>3071</v>
      </c>
      <c r="V273" s="574" t="s">
        <v>2238</v>
      </c>
      <c r="W273" s="574" t="s">
        <v>2239</v>
      </c>
      <c r="X273" s="574" t="s">
        <v>3072</v>
      </c>
      <c r="Y273" s="575" t="s">
        <v>3070</v>
      </c>
      <c r="Z273" s="575" t="s">
        <v>3070</v>
      </c>
      <c r="AA273" s="574" t="s">
        <v>1693</v>
      </c>
      <c r="AB273" s="574" t="s">
        <v>2319</v>
      </c>
      <c r="AC273" s="574" t="s">
        <v>2962</v>
      </c>
      <c r="AD273" s="574" t="s">
        <v>126</v>
      </c>
      <c r="AE273" s="574" t="s">
        <v>1522</v>
      </c>
      <c r="AF273" s="574" t="s">
        <v>126</v>
      </c>
      <c r="AG273" s="576">
        <v>15635</v>
      </c>
    </row>
    <row r="274" spans="1:33" hidden="1" x14ac:dyDescent="0.25">
      <c r="A274" s="574" t="s">
        <v>2219</v>
      </c>
      <c r="B274" s="574" t="s">
        <v>2220</v>
      </c>
      <c r="C274" s="574" t="s">
        <v>2221</v>
      </c>
      <c r="D274" s="574" t="s">
        <v>2220</v>
      </c>
      <c r="E274" s="574" t="s">
        <v>2222</v>
      </c>
      <c r="F274" s="574" t="s">
        <v>2223</v>
      </c>
      <c r="G274" s="574" t="s">
        <v>2224</v>
      </c>
      <c r="H274" s="574" t="s">
        <v>2225</v>
      </c>
      <c r="I274" s="574" t="s">
        <v>2226</v>
      </c>
      <c r="J274" s="574" t="s">
        <v>2227</v>
      </c>
      <c r="K274" s="574" t="s">
        <v>2228</v>
      </c>
      <c r="L274" s="574" t="s">
        <v>2229</v>
      </c>
      <c r="M274" s="574" t="s">
        <v>2230</v>
      </c>
      <c r="N274" s="574" t="s">
        <v>2231</v>
      </c>
      <c r="O274" s="574" t="s">
        <v>2759</v>
      </c>
      <c r="P274" s="574" t="s">
        <v>2932</v>
      </c>
      <c r="Q274" s="574" t="s">
        <v>2234</v>
      </c>
      <c r="R274" s="574" t="s">
        <v>2225</v>
      </c>
      <c r="S274" s="574" t="s">
        <v>2235</v>
      </c>
      <c r="T274" s="574" t="s">
        <v>2236</v>
      </c>
      <c r="U274" s="574" t="s">
        <v>2972</v>
      </c>
      <c r="V274" s="574" t="s">
        <v>2238</v>
      </c>
      <c r="W274" s="574" t="s">
        <v>2239</v>
      </c>
      <c r="X274" s="574" t="s">
        <v>2973</v>
      </c>
      <c r="Y274" s="575" t="s">
        <v>2424</v>
      </c>
      <c r="Z274" s="575" t="s">
        <v>2424</v>
      </c>
      <c r="AA274" s="574" t="s">
        <v>1693</v>
      </c>
      <c r="AB274" s="574" t="s">
        <v>2319</v>
      </c>
      <c r="AC274" s="574" t="s">
        <v>2962</v>
      </c>
      <c r="AD274" s="574" t="s">
        <v>126</v>
      </c>
      <c r="AE274" s="574" t="s">
        <v>1522</v>
      </c>
      <c r="AF274" s="574" t="s">
        <v>126</v>
      </c>
      <c r="AG274" s="576">
        <v>17683.48</v>
      </c>
    </row>
    <row r="275" spans="1:33" hidden="1" x14ac:dyDescent="0.25">
      <c r="A275" s="574" t="s">
        <v>2219</v>
      </c>
      <c r="B275" s="574" t="s">
        <v>2220</v>
      </c>
      <c r="C275" s="574" t="s">
        <v>2221</v>
      </c>
      <c r="D275" s="574" t="s">
        <v>2220</v>
      </c>
      <c r="E275" s="574" t="s">
        <v>2222</v>
      </c>
      <c r="F275" s="574" t="s">
        <v>2223</v>
      </c>
      <c r="G275" s="574" t="s">
        <v>2224</v>
      </c>
      <c r="H275" s="574" t="s">
        <v>2225</v>
      </c>
      <c r="I275" s="574" t="s">
        <v>2226</v>
      </c>
      <c r="J275" s="574" t="s">
        <v>2227</v>
      </c>
      <c r="K275" s="574" t="s">
        <v>2228</v>
      </c>
      <c r="L275" s="574" t="s">
        <v>2229</v>
      </c>
      <c r="M275" s="574" t="s">
        <v>2230</v>
      </c>
      <c r="N275" s="574" t="s">
        <v>2231</v>
      </c>
      <c r="O275" s="574" t="s">
        <v>2232</v>
      </c>
      <c r="P275" s="574" t="s">
        <v>2233</v>
      </c>
      <c r="Q275" s="574" t="s">
        <v>2234</v>
      </c>
      <c r="R275" s="574" t="s">
        <v>2225</v>
      </c>
      <c r="S275" s="574" t="s">
        <v>2235</v>
      </c>
      <c r="T275" s="574" t="s">
        <v>2236</v>
      </c>
      <c r="U275" s="574" t="s">
        <v>2422</v>
      </c>
      <c r="V275" s="574" t="s">
        <v>2238</v>
      </c>
      <c r="W275" s="574" t="s">
        <v>2239</v>
      </c>
      <c r="X275" s="574" t="s">
        <v>2423</v>
      </c>
      <c r="Y275" s="575" t="s">
        <v>2424</v>
      </c>
      <c r="Z275" s="575" t="s">
        <v>2424</v>
      </c>
      <c r="AA275" s="574" t="s">
        <v>1693</v>
      </c>
      <c r="AB275" s="574" t="s">
        <v>2319</v>
      </c>
      <c r="AC275" s="574" t="s">
        <v>2320</v>
      </c>
      <c r="AD275" s="574" t="s">
        <v>2321</v>
      </c>
      <c r="AE275" s="574" t="s">
        <v>1446</v>
      </c>
      <c r="AF275" s="574" t="s">
        <v>2321</v>
      </c>
      <c r="AG275" s="576">
        <v>19769.72</v>
      </c>
    </row>
    <row r="276" spans="1:33" hidden="1" x14ac:dyDescent="0.25">
      <c r="A276" s="574" t="s">
        <v>2219</v>
      </c>
      <c r="B276" s="574" t="s">
        <v>2220</v>
      </c>
      <c r="C276" s="574" t="s">
        <v>2221</v>
      </c>
      <c r="D276" s="574" t="s">
        <v>2220</v>
      </c>
      <c r="E276" s="574" t="s">
        <v>2222</v>
      </c>
      <c r="F276" s="574" t="s">
        <v>2223</v>
      </c>
      <c r="G276" s="574" t="s">
        <v>2224</v>
      </c>
      <c r="H276" s="574" t="s">
        <v>2225</v>
      </c>
      <c r="I276" s="574" t="s">
        <v>2226</v>
      </c>
      <c r="J276" s="574" t="s">
        <v>2227</v>
      </c>
      <c r="K276" s="574" t="s">
        <v>2228</v>
      </c>
      <c r="L276" s="574" t="s">
        <v>2229</v>
      </c>
      <c r="M276" s="574" t="s">
        <v>2230</v>
      </c>
      <c r="N276" s="574" t="s">
        <v>2231</v>
      </c>
      <c r="O276" s="574" t="s">
        <v>2759</v>
      </c>
      <c r="P276" s="574" t="s">
        <v>2932</v>
      </c>
      <c r="Q276" s="574" t="s">
        <v>2234</v>
      </c>
      <c r="R276" s="574" t="s">
        <v>2225</v>
      </c>
      <c r="S276" s="574" t="s">
        <v>2235</v>
      </c>
      <c r="T276" s="574" t="s">
        <v>2236</v>
      </c>
      <c r="U276" s="574" t="s">
        <v>3051</v>
      </c>
      <c r="V276" s="574" t="s">
        <v>2238</v>
      </c>
      <c r="W276" s="574" t="s">
        <v>2239</v>
      </c>
      <c r="X276" s="574" t="s">
        <v>3052</v>
      </c>
      <c r="Y276" s="575" t="s">
        <v>2474</v>
      </c>
      <c r="Z276" s="575" t="s">
        <v>2474</v>
      </c>
      <c r="AA276" s="574" t="s">
        <v>1693</v>
      </c>
      <c r="AB276" s="574" t="s">
        <v>2319</v>
      </c>
      <c r="AC276" s="574" t="s">
        <v>2320</v>
      </c>
      <c r="AD276" s="574" t="s">
        <v>2321</v>
      </c>
      <c r="AE276" s="574" t="s">
        <v>1446</v>
      </c>
      <c r="AF276" s="574" t="s">
        <v>2321</v>
      </c>
      <c r="AG276" s="576">
        <v>19925.009999999998</v>
      </c>
    </row>
    <row r="277" spans="1:33" hidden="1" x14ac:dyDescent="0.25">
      <c r="A277" s="574" t="s">
        <v>2219</v>
      </c>
      <c r="B277" s="574" t="s">
        <v>2220</v>
      </c>
      <c r="C277" s="574" t="s">
        <v>2221</v>
      </c>
      <c r="D277" s="574" t="s">
        <v>2220</v>
      </c>
      <c r="E277" s="574" t="s">
        <v>2222</v>
      </c>
      <c r="F277" s="574" t="s">
        <v>2223</v>
      </c>
      <c r="G277" s="574" t="s">
        <v>2224</v>
      </c>
      <c r="H277" s="574" t="s">
        <v>2225</v>
      </c>
      <c r="I277" s="574" t="s">
        <v>2226</v>
      </c>
      <c r="J277" s="574" t="s">
        <v>2227</v>
      </c>
      <c r="K277" s="574" t="s">
        <v>2228</v>
      </c>
      <c r="L277" s="574" t="s">
        <v>2229</v>
      </c>
      <c r="M277" s="574" t="s">
        <v>2230</v>
      </c>
      <c r="N277" s="574" t="s">
        <v>2231</v>
      </c>
      <c r="O277" s="574" t="s">
        <v>2759</v>
      </c>
      <c r="P277" s="574" t="s">
        <v>2932</v>
      </c>
      <c r="Q277" s="574" t="s">
        <v>2234</v>
      </c>
      <c r="R277" s="574" t="s">
        <v>2225</v>
      </c>
      <c r="S277" s="574" t="s">
        <v>2235</v>
      </c>
      <c r="T277" s="574" t="s">
        <v>2236</v>
      </c>
      <c r="U277" s="574" t="s">
        <v>3192</v>
      </c>
      <c r="V277" s="574" t="s">
        <v>2238</v>
      </c>
      <c r="W277" s="574" t="s">
        <v>2239</v>
      </c>
      <c r="X277" s="574" t="s">
        <v>3193</v>
      </c>
      <c r="Y277" s="575" t="s">
        <v>2553</v>
      </c>
      <c r="Z277" s="575" t="s">
        <v>2553</v>
      </c>
      <c r="AA277" s="574" t="s">
        <v>1693</v>
      </c>
      <c r="AB277" s="574" t="s">
        <v>2319</v>
      </c>
      <c r="AC277" s="574" t="s">
        <v>3194</v>
      </c>
      <c r="AD277" s="574" t="s">
        <v>3195</v>
      </c>
      <c r="AE277" s="574" t="s">
        <v>3196</v>
      </c>
      <c r="AF277" s="574" t="s">
        <v>3195</v>
      </c>
      <c r="AG277" s="576">
        <v>21240</v>
      </c>
    </row>
    <row r="278" spans="1:33" hidden="1" x14ac:dyDescent="0.25">
      <c r="A278" s="574" t="s">
        <v>2219</v>
      </c>
      <c r="B278" s="574" t="s">
        <v>2220</v>
      </c>
      <c r="C278" s="574" t="s">
        <v>2221</v>
      </c>
      <c r="D278" s="574" t="s">
        <v>2220</v>
      </c>
      <c r="E278" s="574" t="s">
        <v>2222</v>
      </c>
      <c r="F278" s="574" t="s">
        <v>2223</v>
      </c>
      <c r="G278" s="574" t="s">
        <v>2224</v>
      </c>
      <c r="H278" s="574" t="s">
        <v>2225</v>
      </c>
      <c r="I278" s="574" t="s">
        <v>2226</v>
      </c>
      <c r="J278" s="574" t="s">
        <v>2227</v>
      </c>
      <c r="K278" s="574" t="s">
        <v>2228</v>
      </c>
      <c r="L278" s="574" t="s">
        <v>2229</v>
      </c>
      <c r="M278" s="574" t="s">
        <v>2230</v>
      </c>
      <c r="N278" s="574" t="s">
        <v>2231</v>
      </c>
      <c r="O278" s="574" t="s">
        <v>2759</v>
      </c>
      <c r="P278" s="574" t="s">
        <v>2932</v>
      </c>
      <c r="Q278" s="574" t="s">
        <v>2234</v>
      </c>
      <c r="R278" s="574" t="s">
        <v>2225</v>
      </c>
      <c r="S278" s="574" t="s">
        <v>2235</v>
      </c>
      <c r="T278" s="574" t="s">
        <v>2236</v>
      </c>
      <c r="U278" s="574" t="s">
        <v>3292</v>
      </c>
      <c r="V278" s="574" t="s">
        <v>2238</v>
      </c>
      <c r="W278" s="574" t="s">
        <v>2239</v>
      </c>
      <c r="X278" s="574" t="s">
        <v>3293</v>
      </c>
      <c r="Y278" s="575" t="s">
        <v>2596</v>
      </c>
      <c r="Z278" s="575" t="s">
        <v>2596</v>
      </c>
      <c r="AA278" s="574" t="s">
        <v>1693</v>
      </c>
      <c r="AB278" s="574" t="s">
        <v>2319</v>
      </c>
      <c r="AC278" s="574" t="s">
        <v>2320</v>
      </c>
      <c r="AD278" s="574" t="s">
        <v>2321</v>
      </c>
      <c r="AE278" s="574" t="s">
        <v>1446</v>
      </c>
      <c r="AF278" s="574" t="s">
        <v>2321</v>
      </c>
      <c r="AG278" s="576">
        <v>21505.5</v>
      </c>
    </row>
    <row r="279" spans="1:33" hidden="1" x14ac:dyDescent="0.25">
      <c r="A279" s="574" t="s">
        <v>2219</v>
      </c>
      <c r="B279" s="574" t="s">
        <v>2220</v>
      </c>
      <c r="C279" s="574" t="s">
        <v>2221</v>
      </c>
      <c r="D279" s="574" t="s">
        <v>2220</v>
      </c>
      <c r="E279" s="574" t="s">
        <v>2222</v>
      </c>
      <c r="F279" s="574" t="s">
        <v>2223</v>
      </c>
      <c r="G279" s="574" t="s">
        <v>2224</v>
      </c>
      <c r="H279" s="574" t="s">
        <v>2225</v>
      </c>
      <c r="I279" s="574" t="s">
        <v>2226</v>
      </c>
      <c r="J279" s="574" t="s">
        <v>2227</v>
      </c>
      <c r="K279" s="574" t="s">
        <v>2228</v>
      </c>
      <c r="L279" s="574" t="s">
        <v>2229</v>
      </c>
      <c r="M279" s="574" t="s">
        <v>2230</v>
      </c>
      <c r="N279" s="574" t="s">
        <v>2231</v>
      </c>
      <c r="O279" s="574" t="s">
        <v>2759</v>
      </c>
      <c r="P279" s="574" t="s">
        <v>2932</v>
      </c>
      <c r="Q279" s="574" t="s">
        <v>2234</v>
      </c>
      <c r="R279" s="574" t="s">
        <v>2225</v>
      </c>
      <c r="S279" s="574" t="s">
        <v>2235</v>
      </c>
      <c r="T279" s="574" t="s">
        <v>2236</v>
      </c>
      <c r="U279" s="574" t="s">
        <v>2635</v>
      </c>
      <c r="V279" s="574" t="s">
        <v>2238</v>
      </c>
      <c r="W279" s="574" t="s">
        <v>2239</v>
      </c>
      <c r="X279" s="574" t="s">
        <v>2636</v>
      </c>
      <c r="Y279" s="575" t="s">
        <v>2634</v>
      </c>
      <c r="Z279" s="575" t="s">
        <v>2634</v>
      </c>
      <c r="AA279" s="574" t="s">
        <v>1693</v>
      </c>
      <c r="AB279" s="574" t="s">
        <v>2319</v>
      </c>
      <c r="AC279" s="574" t="s">
        <v>2320</v>
      </c>
      <c r="AD279" s="574" t="s">
        <v>2321</v>
      </c>
      <c r="AE279" s="574" t="s">
        <v>1446</v>
      </c>
      <c r="AF279" s="574" t="s">
        <v>2321</v>
      </c>
      <c r="AG279" s="576">
        <v>21830</v>
      </c>
    </row>
    <row r="280" spans="1:33" hidden="1" x14ac:dyDescent="0.25">
      <c r="A280" s="574" t="s">
        <v>2219</v>
      </c>
      <c r="B280" s="574" t="s">
        <v>2220</v>
      </c>
      <c r="C280" s="574" t="s">
        <v>2221</v>
      </c>
      <c r="D280" s="574" t="s">
        <v>2220</v>
      </c>
      <c r="E280" s="574" t="s">
        <v>2222</v>
      </c>
      <c r="F280" s="574" t="s">
        <v>2223</v>
      </c>
      <c r="G280" s="574" t="s">
        <v>2224</v>
      </c>
      <c r="H280" s="574" t="s">
        <v>2225</v>
      </c>
      <c r="I280" s="574" t="s">
        <v>2226</v>
      </c>
      <c r="J280" s="574" t="s">
        <v>2227</v>
      </c>
      <c r="K280" s="574" t="s">
        <v>2228</v>
      </c>
      <c r="L280" s="574" t="s">
        <v>2229</v>
      </c>
      <c r="M280" s="574" t="s">
        <v>2230</v>
      </c>
      <c r="N280" s="574" t="s">
        <v>2231</v>
      </c>
      <c r="O280" s="574" t="s">
        <v>2759</v>
      </c>
      <c r="P280" s="574" t="s">
        <v>2932</v>
      </c>
      <c r="Q280" s="574" t="s">
        <v>2234</v>
      </c>
      <c r="R280" s="574" t="s">
        <v>2225</v>
      </c>
      <c r="S280" s="574" t="s">
        <v>2235</v>
      </c>
      <c r="T280" s="574" t="s">
        <v>2236</v>
      </c>
      <c r="U280" s="574" t="s">
        <v>3259</v>
      </c>
      <c r="V280" s="574" t="s">
        <v>2238</v>
      </c>
      <c r="W280" s="574" t="s">
        <v>2239</v>
      </c>
      <c r="X280" s="574" t="s">
        <v>3260</v>
      </c>
      <c r="Y280" s="575" t="s">
        <v>2586</v>
      </c>
      <c r="Z280" s="575" t="s">
        <v>2586</v>
      </c>
      <c r="AA280" s="574" t="s">
        <v>1693</v>
      </c>
      <c r="AB280" s="574" t="s">
        <v>2319</v>
      </c>
      <c r="AC280" s="574" t="s">
        <v>2320</v>
      </c>
      <c r="AD280" s="574" t="s">
        <v>2321</v>
      </c>
      <c r="AE280" s="574" t="s">
        <v>1446</v>
      </c>
      <c r="AF280" s="574" t="s">
        <v>2321</v>
      </c>
      <c r="AG280" s="576">
        <v>22254.799999999999</v>
      </c>
    </row>
    <row r="281" spans="1:33" hidden="1" x14ac:dyDescent="0.25">
      <c r="A281" s="574" t="s">
        <v>2219</v>
      </c>
      <c r="B281" s="574" t="s">
        <v>2220</v>
      </c>
      <c r="C281" s="574" t="s">
        <v>2221</v>
      </c>
      <c r="D281" s="574" t="s">
        <v>2220</v>
      </c>
      <c r="E281" s="574" t="s">
        <v>2222</v>
      </c>
      <c r="F281" s="574" t="s">
        <v>2223</v>
      </c>
      <c r="G281" s="574" t="s">
        <v>2224</v>
      </c>
      <c r="H281" s="574" t="s">
        <v>2225</v>
      </c>
      <c r="I281" s="574" t="s">
        <v>2226</v>
      </c>
      <c r="J281" s="574" t="s">
        <v>2227</v>
      </c>
      <c r="K281" s="574" t="s">
        <v>2228</v>
      </c>
      <c r="L281" s="574" t="s">
        <v>2229</v>
      </c>
      <c r="M281" s="574" t="s">
        <v>2230</v>
      </c>
      <c r="N281" s="574" t="s">
        <v>2231</v>
      </c>
      <c r="O281" s="574" t="s">
        <v>2232</v>
      </c>
      <c r="P281" s="574" t="s">
        <v>2233</v>
      </c>
      <c r="Q281" s="574" t="s">
        <v>2234</v>
      </c>
      <c r="R281" s="574" t="s">
        <v>2225</v>
      </c>
      <c r="S281" s="574" t="s">
        <v>2235</v>
      </c>
      <c r="T281" s="574" t="s">
        <v>2236</v>
      </c>
      <c r="U281" s="574" t="s">
        <v>2639</v>
      </c>
      <c r="V281" s="574" t="s">
        <v>2238</v>
      </c>
      <c r="W281" s="574" t="s">
        <v>2239</v>
      </c>
      <c r="X281" s="574" t="s">
        <v>2640</v>
      </c>
      <c r="Y281" s="575" t="s">
        <v>2641</v>
      </c>
      <c r="Z281" s="575" t="s">
        <v>2641</v>
      </c>
      <c r="AA281" s="574" t="s">
        <v>1693</v>
      </c>
      <c r="AB281" s="574" t="s">
        <v>2319</v>
      </c>
      <c r="AC281" s="574" t="s">
        <v>2402</v>
      </c>
      <c r="AD281" s="574" t="s">
        <v>2403</v>
      </c>
      <c r="AE281" s="574" t="s">
        <v>1486</v>
      </c>
      <c r="AF281" s="574" t="s">
        <v>2403</v>
      </c>
      <c r="AG281" s="576">
        <v>22694</v>
      </c>
    </row>
    <row r="282" spans="1:33" hidden="1" x14ac:dyDescent="0.25">
      <c r="A282" s="574" t="s">
        <v>2219</v>
      </c>
      <c r="B282" s="574" t="s">
        <v>2220</v>
      </c>
      <c r="C282" s="574" t="s">
        <v>2221</v>
      </c>
      <c r="D282" s="574" t="s">
        <v>2220</v>
      </c>
      <c r="E282" s="574" t="s">
        <v>2222</v>
      </c>
      <c r="F282" s="574" t="s">
        <v>2223</v>
      </c>
      <c r="G282" s="574" t="s">
        <v>2224</v>
      </c>
      <c r="H282" s="574" t="s">
        <v>2225</v>
      </c>
      <c r="I282" s="574" t="s">
        <v>2226</v>
      </c>
      <c r="J282" s="574" t="s">
        <v>2227</v>
      </c>
      <c r="K282" s="574" t="s">
        <v>2228</v>
      </c>
      <c r="L282" s="574" t="s">
        <v>2229</v>
      </c>
      <c r="M282" s="574" t="s">
        <v>2230</v>
      </c>
      <c r="N282" s="574" t="s">
        <v>2231</v>
      </c>
      <c r="O282" s="574" t="s">
        <v>2232</v>
      </c>
      <c r="P282" s="574" t="s">
        <v>2233</v>
      </c>
      <c r="Q282" s="574" t="s">
        <v>2234</v>
      </c>
      <c r="R282" s="574" t="s">
        <v>2225</v>
      </c>
      <c r="S282" s="574" t="s">
        <v>2235</v>
      </c>
      <c r="T282" s="574" t="s">
        <v>2236</v>
      </c>
      <c r="U282" s="574" t="s">
        <v>2626</v>
      </c>
      <c r="V282" s="574" t="s">
        <v>2238</v>
      </c>
      <c r="W282" s="574" t="s">
        <v>2239</v>
      </c>
      <c r="X282" s="574" t="s">
        <v>2627</v>
      </c>
      <c r="Y282" s="575" t="s">
        <v>2599</v>
      </c>
      <c r="Z282" s="575" t="s">
        <v>2599</v>
      </c>
      <c r="AA282" s="574" t="s">
        <v>1693</v>
      </c>
      <c r="AB282" s="574" t="s">
        <v>2319</v>
      </c>
      <c r="AC282" s="574" t="s">
        <v>2320</v>
      </c>
      <c r="AD282" s="574" t="s">
        <v>2321</v>
      </c>
      <c r="AE282" s="574" t="s">
        <v>1446</v>
      </c>
      <c r="AF282" s="574" t="s">
        <v>2321</v>
      </c>
      <c r="AG282" s="576">
        <v>25724</v>
      </c>
    </row>
    <row r="283" spans="1:33" hidden="1" x14ac:dyDescent="0.25">
      <c r="A283" s="574" t="s">
        <v>2219</v>
      </c>
      <c r="B283" s="574" t="s">
        <v>2220</v>
      </c>
      <c r="C283" s="574" t="s">
        <v>2221</v>
      </c>
      <c r="D283" s="574" t="s">
        <v>2220</v>
      </c>
      <c r="E283" s="574" t="s">
        <v>2222</v>
      </c>
      <c r="F283" s="574" t="s">
        <v>2223</v>
      </c>
      <c r="G283" s="574" t="s">
        <v>2224</v>
      </c>
      <c r="H283" s="574" t="s">
        <v>2225</v>
      </c>
      <c r="I283" s="574" t="s">
        <v>2226</v>
      </c>
      <c r="J283" s="574" t="s">
        <v>2227</v>
      </c>
      <c r="K283" s="574" t="s">
        <v>2228</v>
      </c>
      <c r="L283" s="574" t="s">
        <v>2229</v>
      </c>
      <c r="M283" s="574" t="s">
        <v>2230</v>
      </c>
      <c r="N283" s="574" t="s">
        <v>2231</v>
      </c>
      <c r="O283" s="574" t="s">
        <v>2759</v>
      </c>
      <c r="P283" s="574" t="s">
        <v>2932</v>
      </c>
      <c r="Q283" s="574" t="s">
        <v>2234</v>
      </c>
      <c r="R283" s="574" t="s">
        <v>2225</v>
      </c>
      <c r="S283" s="574" t="s">
        <v>2235</v>
      </c>
      <c r="T283" s="574" t="s">
        <v>2236</v>
      </c>
      <c r="U283" s="574" t="s">
        <v>3035</v>
      </c>
      <c r="V283" s="574" t="s">
        <v>2238</v>
      </c>
      <c r="W283" s="574" t="s">
        <v>2239</v>
      </c>
      <c r="X283" s="574" t="s">
        <v>3036</v>
      </c>
      <c r="Y283" s="575" t="s">
        <v>2464</v>
      </c>
      <c r="Z283" s="575" t="s">
        <v>2464</v>
      </c>
      <c r="AA283" s="574" t="s">
        <v>1693</v>
      </c>
      <c r="AB283" s="574" t="s">
        <v>2319</v>
      </c>
      <c r="AC283" s="574" t="s">
        <v>2962</v>
      </c>
      <c r="AD283" s="574" t="s">
        <v>126</v>
      </c>
      <c r="AE283" s="574" t="s">
        <v>1522</v>
      </c>
      <c r="AF283" s="574" t="s">
        <v>126</v>
      </c>
      <c r="AG283" s="576">
        <v>26850.9</v>
      </c>
    </row>
    <row r="284" spans="1:33" hidden="1" x14ac:dyDescent="0.25">
      <c r="A284" s="574" t="s">
        <v>2219</v>
      </c>
      <c r="B284" s="574" t="s">
        <v>2220</v>
      </c>
      <c r="C284" s="574" t="s">
        <v>2221</v>
      </c>
      <c r="D284" s="574" t="s">
        <v>2220</v>
      </c>
      <c r="E284" s="574" t="s">
        <v>2222</v>
      </c>
      <c r="F284" s="574" t="s">
        <v>2223</v>
      </c>
      <c r="G284" s="574" t="s">
        <v>2224</v>
      </c>
      <c r="H284" s="574" t="s">
        <v>2225</v>
      </c>
      <c r="I284" s="574" t="s">
        <v>2226</v>
      </c>
      <c r="J284" s="574" t="s">
        <v>2227</v>
      </c>
      <c r="K284" s="574" t="s">
        <v>2228</v>
      </c>
      <c r="L284" s="574" t="s">
        <v>2229</v>
      </c>
      <c r="M284" s="574" t="s">
        <v>2230</v>
      </c>
      <c r="N284" s="574" t="s">
        <v>2231</v>
      </c>
      <c r="O284" s="574" t="s">
        <v>2232</v>
      </c>
      <c r="P284" s="574" t="s">
        <v>2233</v>
      </c>
      <c r="Q284" s="574" t="s">
        <v>2234</v>
      </c>
      <c r="R284" s="574" t="s">
        <v>2225</v>
      </c>
      <c r="S284" s="574" t="s">
        <v>2235</v>
      </c>
      <c r="T284" s="574" t="s">
        <v>2236</v>
      </c>
      <c r="U284" s="574" t="s">
        <v>2616</v>
      </c>
      <c r="V284" s="574" t="s">
        <v>2238</v>
      </c>
      <c r="W284" s="574" t="s">
        <v>2239</v>
      </c>
      <c r="X284" s="574" t="s">
        <v>2617</v>
      </c>
      <c r="Y284" s="575" t="s">
        <v>2599</v>
      </c>
      <c r="Z284" s="575" t="s">
        <v>2599</v>
      </c>
      <c r="AA284" s="574" t="s">
        <v>1693</v>
      </c>
      <c r="AB284" s="574" t="s">
        <v>2319</v>
      </c>
      <c r="AC284" s="574" t="s">
        <v>2320</v>
      </c>
      <c r="AD284" s="574" t="s">
        <v>2321</v>
      </c>
      <c r="AE284" s="574" t="s">
        <v>1446</v>
      </c>
      <c r="AF284" s="574" t="s">
        <v>2321</v>
      </c>
      <c r="AG284" s="576">
        <v>28320</v>
      </c>
    </row>
    <row r="285" spans="1:33" hidden="1" x14ac:dyDescent="0.25">
      <c r="A285" s="574" t="s">
        <v>2219</v>
      </c>
      <c r="B285" s="574" t="s">
        <v>2220</v>
      </c>
      <c r="C285" s="574" t="s">
        <v>2221</v>
      </c>
      <c r="D285" s="574" t="s">
        <v>2220</v>
      </c>
      <c r="E285" s="574" t="s">
        <v>2222</v>
      </c>
      <c r="F285" s="574" t="s">
        <v>2223</v>
      </c>
      <c r="G285" s="574" t="s">
        <v>2224</v>
      </c>
      <c r="H285" s="574" t="s">
        <v>2225</v>
      </c>
      <c r="I285" s="574" t="s">
        <v>2226</v>
      </c>
      <c r="J285" s="574" t="s">
        <v>2227</v>
      </c>
      <c r="K285" s="574" t="s">
        <v>2228</v>
      </c>
      <c r="L285" s="574" t="s">
        <v>2229</v>
      </c>
      <c r="M285" s="574" t="s">
        <v>2230</v>
      </c>
      <c r="N285" s="574" t="s">
        <v>2231</v>
      </c>
      <c r="O285" s="574" t="s">
        <v>2759</v>
      </c>
      <c r="P285" s="574" t="s">
        <v>2932</v>
      </c>
      <c r="Q285" s="574" t="s">
        <v>2234</v>
      </c>
      <c r="R285" s="574" t="s">
        <v>2225</v>
      </c>
      <c r="S285" s="574" t="s">
        <v>2235</v>
      </c>
      <c r="T285" s="574" t="s">
        <v>2236</v>
      </c>
      <c r="U285" s="574" t="s">
        <v>2644</v>
      </c>
      <c r="V285" s="574" t="s">
        <v>2238</v>
      </c>
      <c r="W285" s="574" t="s">
        <v>2239</v>
      </c>
      <c r="X285" s="574" t="s">
        <v>2645</v>
      </c>
      <c r="Y285" s="575" t="s">
        <v>2641</v>
      </c>
      <c r="Z285" s="575" t="s">
        <v>2641</v>
      </c>
      <c r="AA285" s="574" t="s">
        <v>1693</v>
      </c>
      <c r="AB285" s="574" t="s">
        <v>2319</v>
      </c>
      <c r="AC285" s="574" t="s">
        <v>2402</v>
      </c>
      <c r="AD285" s="574" t="s">
        <v>2403</v>
      </c>
      <c r="AE285" s="574" t="s">
        <v>1486</v>
      </c>
      <c r="AF285" s="574" t="s">
        <v>2403</v>
      </c>
      <c r="AG285" s="576">
        <v>28320</v>
      </c>
    </row>
    <row r="286" spans="1:33" hidden="1" x14ac:dyDescent="0.25">
      <c r="A286" s="574" t="s">
        <v>2219</v>
      </c>
      <c r="B286" s="574" t="s">
        <v>2220</v>
      </c>
      <c r="C286" s="574" t="s">
        <v>2221</v>
      </c>
      <c r="D286" s="574" t="s">
        <v>2220</v>
      </c>
      <c r="E286" s="574" t="s">
        <v>2222</v>
      </c>
      <c r="F286" s="574" t="s">
        <v>2223</v>
      </c>
      <c r="G286" s="574" t="s">
        <v>2224</v>
      </c>
      <c r="H286" s="574" t="s">
        <v>2225</v>
      </c>
      <c r="I286" s="574" t="s">
        <v>2226</v>
      </c>
      <c r="J286" s="574" t="s">
        <v>2227</v>
      </c>
      <c r="K286" s="574" t="s">
        <v>2228</v>
      </c>
      <c r="L286" s="574" t="s">
        <v>2229</v>
      </c>
      <c r="M286" s="574" t="s">
        <v>2230</v>
      </c>
      <c r="N286" s="574" t="s">
        <v>2231</v>
      </c>
      <c r="O286" s="574" t="s">
        <v>2232</v>
      </c>
      <c r="P286" s="574" t="s">
        <v>2233</v>
      </c>
      <c r="Q286" s="574" t="s">
        <v>2234</v>
      </c>
      <c r="R286" s="574" t="s">
        <v>2225</v>
      </c>
      <c r="S286" s="574" t="s">
        <v>2235</v>
      </c>
      <c r="T286" s="574" t="s">
        <v>2236</v>
      </c>
      <c r="U286" s="574" t="s">
        <v>2477</v>
      </c>
      <c r="V286" s="574" t="s">
        <v>2238</v>
      </c>
      <c r="W286" s="574" t="s">
        <v>2239</v>
      </c>
      <c r="X286" s="574" t="s">
        <v>2478</v>
      </c>
      <c r="Y286" s="575" t="s">
        <v>2474</v>
      </c>
      <c r="Z286" s="575" t="s">
        <v>2474</v>
      </c>
      <c r="AA286" s="574" t="s">
        <v>1693</v>
      </c>
      <c r="AB286" s="574" t="s">
        <v>2319</v>
      </c>
      <c r="AC286" s="574" t="s">
        <v>2320</v>
      </c>
      <c r="AD286" s="574" t="s">
        <v>2321</v>
      </c>
      <c r="AE286" s="574" t="s">
        <v>1446</v>
      </c>
      <c r="AF286" s="574" t="s">
        <v>2321</v>
      </c>
      <c r="AG286" s="576">
        <v>29087</v>
      </c>
    </row>
    <row r="287" spans="1:33" hidden="1" x14ac:dyDescent="0.25">
      <c r="A287" s="574" t="s">
        <v>2219</v>
      </c>
      <c r="B287" s="574" t="s">
        <v>2220</v>
      </c>
      <c r="C287" s="574" t="s">
        <v>2221</v>
      </c>
      <c r="D287" s="574" t="s">
        <v>2220</v>
      </c>
      <c r="E287" s="574" t="s">
        <v>2222</v>
      </c>
      <c r="F287" s="574" t="s">
        <v>2223</v>
      </c>
      <c r="G287" s="574" t="s">
        <v>2224</v>
      </c>
      <c r="H287" s="574" t="s">
        <v>2225</v>
      </c>
      <c r="I287" s="574" t="s">
        <v>2226</v>
      </c>
      <c r="J287" s="574" t="s">
        <v>2227</v>
      </c>
      <c r="K287" s="574" t="s">
        <v>2228</v>
      </c>
      <c r="L287" s="574" t="s">
        <v>2229</v>
      </c>
      <c r="M287" s="574" t="s">
        <v>2230</v>
      </c>
      <c r="N287" s="574" t="s">
        <v>2231</v>
      </c>
      <c r="O287" s="574" t="s">
        <v>2759</v>
      </c>
      <c r="P287" s="574" t="s">
        <v>2932</v>
      </c>
      <c r="Q287" s="574" t="s">
        <v>2234</v>
      </c>
      <c r="R287" s="574" t="s">
        <v>2225</v>
      </c>
      <c r="S287" s="574" t="s">
        <v>2235</v>
      </c>
      <c r="T287" s="574" t="s">
        <v>2236</v>
      </c>
      <c r="U287" s="574" t="s">
        <v>3007</v>
      </c>
      <c r="V287" s="574" t="s">
        <v>2238</v>
      </c>
      <c r="W287" s="574" t="s">
        <v>2239</v>
      </c>
      <c r="X287" s="574" t="s">
        <v>3008</v>
      </c>
      <c r="Y287" s="575" t="s">
        <v>2429</v>
      </c>
      <c r="Z287" s="575" t="s">
        <v>2429</v>
      </c>
      <c r="AA287" s="574" t="s">
        <v>1693</v>
      </c>
      <c r="AB287" s="574" t="s">
        <v>2319</v>
      </c>
      <c r="AC287" s="574" t="s">
        <v>2320</v>
      </c>
      <c r="AD287" s="574" t="s">
        <v>2321</v>
      </c>
      <c r="AE287" s="574" t="s">
        <v>1446</v>
      </c>
      <c r="AF287" s="574" t="s">
        <v>2321</v>
      </c>
      <c r="AG287" s="576">
        <v>29526.84</v>
      </c>
    </row>
    <row r="288" spans="1:33" hidden="1" x14ac:dyDescent="0.25">
      <c r="A288" s="574" t="s">
        <v>2219</v>
      </c>
      <c r="B288" s="574" t="s">
        <v>2220</v>
      </c>
      <c r="C288" s="574" t="s">
        <v>2221</v>
      </c>
      <c r="D288" s="574" t="s">
        <v>2220</v>
      </c>
      <c r="E288" s="574" t="s">
        <v>2222</v>
      </c>
      <c r="F288" s="574" t="s">
        <v>2223</v>
      </c>
      <c r="G288" s="574" t="s">
        <v>2224</v>
      </c>
      <c r="H288" s="574" t="s">
        <v>2225</v>
      </c>
      <c r="I288" s="574" t="s">
        <v>2226</v>
      </c>
      <c r="J288" s="574" t="s">
        <v>2227</v>
      </c>
      <c r="K288" s="574" t="s">
        <v>2228</v>
      </c>
      <c r="L288" s="574" t="s">
        <v>2229</v>
      </c>
      <c r="M288" s="574" t="s">
        <v>2230</v>
      </c>
      <c r="N288" s="574" t="s">
        <v>2231</v>
      </c>
      <c r="O288" s="574" t="s">
        <v>2759</v>
      </c>
      <c r="P288" s="574" t="s">
        <v>2932</v>
      </c>
      <c r="Q288" s="574" t="s">
        <v>2234</v>
      </c>
      <c r="R288" s="574" t="s">
        <v>2225</v>
      </c>
      <c r="S288" s="574" t="s">
        <v>2235</v>
      </c>
      <c r="T288" s="574" t="s">
        <v>2236</v>
      </c>
      <c r="U288" s="574" t="s">
        <v>3068</v>
      </c>
      <c r="V288" s="574" t="s">
        <v>2238</v>
      </c>
      <c r="W288" s="574" t="s">
        <v>2239</v>
      </c>
      <c r="X288" s="574" t="s">
        <v>3069</v>
      </c>
      <c r="Y288" s="575" t="s">
        <v>3070</v>
      </c>
      <c r="Z288" s="575" t="s">
        <v>3070</v>
      </c>
      <c r="AA288" s="574" t="s">
        <v>1693</v>
      </c>
      <c r="AB288" s="574" t="s">
        <v>2319</v>
      </c>
      <c r="AC288" s="574" t="s">
        <v>2962</v>
      </c>
      <c r="AD288" s="574" t="s">
        <v>126</v>
      </c>
      <c r="AE288" s="574" t="s">
        <v>1522</v>
      </c>
      <c r="AF288" s="574" t="s">
        <v>126</v>
      </c>
      <c r="AG288" s="576">
        <v>29990.880000000001</v>
      </c>
    </row>
    <row r="289" spans="1:33" hidden="1" x14ac:dyDescent="0.25">
      <c r="A289" s="574" t="s">
        <v>2219</v>
      </c>
      <c r="B289" s="574" t="s">
        <v>2220</v>
      </c>
      <c r="C289" s="574" t="s">
        <v>2221</v>
      </c>
      <c r="D289" s="574" t="s">
        <v>2220</v>
      </c>
      <c r="E289" s="574" t="s">
        <v>2222</v>
      </c>
      <c r="F289" s="574" t="s">
        <v>2223</v>
      </c>
      <c r="G289" s="574" t="s">
        <v>2224</v>
      </c>
      <c r="H289" s="574" t="s">
        <v>2225</v>
      </c>
      <c r="I289" s="574" t="s">
        <v>2226</v>
      </c>
      <c r="J289" s="574" t="s">
        <v>2227</v>
      </c>
      <c r="K289" s="574" t="s">
        <v>2228</v>
      </c>
      <c r="L289" s="574" t="s">
        <v>2229</v>
      </c>
      <c r="M289" s="574" t="s">
        <v>2230</v>
      </c>
      <c r="N289" s="574" t="s">
        <v>2231</v>
      </c>
      <c r="O289" s="574" t="s">
        <v>2759</v>
      </c>
      <c r="P289" s="574" t="s">
        <v>2932</v>
      </c>
      <c r="Q289" s="574" t="s">
        <v>2234</v>
      </c>
      <c r="R289" s="574" t="s">
        <v>2225</v>
      </c>
      <c r="S289" s="574" t="s">
        <v>2235</v>
      </c>
      <c r="T289" s="574" t="s">
        <v>2236</v>
      </c>
      <c r="U289" s="574" t="s">
        <v>3203</v>
      </c>
      <c r="V289" s="574" t="s">
        <v>2238</v>
      </c>
      <c r="W289" s="574" t="s">
        <v>2239</v>
      </c>
      <c r="X289" s="574" t="s">
        <v>3204</v>
      </c>
      <c r="Y289" s="575" t="s">
        <v>2562</v>
      </c>
      <c r="Z289" s="575" t="s">
        <v>2562</v>
      </c>
      <c r="AA289" s="574" t="s">
        <v>1693</v>
      </c>
      <c r="AB289" s="574" t="s">
        <v>2319</v>
      </c>
      <c r="AC289" s="574" t="s">
        <v>2402</v>
      </c>
      <c r="AD289" s="574" t="s">
        <v>2403</v>
      </c>
      <c r="AE289" s="574" t="s">
        <v>1486</v>
      </c>
      <c r="AF289" s="574" t="s">
        <v>2403</v>
      </c>
      <c r="AG289" s="576">
        <v>30927.8</v>
      </c>
    </row>
    <row r="290" spans="1:33" hidden="1" x14ac:dyDescent="0.25">
      <c r="A290" s="574" t="s">
        <v>2219</v>
      </c>
      <c r="B290" s="574" t="s">
        <v>2220</v>
      </c>
      <c r="C290" s="574" t="s">
        <v>2221</v>
      </c>
      <c r="D290" s="574" t="s">
        <v>2220</v>
      </c>
      <c r="E290" s="574" t="s">
        <v>2222</v>
      </c>
      <c r="F290" s="574" t="s">
        <v>2223</v>
      </c>
      <c r="G290" s="574" t="s">
        <v>2224</v>
      </c>
      <c r="H290" s="574" t="s">
        <v>2225</v>
      </c>
      <c r="I290" s="574" t="s">
        <v>2226</v>
      </c>
      <c r="J290" s="574" t="s">
        <v>2227</v>
      </c>
      <c r="K290" s="574" t="s">
        <v>2228</v>
      </c>
      <c r="L290" s="574" t="s">
        <v>2229</v>
      </c>
      <c r="M290" s="574" t="s">
        <v>2230</v>
      </c>
      <c r="N290" s="574" t="s">
        <v>2231</v>
      </c>
      <c r="O290" s="574" t="s">
        <v>2759</v>
      </c>
      <c r="P290" s="574" t="s">
        <v>2932</v>
      </c>
      <c r="Q290" s="574" t="s">
        <v>2234</v>
      </c>
      <c r="R290" s="574" t="s">
        <v>2225</v>
      </c>
      <c r="S290" s="574" t="s">
        <v>2235</v>
      </c>
      <c r="T290" s="574" t="s">
        <v>2236</v>
      </c>
      <c r="U290" s="574" t="s">
        <v>3009</v>
      </c>
      <c r="V290" s="574" t="s">
        <v>2238</v>
      </c>
      <c r="W290" s="574" t="s">
        <v>2239</v>
      </c>
      <c r="X290" s="574" t="s">
        <v>3010</v>
      </c>
      <c r="Y290" s="575" t="s">
        <v>2429</v>
      </c>
      <c r="Z290" s="575" t="s">
        <v>2429</v>
      </c>
      <c r="AA290" s="574" t="s">
        <v>1693</v>
      </c>
      <c r="AB290" s="574" t="s">
        <v>2319</v>
      </c>
      <c r="AC290" s="574" t="s">
        <v>2320</v>
      </c>
      <c r="AD290" s="574" t="s">
        <v>2321</v>
      </c>
      <c r="AE290" s="574" t="s">
        <v>1446</v>
      </c>
      <c r="AF290" s="574" t="s">
        <v>2321</v>
      </c>
      <c r="AG290" s="576">
        <v>31624</v>
      </c>
    </row>
    <row r="291" spans="1:33" hidden="1" x14ac:dyDescent="0.25">
      <c r="A291" s="574" t="s">
        <v>2219</v>
      </c>
      <c r="B291" s="574" t="s">
        <v>2220</v>
      </c>
      <c r="C291" s="574" t="s">
        <v>2221</v>
      </c>
      <c r="D291" s="574" t="s">
        <v>2220</v>
      </c>
      <c r="E291" s="574" t="s">
        <v>2222</v>
      </c>
      <c r="F291" s="574" t="s">
        <v>2223</v>
      </c>
      <c r="G291" s="574" t="s">
        <v>2224</v>
      </c>
      <c r="H291" s="574" t="s">
        <v>2225</v>
      </c>
      <c r="I291" s="574" t="s">
        <v>2226</v>
      </c>
      <c r="J291" s="574" t="s">
        <v>2227</v>
      </c>
      <c r="K291" s="574" t="s">
        <v>2228</v>
      </c>
      <c r="L291" s="574" t="s">
        <v>2229</v>
      </c>
      <c r="M291" s="574" t="s">
        <v>2230</v>
      </c>
      <c r="N291" s="574" t="s">
        <v>2231</v>
      </c>
      <c r="O291" s="574" t="s">
        <v>2759</v>
      </c>
      <c r="P291" s="574" t="s">
        <v>2932</v>
      </c>
      <c r="Q291" s="574" t="s">
        <v>2234</v>
      </c>
      <c r="R291" s="574" t="s">
        <v>2225</v>
      </c>
      <c r="S291" s="574" t="s">
        <v>2235</v>
      </c>
      <c r="T291" s="574" t="s">
        <v>2236</v>
      </c>
      <c r="U291" s="574" t="s">
        <v>3121</v>
      </c>
      <c r="V291" s="574" t="s">
        <v>2238</v>
      </c>
      <c r="W291" s="574" t="s">
        <v>2239</v>
      </c>
      <c r="X291" s="574" t="s">
        <v>3122</v>
      </c>
      <c r="Y291" s="575" t="s">
        <v>3123</v>
      </c>
      <c r="Z291" s="575" t="s">
        <v>3123</v>
      </c>
      <c r="AA291" s="574" t="s">
        <v>1693</v>
      </c>
      <c r="AB291" s="574" t="s">
        <v>2319</v>
      </c>
      <c r="AC291" s="574" t="s">
        <v>2320</v>
      </c>
      <c r="AD291" s="574" t="s">
        <v>2321</v>
      </c>
      <c r="AE291" s="574" t="s">
        <v>1446</v>
      </c>
      <c r="AF291" s="574" t="s">
        <v>2321</v>
      </c>
      <c r="AG291" s="576">
        <v>37760</v>
      </c>
    </row>
    <row r="292" spans="1:33" hidden="1" x14ac:dyDescent="0.25">
      <c r="A292" s="574" t="s">
        <v>2219</v>
      </c>
      <c r="B292" s="574" t="s">
        <v>2220</v>
      </c>
      <c r="C292" s="574" t="s">
        <v>2221</v>
      </c>
      <c r="D292" s="574" t="s">
        <v>2220</v>
      </c>
      <c r="E292" s="574" t="s">
        <v>2222</v>
      </c>
      <c r="F292" s="574" t="s">
        <v>2223</v>
      </c>
      <c r="G292" s="574" t="s">
        <v>2224</v>
      </c>
      <c r="H292" s="574" t="s">
        <v>2225</v>
      </c>
      <c r="I292" s="574" t="s">
        <v>2226</v>
      </c>
      <c r="J292" s="574" t="s">
        <v>2227</v>
      </c>
      <c r="K292" s="574" t="s">
        <v>2228</v>
      </c>
      <c r="L292" s="574" t="s">
        <v>2229</v>
      </c>
      <c r="M292" s="574" t="s">
        <v>2230</v>
      </c>
      <c r="N292" s="574" t="s">
        <v>2231</v>
      </c>
      <c r="O292" s="574" t="s">
        <v>2232</v>
      </c>
      <c r="P292" s="574" t="s">
        <v>2233</v>
      </c>
      <c r="Q292" s="574" t="s">
        <v>2234</v>
      </c>
      <c r="R292" s="574" t="s">
        <v>2225</v>
      </c>
      <c r="S292" s="574" t="s">
        <v>2235</v>
      </c>
      <c r="T292" s="574" t="s">
        <v>2236</v>
      </c>
      <c r="U292" s="574" t="s">
        <v>2390</v>
      </c>
      <c r="V292" s="574" t="s">
        <v>2238</v>
      </c>
      <c r="W292" s="574" t="s">
        <v>2239</v>
      </c>
      <c r="X292" s="574" t="s">
        <v>2391</v>
      </c>
      <c r="Y292" s="575" t="s">
        <v>2372</v>
      </c>
      <c r="Z292" s="575" t="s">
        <v>2372</v>
      </c>
      <c r="AA292" s="574" t="s">
        <v>1693</v>
      </c>
      <c r="AB292" s="574" t="s">
        <v>2319</v>
      </c>
      <c r="AC292" s="574" t="s">
        <v>2320</v>
      </c>
      <c r="AD292" s="574" t="s">
        <v>2321</v>
      </c>
      <c r="AE292" s="574" t="s">
        <v>1446</v>
      </c>
      <c r="AF292" s="574" t="s">
        <v>2321</v>
      </c>
      <c r="AG292" s="576">
        <v>39648</v>
      </c>
    </row>
    <row r="293" spans="1:33" hidden="1" x14ac:dyDescent="0.25">
      <c r="A293" s="574" t="s">
        <v>2219</v>
      </c>
      <c r="B293" s="574" t="s">
        <v>2220</v>
      </c>
      <c r="C293" s="574" t="s">
        <v>2221</v>
      </c>
      <c r="D293" s="574" t="s">
        <v>2220</v>
      </c>
      <c r="E293" s="574" t="s">
        <v>2222</v>
      </c>
      <c r="F293" s="574" t="s">
        <v>2223</v>
      </c>
      <c r="G293" s="574" t="s">
        <v>2224</v>
      </c>
      <c r="H293" s="574" t="s">
        <v>2225</v>
      </c>
      <c r="I293" s="574" t="s">
        <v>2226</v>
      </c>
      <c r="J293" s="574" t="s">
        <v>2227</v>
      </c>
      <c r="K293" s="574" t="s">
        <v>2228</v>
      </c>
      <c r="L293" s="574" t="s">
        <v>2229</v>
      </c>
      <c r="M293" s="574" t="s">
        <v>2230</v>
      </c>
      <c r="N293" s="574" t="s">
        <v>2231</v>
      </c>
      <c r="O293" s="574" t="s">
        <v>2232</v>
      </c>
      <c r="P293" s="574" t="s">
        <v>2233</v>
      </c>
      <c r="Q293" s="574" t="s">
        <v>2234</v>
      </c>
      <c r="R293" s="574" t="s">
        <v>2225</v>
      </c>
      <c r="S293" s="574" t="s">
        <v>2235</v>
      </c>
      <c r="T293" s="574" t="s">
        <v>2236</v>
      </c>
      <c r="U293" s="574" t="s">
        <v>2400</v>
      </c>
      <c r="V293" s="574" t="s">
        <v>2238</v>
      </c>
      <c r="W293" s="574" t="s">
        <v>2239</v>
      </c>
      <c r="X293" s="574" t="s">
        <v>2401</v>
      </c>
      <c r="Y293" s="575" t="s">
        <v>2372</v>
      </c>
      <c r="Z293" s="575" t="s">
        <v>2372</v>
      </c>
      <c r="AA293" s="574" t="s">
        <v>1693</v>
      </c>
      <c r="AB293" s="574" t="s">
        <v>2319</v>
      </c>
      <c r="AC293" s="574" t="s">
        <v>2320</v>
      </c>
      <c r="AD293" s="574" t="s">
        <v>2321</v>
      </c>
      <c r="AE293" s="574" t="s">
        <v>1446</v>
      </c>
      <c r="AF293" s="574" t="s">
        <v>2321</v>
      </c>
      <c r="AG293" s="576">
        <v>41808.58</v>
      </c>
    </row>
    <row r="294" spans="1:33" hidden="1" x14ac:dyDescent="0.25">
      <c r="A294" s="574" t="s">
        <v>2219</v>
      </c>
      <c r="B294" s="574" t="s">
        <v>2220</v>
      </c>
      <c r="C294" s="574" t="s">
        <v>2221</v>
      </c>
      <c r="D294" s="574" t="s">
        <v>2220</v>
      </c>
      <c r="E294" s="574" t="s">
        <v>2222</v>
      </c>
      <c r="F294" s="574" t="s">
        <v>2223</v>
      </c>
      <c r="G294" s="574" t="s">
        <v>2224</v>
      </c>
      <c r="H294" s="574" t="s">
        <v>2225</v>
      </c>
      <c r="I294" s="574" t="s">
        <v>2226</v>
      </c>
      <c r="J294" s="574" t="s">
        <v>2227</v>
      </c>
      <c r="K294" s="574" t="s">
        <v>2228</v>
      </c>
      <c r="L294" s="574" t="s">
        <v>2229</v>
      </c>
      <c r="M294" s="574" t="s">
        <v>2230</v>
      </c>
      <c r="N294" s="574" t="s">
        <v>2231</v>
      </c>
      <c r="O294" s="574" t="s">
        <v>2232</v>
      </c>
      <c r="P294" s="574" t="s">
        <v>2233</v>
      </c>
      <c r="Q294" s="574" t="s">
        <v>2234</v>
      </c>
      <c r="R294" s="574" t="s">
        <v>2225</v>
      </c>
      <c r="S294" s="574" t="s">
        <v>2235</v>
      </c>
      <c r="T294" s="574" t="s">
        <v>2236</v>
      </c>
      <c r="U294" s="574" t="s">
        <v>2515</v>
      </c>
      <c r="V294" s="574" t="s">
        <v>2238</v>
      </c>
      <c r="W294" s="574" t="s">
        <v>2239</v>
      </c>
      <c r="X294" s="574" t="s">
        <v>2516</v>
      </c>
      <c r="Y294" s="575" t="s">
        <v>2517</v>
      </c>
      <c r="Z294" s="575" t="s">
        <v>2517</v>
      </c>
      <c r="AA294" s="574" t="s">
        <v>1693</v>
      </c>
      <c r="AB294" s="574" t="s">
        <v>2319</v>
      </c>
      <c r="AC294" s="574" t="s">
        <v>2320</v>
      </c>
      <c r="AD294" s="574" t="s">
        <v>2321</v>
      </c>
      <c r="AE294" s="574" t="s">
        <v>1446</v>
      </c>
      <c r="AF294" s="574" t="s">
        <v>2321</v>
      </c>
      <c r="AG294" s="576">
        <v>42500</v>
      </c>
    </row>
    <row r="295" spans="1:33" hidden="1" x14ac:dyDescent="0.25">
      <c r="A295" s="574" t="s">
        <v>2219</v>
      </c>
      <c r="B295" s="574" t="s">
        <v>2220</v>
      </c>
      <c r="C295" s="574" t="s">
        <v>2221</v>
      </c>
      <c r="D295" s="574" t="s">
        <v>2220</v>
      </c>
      <c r="E295" s="574" t="s">
        <v>2222</v>
      </c>
      <c r="F295" s="574" t="s">
        <v>2223</v>
      </c>
      <c r="G295" s="574" t="s">
        <v>2224</v>
      </c>
      <c r="H295" s="574" t="s">
        <v>2225</v>
      </c>
      <c r="I295" s="574" t="s">
        <v>2226</v>
      </c>
      <c r="J295" s="574" t="s">
        <v>2227</v>
      </c>
      <c r="K295" s="574" t="s">
        <v>2228</v>
      </c>
      <c r="L295" s="574" t="s">
        <v>2229</v>
      </c>
      <c r="M295" s="574" t="s">
        <v>2230</v>
      </c>
      <c r="N295" s="574" t="s">
        <v>2231</v>
      </c>
      <c r="O295" s="574" t="s">
        <v>2759</v>
      </c>
      <c r="P295" s="574" t="s">
        <v>2932</v>
      </c>
      <c r="Q295" s="574" t="s">
        <v>2234</v>
      </c>
      <c r="R295" s="574" t="s">
        <v>2225</v>
      </c>
      <c r="S295" s="574" t="s">
        <v>2235</v>
      </c>
      <c r="T295" s="574" t="s">
        <v>2236</v>
      </c>
      <c r="U295" s="574" t="s">
        <v>3064</v>
      </c>
      <c r="V295" s="574" t="s">
        <v>2238</v>
      </c>
      <c r="W295" s="574" t="s">
        <v>2239</v>
      </c>
      <c r="X295" s="574" t="s">
        <v>3065</v>
      </c>
      <c r="Y295" s="575" t="s">
        <v>2484</v>
      </c>
      <c r="Z295" s="575" t="s">
        <v>2484</v>
      </c>
      <c r="AA295" s="574" t="s">
        <v>1693</v>
      </c>
      <c r="AB295" s="574" t="s">
        <v>2319</v>
      </c>
      <c r="AC295" s="574" t="s">
        <v>2320</v>
      </c>
      <c r="AD295" s="574" t="s">
        <v>2321</v>
      </c>
      <c r="AE295" s="574" t="s">
        <v>1446</v>
      </c>
      <c r="AF295" s="574" t="s">
        <v>2321</v>
      </c>
      <c r="AG295" s="576">
        <v>44250</v>
      </c>
    </row>
    <row r="296" spans="1:33" hidden="1" x14ac:dyDescent="0.25">
      <c r="A296" s="574" t="s">
        <v>2219</v>
      </c>
      <c r="B296" s="574" t="s">
        <v>2220</v>
      </c>
      <c r="C296" s="574" t="s">
        <v>2221</v>
      </c>
      <c r="D296" s="574" t="s">
        <v>2220</v>
      </c>
      <c r="E296" s="574" t="s">
        <v>2222</v>
      </c>
      <c r="F296" s="574" t="s">
        <v>2223</v>
      </c>
      <c r="G296" s="574" t="s">
        <v>2224</v>
      </c>
      <c r="H296" s="574" t="s">
        <v>2225</v>
      </c>
      <c r="I296" s="574" t="s">
        <v>2226</v>
      </c>
      <c r="J296" s="574" t="s">
        <v>2227</v>
      </c>
      <c r="K296" s="574" t="s">
        <v>2228</v>
      </c>
      <c r="L296" s="574" t="s">
        <v>2229</v>
      </c>
      <c r="M296" s="574" t="s">
        <v>2230</v>
      </c>
      <c r="N296" s="574" t="s">
        <v>2231</v>
      </c>
      <c r="O296" s="574" t="s">
        <v>2232</v>
      </c>
      <c r="P296" s="574" t="s">
        <v>2233</v>
      </c>
      <c r="Q296" s="574" t="s">
        <v>2234</v>
      </c>
      <c r="R296" s="574" t="s">
        <v>2225</v>
      </c>
      <c r="S296" s="574" t="s">
        <v>2235</v>
      </c>
      <c r="T296" s="574" t="s">
        <v>2236</v>
      </c>
      <c r="U296" s="574" t="s">
        <v>2317</v>
      </c>
      <c r="V296" s="574" t="s">
        <v>2238</v>
      </c>
      <c r="W296" s="574" t="s">
        <v>2239</v>
      </c>
      <c r="X296" s="574" t="s">
        <v>2318</v>
      </c>
      <c r="Y296" s="575" t="s">
        <v>2306</v>
      </c>
      <c r="Z296" s="575" t="s">
        <v>2306</v>
      </c>
      <c r="AA296" s="574" t="s">
        <v>1693</v>
      </c>
      <c r="AB296" s="574" t="s">
        <v>2319</v>
      </c>
      <c r="AC296" s="574" t="s">
        <v>2320</v>
      </c>
      <c r="AD296" s="574" t="s">
        <v>2321</v>
      </c>
      <c r="AE296" s="574" t="s">
        <v>1446</v>
      </c>
      <c r="AF296" s="574" t="s">
        <v>2321</v>
      </c>
      <c r="AG296" s="576">
        <v>45689.599999999999</v>
      </c>
    </row>
    <row r="297" spans="1:33" hidden="1" x14ac:dyDescent="0.25">
      <c r="A297" s="574" t="s">
        <v>2219</v>
      </c>
      <c r="B297" s="574" t="s">
        <v>2220</v>
      </c>
      <c r="C297" s="574" t="s">
        <v>2221</v>
      </c>
      <c r="D297" s="574" t="s">
        <v>2220</v>
      </c>
      <c r="E297" s="574" t="s">
        <v>2222</v>
      </c>
      <c r="F297" s="574" t="s">
        <v>2223</v>
      </c>
      <c r="G297" s="574" t="s">
        <v>2224</v>
      </c>
      <c r="H297" s="574" t="s">
        <v>2225</v>
      </c>
      <c r="I297" s="574" t="s">
        <v>2226</v>
      </c>
      <c r="J297" s="574" t="s">
        <v>2227</v>
      </c>
      <c r="K297" s="574" t="s">
        <v>2228</v>
      </c>
      <c r="L297" s="574" t="s">
        <v>2229</v>
      </c>
      <c r="M297" s="574" t="s">
        <v>2230</v>
      </c>
      <c r="N297" s="574" t="s">
        <v>2231</v>
      </c>
      <c r="O297" s="574" t="s">
        <v>2759</v>
      </c>
      <c r="P297" s="574" t="s">
        <v>2932</v>
      </c>
      <c r="Q297" s="574" t="s">
        <v>2234</v>
      </c>
      <c r="R297" s="574" t="s">
        <v>2225</v>
      </c>
      <c r="S297" s="574" t="s">
        <v>2235</v>
      </c>
      <c r="T297" s="574" t="s">
        <v>2236</v>
      </c>
      <c r="U297" s="574" t="s">
        <v>3243</v>
      </c>
      <c r="V297" s="574" t="s">
        <v>2238</v>
      </c>
      <c r="W297" s="574" t="s">
        <v>2239</v>
      </c>
      <c r="X297" s="574" t="s">
        <v>3244</v>
      </c>
      <c r="Y297" s="575" t="s">
        <v>2571</v>
      </c>
      <c r="Z297" s="575" t="s">
        <v>2571</v>
      </c>
      <c r="AA297" s="574" t="s">
        <v>1693</v>
      </c>
      <c r="AB297" s="574" t="s">
        <v>2319</v>
      </c>
      <c r="AC297" s="574" t="s">
        <v>2402</v>
      </c>
      <c r="AD297" s="574" t="s">
        <v>2403</v>
      </c>
      <c r="AE297" s="574" t="s">
        <v>1486</v>
      </c>
      <c r="AF297" s="574" t="s">
        <v>2403</v>
      </c>
      <c r="AG297" s="576">
        <v>46798.8</v>
      </c>
    </row>
    <row r="298" spans="1:33" hidden="1" x14ac:dyDescent="0.25">
      <c r="A298" s="574" t="s">
        <v>2219</v>
      </c>
      <c r="B298" s="574" t="s">
        <v>2220</v>
      </c>
      <c r="C298" s="574" t="s">
        <v>2221</v>
      </c>
      <c r="D298" s="574" t="s">
        <v>2220</v>
      </c>
      <c r="E298" s="574" t="s">
        <v>2222</v>
      </c>
      <c r="F298" s="574" t="s">
        <v>2223</v>
      </c>
      <c r="G298" s="574" t="s">
        <v>2224</v>
      </c>
      <c r="H298" s="574" t="s">
        <v>2225</v>
      </c>
      <c r="I298" s="574" t="s">
        <v>2226</v>
      </c>
      <c r="J298" s="574" t="s">
        <v>2227</v>
      </c>
      <c r="K298" s="574" t="s">
        <v>2228</v>
      </c>
      <c r="L298" s="574" t="s">
        <v>2229</v>
      </c>
      <c r="M298" s="574" t="s">
        <v>2230</v>
      </c>
      <c r="N298" s="574" t="s">
        <v>2231</v>
      </c>
      <c r="O298" s="574" t="s">
        <v>2759</v>
      </c>
      <c r="P298" s="574" t="s">
        <v>2932</v>
      </c>
      <c r="Q298" s="574" t="s">
        <v>2234</v>
      </c>
      <c r="R298" s="574" t="s">
        <v>2225</v>
      </c>
      <c r="S298" s="574" t="s">
        <v>2235</v>
      </c>
      <c r="T298" s="574" t="s">
        <v>2236</v>
      </c>
      <c r="U298" s="574" t="s">
        <v>3002</v>
      </c>
      <c r="V298" s="574" t="s">
        <v>2238</v>
      </c>
      <c r="W298" s="574" t="s">
        <v>2239</v>
      </c>
      <c r="X298" s="574" t="s">
        <v>3003</v>
      </c>
      <c r="Y298" s="575" t="s">
        <v>2429</v>
      </c>
      <c r="Z298" s="575" t="s">
        <v>2429</v>
      </c>
      <c r="AA298" s="574" t="s">
        <v>1693</v>
      </c>
      <c r="AB298" s="574" t="s">
        <v>2319</v>
      </c>
      <c r="AC298" s="574" t="s">
        <v>2320</v>
      </c>
      <c r="AD298" s="574" t="s">
        <v>2321</v>
      </c>
      <c r="AE298" s="574" t="s">
        <v>1446</v>
      </c>
      <c r="AF298" s="574" t="s">
        <v>2321</v>
      </c>
      <c r="AG298" s="576">
        <v>46964</v>
      </c>
    </row>
    <row r="299" spans="1:33" hidden="1" x14ac:dyDescent="0.25">
      <c r="A299" s="574" t="s">
        <v>2219</v>
      </c>
      <c r="B299" s="574" t="s">
        <v>2220</v>
      </c>
      <c r="C299" s="574" t="s">
        <v>2221</v>
      </c>
      <c r="D299" s="574" t="s">
        <v>2220</v>
      </c>
      <c r="E299" s="574" t="s">
        <v>2222</v>
      </c>
      <c r="F299" s="574" t="s">
        <v>2223</v>
      </c>
      <c r="G299" s="574" t="s">
        <v>2224</v>
      </c>
      <c r="H299" s="574" t="s">
        <v>2225</v>
      </c>
      <c r="I299" s="574" t="s">
        <v>2226</v>
      </c>
      <c r="J299" s="574" t="s">
        <v>2227</v>
      </c>
      <c r="K299" s="574" t="s">
        <v>2228</v>
      </c>
      <c r="L299" s="574" t="s">
        <v>2229</v>
      </c>
      <c r="M299" s="574" t="s">
        <v>2230</v>
      </c>
      <c r="N299" s="574" t="s">
        <v>2231</v>
      </c>
      <c r="O299" s="574" t="s">
        <v>2232</v>
      </c>
      <c r="P299" s="574" t="s">
        <v>2233</v>
      </c>
      <c r="Q299" s="574" t="s">
        <v>2234</v>
      </c>
      <c r="R299" s="574" t="s">
        <v>2225</v>
      </c>
      <c r="S299" s="574" t="s">
        <v>2235</v>
      </c>
      <c r="T299" s="574" t="s">
        <v>2236</v>
      </c>
      <c r="U299" s="574" t="s">
        <v>2624</v>
      </c>
      <c r="V299" s="574" t="s">
        <v>2238</v>
      </c>
      <c r="W299" s="574" t="s">
        <v>2239</v>
      </c>
      <c r="X299" s="574" t="s">
        <v>2625</v>
      </c>
      <c r="Y299" s="575" t="s">
        <v>2599</v>
      </c>
      <c r="Z299" s="575" t="s">
        <v>2599</v>
      </c>
      <c r="AA299" s="574" t="s">
        <v>1693</v>
      </c>
      <c r="AB299" s="574" t="s">
        <v>2319</v>
      </c>
      <c r="AC299" s="574" t="s">
        <v>2320</v>
      </c>
      <c r="AD299" s="574" t="s">
        <v>2321</v>
      </c>
      <c r="AE299" s="574" t="s">
        <v>1446</v>
      </c>
      <c r="AF299" s="574" t="s">
        <v>2321</v>
      </c>
      <c r="AG299" s="576">
        <v>49200.480000000003</v>
      </c>
    </row>
    <row r="300" spans="1:33" hidden="1" x14ac:dyDescent="0.25">
      <c r="A300" s="574" t="s">
        <v>2219</v>
      </c>
      <c r="B300" s="574" t="s">
        <v>2220</v>
      </c>
      <c r="C300" s="574" t="s">
        <v>2221</v>
      </c>
      <c r="D300" s="574" t="s">
        <v>2220</v>
      </c>
      <c r="E300" s="574" t="s">
        <v>2222</v>
      </c>
      <c r="F300" s="574" t="s">
        <v>2223</v>
      </c>
      <c r="G300" s="574" t="s">
        <v>2224</v>
      </c>
      <c r="H300" s="574" t="s">
        <v>2225</v>
      </c>
      <c r="I300" s="574" t="s">
        <v>2226</v>
      </c>
      <c r="J300" s="574" t="s">
        <v>2227</v>
      </c>
      <c r="K300" s="574" t="s">
        <v>2228</v>
      </c>
      <c r="L300" s="574" t="s">
        <v>2229</v>
      </c>
      <c r="M300" s="574" t="s">
        <v>2230</v>
      </c>
      <c r="N300" s="574" t="s">
        <v>2231</v>
      </c>
      <c r="O300" s="574" t="s">
        <v>2759</v>
      </c>
      <c r="P300" s="574" t="s">
        <v>2932</v>
      </c>
      <c r="Q300" s="574" t="s">
        <v>2234</v>
      </c>
      <c r="R300" s="574" t="s">
        <v>2225</v>
      </c>
      <c r="S300" s="574" t="s">
        <v>2235</v>
      </c>
      <c r="T300" s="574" t="s">
        <v>2236</v>
      </c>
      <c r="U300" s="574" t="s">
        <v>3271</v>
      </c>
      <c r="V300" s="574" t="s">
        <v>2238</v>
      </c>
      <c r="W300" s="574" t="s">
        <v>2239</v>
      </c>
      <c r="X300" s="574" t="s">
        <v>3272</v>
      </c>
      <c r="Y300" s="575" t="s">
        <v>2586</v>
      </c>
      <c r="Z300" s="575" t="s">
        <v>2586</v>
      </c>
      <c r="AA300" s="574" t="s">
        <v>1693</v>
      </c>
      <c r="AB300" s="574" t="s">
        <v>2319</v>
      </c>
      <c r="AC300" s="574" t="s">
        <v>2320</v>
      </c>
      <c r="AD300" s="574" t="s">
        <v>2321</v>
      </c>
      <c r="AE300" s="574" t="s">
        <v>1446</v>
      </c>
      <c r="AF300" s="574" t="s">
        <v>2321</v>
      </c>
      <c r="AG300" s="576">
        <v>50150</v>
      </c>
    </row>
    <row r="301" spans="1:33" hidden="1" x14ac:dyDescent="0.25">
      <c r="A301" s="574" t="s">
        <v>2219</v>
      </c>
      <c r="B301" s="574" t="s">
        <v>2220</v>
      </c>
      <c r="C301" s="574" t="s">
        <v>2221</v>
      </c>
      <c r="D301" s="574" t="s">
        <v>2220</v>
      </c>
      <c r="E301" s="574" t="s">
        <v>2222</v>
      </c>
      <c r="F301" s="574" t="s">
        <v>2223</v>
      </c>
      <c r="G301" s="574" t="s">
        <v>2224</v>
      </c>
      <c r="H301" s="574" t="s">
        <v>2225</v>
      </c>
      <c r="I301" s="574" t="s">
        <v>2226</v>
      </c>
      <c r="J301" s="574" t="s">
        <v>2227</v>
      </c>
      <c r="K301" s="574" t="s">
        <v>2228</v>
      </c>
      <c r="L301" s="574" t="s">
        <v>2229</v>
      </c>
      <c r="M301" s="574" t="s">
        <v>2230</v>
      </c>
      <c r="N301" s="574" t="s">
        <v>2231</v>
      </c>
      <c r="O301" s="574" t="s">
        <v>2759</v>
      </c>
      <c r="P301" s="574" t="s">
        <v>2932</v>
      </c>
      <c r="Q301" s="574" t="s">
        <v>2234</v>
      </c>
      <c r="R301" s="574" t="s">
        <v>2225</v>
      </c>
      <c r="S301" s="574" t="s">
        <v>2235</v>
      </c>
      <c r="T301" s="574" t="s">
        <v>2236</v>
      </c>
      <c r="U301" s="574" t="s">
        <v>3053</v>
      </c>
      <c r="V301" s="574" t="s">
        <v>2238</v>
      </c>
      <c r="W301" s="574" t="s">
        <v>2239</v>
      </c>
      <c r="X301" s="574" t="s">
        <v>3054</v>
      </c>
      <c r="Y301" s="575" t="s">
        <v>2474</v>
      </c>
      <c r="Z301" s="575" t="s">
        <v>2474</v>
      </c>
      <c r="AA301" s="574" t="s">
        <v>1693</v>
      </c>
      <c r="AB301" s="574" t="s">
        <v>2319</v>
      </c>
      <c r="AC301" s="574" t="s">
        <v>2320</v>
      </c>
      <c r="AD301" s="574" t="s">
        <v>2321</v>
      </c>
      <c r="AE301" s="574" t="s">
        <v>1446</v>
      </c>
      <c r="AF301" s="574" t="s">
        <v>2321</v>
      </c>
      <c r="AG301" s="576">
        <v>50256</v>
      </c>
    </row>
    <row r="302" spans="1:33" hidden="1" x14ac:dyDescent="0.25">
      <c r="A302" s="574" t="s">
        <v>2219</v>
      </c>
      <c r="B302" s="574" t="s">
        <v>2220</v>
      </c>
      <c r="C302" s="574" t="s">
        <v>2221</v>
      </c>
      <c r="D302" s="574" t="s">
        <v>2220</v>
      </c>
      <c r="E302" s="574" t="s">
        <v>2222</v>
      </c>
      <c r="F302" s="574" t="s">
        <v>2223</v>
      </c>
      <c r="G302" s="574" t="s">
        <v>2224</v>
      </c>
      <c r="H302" s="574" t="s">
        <v>2225</v>
      </c>
      <c r="I302" s="574" t="s">
        <v>2226</v>
      </c>
      <c r="J302" s="574" t="s">
        <v>2227</v>
      </c>
      <c r="K302" s="574" t="s">
        <v>2228</v>
      </c>
      <c r="L302" s="574" t="s">
        <v>2229</v>
      </c>
      <c r="M302" s="574" t="s">
        <v>2230</v>
      </c>
      <c r="N302" s="574" t="s">
        <v>2231</v>
      </c>
      <c r="O302" s="574" t="s">
        <v>2759</v>
      </c>
      <c r="P302" s="574" t="s">
        <v>2932</v>
      </c>
      <c r="Q302" s="574" t="s">
        <v>2234</v>
      </c>
      <c r="R302" s="574" t="s">
        <v>2225</v>
      </c>
      <c r="S302" s="574" t="s">
        <v>2235</v>
      </c>
      <c r="T302" s="574" t="s">
        <v>2236</v>
      </c>
      <c r="U302" s="574" t="s">
        <v>3190</v>
      </c>
      <c r="V302" s="574" t="s">
        <v>2238</v>
      </c>
      <c r="W302" s="574" t="s">
        <v>2239</v>
      </c>
      <c r="X302" s="574" t="s">
        <v>3191</v>
      </c>
      <c r="Y302" s="575" t="s">
        <v>2553</v>
      </c>
      <c r="Z302" s="575" t="s">
        <v>2553</v>
      </c>
      <c r="AA302" s="574" t="s">
        <v>1693</v>
      </c>
      <c r="AB302" s="574" t="s">
        <v>2319</v>
      </c>
      <c r="AC302" s="574" t="s">
        <v>2320</v>
      </c>
      <c r="AD302" s="574" t="s">
        <v>2321</v>
      </c>
      <c r="AE302" s="574" t="s">
        <v>1446</v>
      </c>
      <c r="AF302" s="574" t="s">
        <v>2321</v>
      </c>
      <c r="AG302" s="576">
        <v>56748.800000000003</v>
      </c>
    </row>
    <row r="303" spans="1:33" hidden="1" x14ac:dyDescent="0.25">
      <c r="A303" s="574" t="s">
        <v>2219</v>
      </c>
      <c r="B303" s="574" t="s">
        <v>2220</v>
      </c>
      <c r="C303" s="574" t="s">
        <v>2221</v>
      </c>
      <c r="D303" s="574" t="s">
        <v>2220</v>
      </c>
      <c r="E303" s="574" t="s">
        <v>2222</v>
      </c>
      <c r="F303" s="574" t="s">
        <v>2223</v>
      </c>
      <c r="G303" s="574" t="s">
        <v>2224</v>
      </c>
      <c r="H303" s="574" t="s">
        <v>2225</v>
      </c>
      <c r="I303" s="574" t="s">
        <v>2226</v>
      </c>
      <c r="J303" s="574" t="s">
        <v>2227</v>
      </c>
      <c r="K303" s="574" t="s">
        <v>2228</v>
      </c>
      <c r="L303" s="574" t="s">
        <v>2229</v>
      </c>
      <c r="M303" s="574" t="s">
        <v>2230</v>
      </c>
      <c r="N303" s="574" t="s">
        <v>2231</v>
      </c>
      <c r="O303" s="574" t="s">
        <v>2232</v>
      </c>
      <c r="P303" s="574" t="s">
        <v>2233</v>
      </c>
      <c r="Q303" s="574" t="s">
        <v>2234</v>
      </c>
      <c r="R303" s="574" t="s">
        <v>2225</v>
      </c>
      <c r="S303" s="574" t="s">
        <v>2235</v>
      </c>
      <c r="T303" s="574" t="s">
        <v>2236</v>
      </c>
      <c r="U303" s="574" t="s">
        <v>2614</v>
      </c>
      <c r="V303" s="574" t="s">
        <v>2238</v>
      </c>
      <c r="W303" s="574" t="s">
        <v>2239</v>
      </c>
      <c r="X303" s="574" t="s">
        <v>2615</v>
      </c>
      <c r="Y303" s="575" t="s">
        <v>2599</v>
      </c>
      <c r="Z303" s="575" t="s">
        <v>2599</v>
      </c>
      <c r="AA303" s="574" t="s">
        <v>1693</v>
      </c>
      <c r="AB303" s="574" t="s">
        <v>2319</v>
      </c>
      <c r="AC303" s="574" t="s">
        <v>2320</v>
      </c>
      <c r="AD303" s="574" t="s">
        <v>2321</v>
      </c>
      <c r="AE303" s="574" t="s">
        <v>1446</v>
      </c>
      <c r="AF303" s="574" t="s">
        <v>2321</v>
      </c>
      <c r="AG303" s="576">
        <v>57820</v>
      </c>
    </row>
    <row r="304" spans="1:33" hidden="1" x14ac:dyDescent="0.25">
      <c r="A304" s="574" t="s">
        <v>2219</v>
      </c>
      <c r="B304" s="574" t="s">
        <v>2220</v>
      </c>
      <c r="C304" s="574" t="s">
        <v>2221</v>
      </c>
      <c r="D304" s="574" t="s">
        <v>2220</v>
      </c>
      <c r="E304" s="574" t="s">
        <v>2222</v>
      </c>
      <c r="F304" s="574" t="s">
        <v>2223</v>
      </c>
      <c r="G304" s="574" t="s">
        <v>2224</v>
      </c>
      <c r="H304" s="574" t="s">
        <v>2225</v>
      </c>
      <c r="I304" s="574" t="s">
        <v>2226</v>
      </c>
      <c r="J304" s="574" t="s">
        <v>2227</v>
      </c>
      <c r="K304" s="574" t="s">
        <v>2228</v>
      </c>
      <c r="L304" s="574" t="s">
        <v>2229</v>
      </c>
      <c r="M304" s="574" t="s">
        <v>2230</v>
      </c>
      <c r="N304" s="574" t="s">
        <v>2231</v>
      </c>
      <c r="O304" s="574" t="s">
        <v>2759</v>
      </c>
      <c r="P304" s="574" t="s">
        <v>2932</v>
      </c>
      <c r="Q304" s="574" t="s">
        <v>2234</v>
      </c>
      <c r="R304" s="574" t="s">
        <v>2225</v>
      </c>
      <c r="S304" s="574" t="s">
        <v>2235</v>
      </c>
      <c r="T304" s="574" t="s">
        <v>2236</v>
      </c>
      <c r="U304" s="574" t="s">
        <v>3111</v>
      </c>
      <c r="V304" s="574" t="s">
        <v>2238</v>
      </c>
      <c r="W304" s="574" t="s">
        <v>2239</v>
      </c>
      <c r="X304" s="574" t="s">
        <v>3112</v>
      </c>
      <c r="Y304" s="575" t="s">
        <v>2501</v>
      </c>
      <c r="Z304" s="575" t="s">
        <v>2501</v>
      </c>
      <c r="AA304" s="574" t="s">
        <v>1693</v>
      </c>
      <c r="AB304" s="574" t="s">
        <v>2319</v>
      </c>
      <c r="AC304" s="574" t="s">
        <v>2320</v>
      </c>
      <c r="AD304" s="574" t="s">
        <v>2321</v>
      </c>
      <c r="AE304" s="574" t="s">
        <v>1446</v>
      </c>
      <c r="AF304" s="574" t="s">
        <v>2321</v>
      </c>
      <c r="AG304" s="576">
        <v>60531.05</v>
      </c>
    </row>
    <row r="305" spans="1:33" hidden="1" x14ac:dyDescent="0.25">
      <c r="A305" s="574" t="s">
        <v>2219</v>
      </c>
      <c r="B305" s="574" t="s">
        <v>2220</v>
      </c>
      <c r="C305" s="574" t="s">
        <v>2221</v>
      </c>
      <c r="D305" s="574" t="s">
        <v>2220</v>
      </c>
      <c r="E305" s="574" t="s">
        <v>2222</v>
      </c>
      <c r="F305" s="574" t="s">
        <v>2223</v>
      </c>
      <c r="G305" s="574" t="s">
        <v>2224</v>
      </c>
      <c r="H305" s="574" t="s">
        <v>2225</v>
      </c>
      <c r="I305" s="574" t="s">
        <v>2226</v>
      </c>
      <c r="J305" s="574" t="s">
        <v>2227</v>
      </c>
      <c r="K305" s="574" t="s">
        <v>2228</v>
      </c>
      <c r="L305" s="574" t="s">
        <v>2229</v>
      </c>
      <c r="M305" s="574" t="s">
        <v>2230</v>
      </c>
      <c r="N305" s="574" t="s">
        <v>2231</v>
      </c>
      <c r="O305" s="574" t="s">
        <v>2232</v>
      </c>
      <c r="P305" s="574" t="s">
        <v>2233</v>
      </c>
      <c r="Q305" s="574" t="s">
        <v>2234</v>
      </c>
      <c r="R305" s="574" t="s">
        <v>2225</v>
      </c>
      <c r="S305" s="574" t="s">
        <v>2235</v>
      </c>
      <c r="T305" s="574" t="s">
        <v>2236</v>
      </c>
      <c r="U305" s="574" t="s">
        <v>2388</v>
      </c>
      <c r="V305" s="574" t="s">
        <v>2238</v>
      </c>
      <c r="W305" s="574" t="s">
        <v>2239</v>
      </c>
      <c r="X305" s="574" t="s">
        <v>2389</v>
      </c>
      <c r="Y305" s="575" t="s">
        <v>2372</v>
      </c>
      <c r="Z305" s="575" t="s">
        <v>2372</v>
      </c>
      <c r="AA305" s="574" t="s">
        <v>1693</v>
      </c>
      <c r="AB305" s="574" t="s">
        <v>2319</v>
      </c>
      <c r="AC305" s="574" t="s">
        <v>2320</v>
      </c>
      <c r="AD305" s="574" t="s">
        <v>2321</v>
      </c>
      <c r="AE305" s="574" t="s">
        <v>1446</v>
      </c>
      <c r="AF305" s="574" t="s">
        <v>2321</v>
      </c>
      <c r="AG305" s="576">
        <v>64900</v>
      </c>
    </row>
    <row r="306" spans="1:33" hidden="1" x14ac:dyDescent="0.25">
      <c r="A306" s="574" t="s">
        <v>2219</v>
      </c>
      <c r="B306" s="574" t="s">
        <v>2220</v>
      </c>
      <c r="C306" s="574" t="s">
        <v>2221</v>
      </c>
      <c r="D306" s="574" t="s">
        <v>2220</v>
      </c>
      <c r="E306" s="574" t="s">
        <v>2222</v>
      </c>
      <c r="F306" s="574" t="s">
        <v>2223</v>
      </c>
      <c r="G306" s="574" t="s">
        <v>2224</v>
      </c>
      <c r="H306" s="574" t="s">
        <v>2225</v>
      </c>
      <c r="I306" s="574" t="s">
        <v>2226</v>
      </c>
      <c r="J306" s="574" t="s">
        <v>2227</v>
      </c>
      <c r="K306" s="574" t="s">
        <v>2228</v>
      </c>
      <c r="L306" s="574" t="s">
        <v>2229</v>
      </c>
      <c r="M306" s="574" t="s">
        <v>2230</v>
      </c>
      <c r="N306" s="574" t="s">
        <v>2231</v>
      </c>
      <c r="O306" s="574" t="s">
        <v>2759</v>
      </c>
      <c r="P306" s="574" t="s">
        <v>2932</v>
      </c>
      <c r="Q306" s="574" t="s">
        <v>2234</v>
      </c>
      <c r="R306" s="574" t="s">
        <v>2225</v>
      </c>
      <c r="S306" s="574" t="s">
        <v>2235</v>
      </c>
      <c r="T306" s="574" t="s">
        <v>2236</v>
      </c>
      <c r="U306" s="574" t="s">
        <v>3148</v>
      </c>
      <c r="V306" s="574" t="s">
        <v>2238</v>
      </c>
      <c r="W306" s="574" t="s">
        <v>2239</v>
      </c>
      <c r="X306" s="574" t="s">
        <v>3149</v>
      </c>
      <c r="Y306" s="575" t="s">
        <v>2512</v>
      </c>
      <c r="Z306" s="575" t="s">
        <v>2512</v>
      </c>
      <c r="AA306" s="574" t="s">
        <v>1693</v>
      </c>
      <c r="AB306" s="574" t="s">
        <v>2319</v>
      </c>
      <c r="AC306" s="574" t="s">
        <v>2320</v>
      </c>
      <c r="AD306" s="574" t="s">
        <v>2321</v>
      </c>
      <c r="AE306" s="574" t="s">
        <v>1446</v>
      </c>
      <c r="AF306" s="574" t="s">
        <v>2321</v>
      </c>
      <c r="AG306" s="576">
        <v>64900</v>
      </c>
    </row>
    <row r="307" spans="1:33" hidden="1" x14ac:dyDescent="0.25">
      <c r="A307" s="574" t="s">
        <v>2219</v>
      </c>
      <c r="B307" s="574" t="s">
        <v>2220</v>
      </c>
      <c r="C307" s="574" t="s">
        <v>2221</v>
      </c>
      <c r="D307" s="574" t="s">
        <v>2220</v>
      </c>
      <c r="E307" s="574" t="s">
        <v>2222</v>
      </c>
      <c r="F307" s="574" t="s">
        <v>2223</v>
      </c>
      <c r="G307" s="574" t="s">
        <v>2224</v>
      </c>
      <c r="H307" s="574" t="s">
        <v>2225</v>
      </c>
      <c r="I307" s="574" t="s">
        <v>2226</v>
      </c>
      <c r="J307" s="574" t="s">
        <v>2227</v>
      </c>
      <c r="K307" s="574" t="s">
        <v>2228</v>
      </c>
      <c r="L307" s="574" t="s">
        <v>2229</v>
      </c>
      <c r="M307" s="574" t="s">
        <v>2230</v>
      </c>
      <c r="N307" s="574" t="s">
        <v>2231</v>
      </c>
      <c r="O307" s="574" t="s">
        <v>2759</v>
      </c>
      <c r="P307" s="574" t="s">
        <v>2932</v>
      </c>
      <c r="Q307" s="574" t="s">
        <v>2234</v>
      </c>
      <c r="R307" s="574" t="s">
        <v>2225</v>
      </c>
      <c r="S307" s="574" t="s">
        <v>2235</v>
      </c>
      <c r="T307" s="574" t="s">
        <v>2236</v>
      </c>
      <c r="U307" s="574" t="s">
        <v>2604</v>
      </c>
      <c r="V307" s="574" t="s">
        <v>2238</v>
      </c>
      <c r="W307" s="574" t="s">
        <v>2239</v>
      </c>
      <c r="X307" s="574" t="s">
        <v>2605</v>
      </c>
      <c r="Y307" s="575" t="s">
        <v>2599</v>
      </c>
      <c r="Z307" s="575" t="s">
        <v>2599</v>
      </c>
      <c r="AA307" s="574" t="s">
        <v>1693</v>
      </c>
      <c r="AB307" s="574" t="s">
        <v>2319</v>
      </c>
      <c r="AC307" s="574" t="s">
        <v>2320</v>
      </c>
      <c r="AD307" s="574" t="s">
        <v>2321</v>
      </c>
      <c r="AE307" s="574" t="s">
        <v>1446</v>
      </c>
      <c r="AF307" s="574" t="s">
        <v>2321</v>
      </c>
      <c r="AG307" s="576">
        <v>69906.5</v>
      </c>
    </row>
    <row r="308" spans="1:33" hidden="1" x14ac:dyDescent="0.25">
      <c r="A308" s="574" t="s">
        <v>2219</v>
      </c>
      <c r="B308" s="574" t="s">
        <v>2220</v>
      </c>
      <c r="C308" s="574" t="s">
        <v>2221</v>
      </c>
      <c r="D308" s="574" t="s">
        <v>2220</v>
      </c>
      <c r="E308" s="574" t="s">
        <v>2222</v>
      </c>
      <c r="F308" s="574" t="s">
        <v>2223</v>
      </c>
      <c r="G308" s="574" t="s">
        <v>2224</v>
      </c>
      <c r="H308" s="574" t="s">
        <v>2225</v>
      </c>
      <c r="I308" s="574" t="s">
        <v>2226</v>
      </c>
      <c r="J308" s="574" t="s">
        <v>2227</v>
      </c>
      <c r="K308" s="574" t="s">
        <v>2228</v>
      </c>
      <c r="L308" s="574" t="s">
        <v>2229</v>
      </c>
      <c r="M308" s="574" t="s">
        <v>2230</v>
      </c>
      <c r="N308" s="574" t="s">
        <v>2231</v>
      </c>
      <c r="O308" s="574" t="s">
        <v>2759</v>
      </c>
      <c r="P308" s="574" t="s">
        <v>2932</v>
      </c>
      <c r="Q308" s="574" t="s">
        <v>2234</v>
      </c>
      <c r="R308" s="574" t="s">
        <v>2225</v>
      </c>
      <c r="S308" s="574" t="s">
        <v>2235</v>
      </c>
      <c r="T308" s="574" t="s">
        <v>2236</v>
      </c>
      <c r="U308" s="574" t="s">
        <v>3089</v>
      </c>
      <c r="V308" s="574" t="s">
        <v>2238</v>
      </c>
      <c r="W308" s="574" t="s">
        <v>2239</v>
      </c>
      <c r="X308" s="574" t="s">
        <v>3090</v>
      </c>
      <c r="Y308" s="575" t="s">
        <v>3070</v>
      </c>
      <c r="Z308" s="575" t="s">
        <v>3070</v>
      </c>
      <c r="AA308" s="574" t="s">
        <v>1693</v>
      </c>
      <c r="AB308" s="574" t="s">
        <v>2319</v>
      </c>
      <c r="AC308" s="574" t="s">
        <v>2320</v>
      </c>
      <c r="AD308" s="574" t="s">
        <v>2321</v>
      </c>
      <c r="AE308" s="574" t="s">
        <v>1446</v>
      </c>
      <c r="AF308" s="574" t="s">
        <v>2321</v>
      </c>
      <c r="AG308" s="576">
        <v>70800</v>
      </c>
    </row>
    <row r="309" spans="1:33" hidden="1" x14ac:dyDescent="0.25">
      <c r="A309" s="574" t="s">
        <v>2219</v>
      </c>
      <c r="B309" s="574" t="s">
        <v>2220</v>
      </c>
      <c r="C309" s="574" t="s">
        <v>2221</v>
      </c>
      <c r="D309" s="574" t="s">
        <v>2220</v>
      </c>
      <c r="E309" s="574" t="s">
        <v>2222</v>
      </c>
      <c r="F309" s="574" t="s">
        <v>2223</v>
      </c>
      <c r="G309" s="574" t="s">
        <v>2224</v>
      </c>
      <c r="H309" s="574" t="s">
        <v>2225</v>
      </c>
      <c r="I309" s="574" t="s">
        <v>2226</v>
      </c>
      <c r="J309" s="574" t="s">
        <v>2227</v>
      </c>
      <c r="K309" s="574" t="s">
        <v>2228</v>
      </c>
      <c r="L309" s="574" t="s">
        <v>2229</v>
      </c>
      <c r="M309" s="574" t="s">
        <v>2230</v>
      </c>
      <c r="N309" s="574" t="s">
        <v>2231</v>
      </c>
      <c r="O309" s="574" t="s">
        <v>2232</v>
      </c>
      <c r="P309" s="574" t="s">
        <v>2233</v>
      </c>
      <c r="Q309" s="574" t="s">
        <v>2234</v>
      </c>
      <c r="R309" s="574" t="s">
        <v>2225</v>
      </c>
      <c r="S309" s="574" t="s">
        <v>2235</v>
      </c>
      <c r="T309" s="574" t="s">
        <v>2236</v>
      </c>
      <c r="U309" s="574" t="s">
        <v>2467</v>
      </c>
      <c r="V309" s="574" t="s">
        <v>2238</v>
      </c>
      <c r="W309" s="574" t="s">
        <v>2239</v>
      </c>
      <c r="X309" s="574" t="s">
        <v>2468</v>
      </c>
      <c r="Y309" s="575" t="s">
        <v>2464</v>
      </c>
      <c r="Z309" s="575" t="s">
        <v>2464</v>
      </c>
      <c r="AA309" s="574" t="s">
        <v>1693</v>
      </c>
      <c r="AB309" s="574" t="s">
        <v>2319</v>
      </c>
      <c r="AC309" s="574" t="s">
        <v>2320</v>
      </c>
      <c r="AD309" s="574" t="s">
        <v>2321</v>
      </c>
      <c r="AE309" s="574" t="s">
        <v>1446</v>
      </c>
      <c r="AF309" s="574" t="s">
        <v>2321</v>
      </c>
      <c r="AG309" s="576">
        <v>75166.8</v>
      </c>
    </row>
    <row r="310" spans="1:33" hidden="1" x14ac:dyDescent="0.25">
      <c r="A310" s="574" t="s">
        <v>2219</v>
      </c>
      <c r="B310" s="574" t="s">
        <v>2220</v>
      </c>
      <c r="C310" s="574" t="s">
        <v>2221</v>
      </c>
      <c r="D310" s="574" t="s">
        <v>2220</v>
      </c>
      <c r="E310" s="574" t="s">
        <v>2222</v>
      </c>
      <c r="F310" s="574" t="s">
        <v>2223</v>
      </c>
      <c r="G310" s="574" t="s">
        <v>2224</v>
      </c>
      <c r="H310" s="574" t="s">
        <v>2225</v>
      </c>
      <c r="I310" s="574" t="s">
        <v>2226</v>
      </c>
      <c r="J310" s="574" t="s">
        <v>2227</v>
      </c>
      <c r="K310" s="574" t="s">
        <v>2228</v>
      </c>
      <c r="L310" s="574" t="s">
        <v>2229</v>
      </c>
      <c r="M310" s="574" t="s">
        <v>2230</v>
      </c>
      <c r="N310" s="574" t="s">
        <v>2231</v>
      </c>
      <c r="O310" s="574" t="s">
        <v>2759</v>
      </c>
      <c r="P310" s="574" t="s">
        <v>2932</v>
      </c>
      <c r="Q310" s="574" t="s">
        <v>2234</v>
      </c>
      <c r="R310" s="574" t="s">
        <v>2225</v>
      </c>
      <c r="S310" s="574" t="s">
        <v>2235</v>
      </c>
      <c r="T310" s="574" t="s">
        <v>2236</v>
      </c>
      <c r="U310" s="574" t="s">
        <v>2602</v>
      </c>
      <c r="V310" s="574" t="s">
        <v>2238</v>
      </c>
      <c r="W310" s="574" t="s">
        <v>2239</v>
      </c>
      <c r="X310" s="574" t="s">
        <v>2603</v>
      </c>
      <c r="Y310" s="575" t="s">
        <v>2599</v>
      </c>
      <c r="Z310" s="575" t="s">
        <v>2599</v>
      </c>
      <c r="AA310" s="574" t="s">
        <v>1693</v>
      </c>
      <c r="AB310" s="574" t="s">
        <v>2319</v>
      </c>
      <c r="AC310" s="574" t="s">
        <v>2320</v>
      </c>
      <c r="AD310" s="574" t="s">
        <v>2321</v>
      </c>
      <c r="AE310" s="574" t="s">
        <v>1446</v>
      </c>
      <c r="AF310" s="574" t="s">
        <v>2321</v>
      </c>
      <c r="AG310" s="576">
        <v>76800</v>
      </c>
    </row>
    <row r="311" spans="1:33" hidden="1" x14ac:dyDescent="0.25">
      <c r="A311" s="574" t="s">
        <v>2219</v>
      </c>
      <c r="B311" s="574" t="s">
        <v>2220</v>
      </c>
      <c r="C311" s="574" t="s">
        <v>2221</v>
      </c>
      <c r="D311" s="574" t="s">
        <v>2220</v>
      </c>
      <c r="E311" s="574" t="s">
        <v>2222</v>
      </c>
      <c r="F311" s="574" t="s">
        <v>2223</v>
      </c>
      <c r="G311" s="574" t="s">
        <v>2224</v>
      </c>
      <c r="H311" s="574" t="s">
        <v>2225</v>
      </c>
      <c r="I311" s="574" t="s">
        <v>2226</v>
      </c>
      <c r="J311" s="574" t="s">
        <v>2227</v>
      </c>
      <c r="K311" s="574" t="s">
        <v>2228</v>
      </c>
      <c r="L311" s="574" t="s">
        <v>2229</v>
      </c>
      <c r="M311" s="574" t="s">
        <v>2230</v>
      </c>
      <c r="N311" s="574" t="s">
        <v>2231</v>
      </c>
      <c r="O311" s="574" t="s">
        <v>2759</v>
      </c>
      <c r="P311" s="574" t="s">
        <v>2932</v>
      </c>
      <c r="Q311" s="574" t="s">
        <v>2234</v>
      </c>
      <c r="R311" s="574" t="s">
        <v>2225</v>
      </c>
      <c r="S311" s="574" t="s">
        <v>2235</v>
      </c>
      <c r="T311" s="574" t="s">
        <v>2236</v>
      </c>
      <c r="U311" s="574" t="s">
        <v>3105</v>
      </c>
      <c r="V311" s="574" t="s">
        <v>2238</v>
      </c>
      <c r="W311" s="574" t="s">
        <v>2239</v>
      </c>
      <c r="X311" s="574" t="s">
        <v>3106</v>
      </c>
      <c r="Y311" s="575" t="s">
        <v>2726</v>
      </c>
      <c r="Z311" s="575" t="s">
        <v>2726</v>
      </c>
      <c r="AA311" s="574" t="s">
        <v>1693</v>
      </c>
      <c r="AB311" s="574" t="s">
        <v>2319</v>
      </c>
      <c r="AC311" s="574" t="s">
        <v>2320</v>
      </c>
      <c r="AD311" s="574" t="s">
        <v>2321</v>
      </c>
      <c r="AE311" s="574" t="s">
        <v>1446</v>
      </c>
      <c r="AF311" s="574" t="s">
        <v>2321</v>
      </c>
      <c r="AG311" s="576">
        <v>77760</v>
      </c>
    </row>
    <row r="312" spans="1:33" hidden="1" x14ac:dyDescent="0.25">
      <c r="A312" s="574" t="s">
        <v>2219</v>
      </c>
      <c r="B312" s="574" t="s">
        <v>2220</v>
      </c>
      <c r="C312" s="574" t="s">
        <v>2221</v>
      </c>
      <c r="D312" s="574" t="s">
        <v>2220</v>
      </c>
      <c r="E312" s="574" t="s">
        <v>2222</v>
      </c>
      <c r="F312" s="574" t="s">
        <v>2223</v>
      </c>
      <c r="G312" s="574" t="s">
        <v>2224</v>
      </c>
      <c r="H312" s="574" t="s">
        <v>2225</v>
      </c>
      <c r="I312" s="574" t="s">
        <v>2226</v>
      </c>
      <c r="J312" s="574" t="s">
        <v>2227</v>
      </c>
      <c r="K312" s="574" t="s">
        <v>2228</v>
      </c>
      <c r="L312" s="574" t="s">
        <v>2229</v>
      </c>
      <c r="M312" s="574" t="s">
        <v>2230</v>
      </c>
      <c r="N312" s="574" t="s">
        <v>2231</v>
      </c>
      <c r="O312" s="574" t="s">
        <v>2759</v>
      </c>
      <c r="P312" s="574" t="s">
        <v>2932</v>
      </c>
      <c r="Q312" s="574" t="s">
        <v>2234</v>
      </c>
      <c r="R312" s="574" t="s">
        <v>2225</v>
      </c>
      <c r="S312" s="574" t="s">
        <v>2235</v>
      </c>
      <c r="T312" s="574" t="s">
        <v>2236</v>
      </c>
      <c r="U312" s="574" t="s">
        <v>3081</v>
      </c>
      <c r="V312" s="574" t="s">
        <v>2238</v>
      </c>
      <c r="W312" s="574" t="s">
        <v>2239</v>
      </c>
      <c r="X312" s="574" t="s">
        <v>3082</v>
      </c>
      <c r="Y312" s="575" t="s">
        <v>3070</v>
      </c>
      <c r="Z312" s="575" t="s">
        <v>3070</v>
      </c>
      <c r="AA312" s="574" t="s">
        <v>1693</v>
      </c>
      <c r="AB312" s="574" t="s">
        <v>2319</v>
      </c>
      <c r="AC312" s="574" t="s">
        <v>2320</v>
      </c>
      <c r="AD312" s="574" t="s">
        <v>2321</v>
      </c>
      <c r="AE312" s="574" t="s">
        <v>1446</v>
      </c>
      <c r="AF312" s="574" t="s">
        <v>2321</v>
      </c>
      <c r="AG312" s="576">
        <v>78750</v>
      </c>
    </row>
    <row r="313" spans="1:33" hidden="1" x14ac:dyDescent="0.25">
      <c r="A313" s="574" t="s">
        <v>2219</v>
      </c>
      <c r="B313" s="574" t="s">
        <v>2220</v>
      </c>
      <c r="C313" s="574" t="s">
        <v>2221</v>
      </c>
      <c r="D313" s="574" t="s">
        <v>2220</v>
      </c>
      <c r="E313" s="574" t="s">
        <v>2222</v>
      </c>
      <c r="F313" s="574" t="s">
        <v>2223</v>
      </c>
      <c r="G313" s="574" t="s">
        <v>2224</v>
      </c>
      <c r="H313" s="574" t="s">
        <v>2225</v>
      </c>
      <c r="I313" s="574" t="s">
        <v>2226</v>
      </c>
      <c r="J313" s="574" t="s">
        <v>2227</v>
      </c>
      <c r="K313" s="574" t="s">
        <v>2228</v>
      </c>
      <c r="L313" s="574" t="s">
        <v>2229</v>
      </c>
      <c r="M313" s="574" t="s">
        <v>2230</v>
      </c>
      <c r="N313" s="574" t="s">
        <v>2231</v>
      </c>
      <c r="O313" s="574" t="s">
        <v>2759</v>
      </c>
      <c r="P313" s="574" t="s">
        <v>2932</v>
      </c>
      <c r="Q313" s="574" t="s">
        <v>2234</v>
      </c>
      <c r="R313" s="574" t="s">
        <v>2225</v>
      </c>
      <c r="S313" s="574" t="s">
        <v>2235</v>
      </c>
      <c r="T313" s="574" t="s">
        <v>2236</v>
      </c>
      <c r="U313" s="574" t="s">
        <v>3211</v>
      </c>
      <c r="V313" s="574" t="s">
        <v>2238</v>
      </c>
      <c r="W313" s="574" t="s">
        <v>2239</v>
      </c>
      <c r="X313" s="574" t="s">
        <v>3212</v>
      </c>
      <c r="Y313" s="575" t="s">
        <v>2565</v>
      </c>
      <c r="Z313" s="575" t="s">
        <v>2565</v>
      </c>
      <c r="AA313" s="574" t="s">
        <v>1693</v>
      </c>
      <c r="AB313" s="574" t="s">
        <v>2319</v>
      </c>
      <c r="AC313" s="574" t="s">
        <v>2402</v>
      </c>
      <c r="AD313" s="574" t="s">
        <v>2403</v>
      </c>
      <c r="AE313" s="574" t="s">
        <v>1486</v>
      </c>
      <c r="AF313" s="574" t="s">
        <v>2403</v>
      </c>
      <c r="AG313" s="576">
        <v>82600</v>
      </c>
    </row>
    <row r="314" spans="1:33" hidden="1" x14ac:dyDescent="0.25">
      <c r="A314" s="574" t="s">
        <v>2219</v>
      </c>
      <c r="B314" s="574" t="s">
        <v>2220</v>
      </c>
      <c r="C314" s="574" t="s">
        <v>2221</v>
      </c>
      <c r="D314" s="574" t="s">
        <v>2220</v>
      </c>
      <c r="E314" s="574" t="s">
        <v>2222</v>
      </c>
      <c r="F314" s="574" t="s">
        <v>2223</v>
      </c>
      <c r="G314" s="574" t="s">
        <v>2224</v>
      </c>
      <c r="H314" s="574" t="s">
        <v>2225</v>
      </c>
      <c r="I314" s="574" t="s">
        <v>2226</v>
      </c>
      <c r="J314" s="574" t="s">
        <v>2227</v>
      </c>
      <c r="K314" s="574" t="s">
        <v>2228</v>
      </c>
      <c r="L314" s="574" t="s">
        <v>2229</v>
      </c>
      <c r="M314" s="574" t="s">
        <v>2230</v>
      </c>
      <c r="N314" s="574" t="s">
        <v>2231</v>
      </c>
      <c r="O314" s="574" t="s">
        <v>2759</v>
      </c>
      <c r="P314" s="574" t="s">
        <v>2932</v>
      </c>
      <c r="Q314" s="574" t="s">
        <v>2234</v>
      </c>
      <c r="R314" s="574" t="s">
        <v>2225</v>
      </c>
      <c r="S314" s="574" t="s">
        <v>2235</v>
      </c>
      <c r="T314" s="574" t="s">
        <v>2236</v>
      </c>
      <c r="U314" s="574" t="s">
        <v>2630</v>
      </c>
      <c r="V314" s="574" t="s">
        <v>2238</v>
      </c>
      <c r="W314" s="574" t="s">
        <v>2239</v>
      </c>
      <c r="X314" s="574" t="s">
        <v>2631</v>
      </c>
      <c r="Y314" s="575" t="s">
        <v>2599</v>
      </c>
      <c r="Z314" s="575" t="s">
        <v>2599</v>
      </c>
      <c r="AA314" s="574" t="s">
        <v>1693</v>
      </c>
      <c r="AB314" s="574" t="s">
        <v>2319</v>
      </c>
      <c r="AC314" s="574" t="s">
        <v>2402</v>
      </c>
      <c r="AD314" s="574" t="s">
        <v>2403</v>
      </c>
      <c r="AE314" s="574" t="s">
        <v>1486</v>
      </c>
      <c r="AF314" s="574" t="s">
        <v>2403</v>
      </c>
      <c r="AG314" s="576">
        <v>84960</v>
      </c>
    </row>
    <row r="315" spans="1:33" hidden="1" x14ac:dyDescent="0.25">
      <c r="A315" s="574" t="s">
        <v>2219</v>
      </c>
      <c r="B315" s="574" t="s">
        <v>2220</v>
      </c>
      <c r="C315" s="574" t="s">
        <v>2221</v>
      </c>
      <c r="D315" s="574" t="s">
        <v>2220</v>
      </c>
      <c r="E315" s="574" t="s">
        <v>2222</v>
      </c>
      <c r="F315" s="574" t="s">
        <v>2223</v>
      </c>
      <c r="G315" s="574" t="s">
        <v>2224</v>
      </c>
      <c r="H315" s="574" t="s">
        <v>2225</v>
      </c>
      <c r="I315" s="574" t="s">
        <v>2226</v>
      </c>
      <c r="J315" s="574" t="s">
        <v>2227</v>
      </c>
      <c r="K315" s="574" t="s">
        <v>2228</v>
      </c>
      <c r="L315" s="574" t="s">
        <v>2229</v>
      </c>
      <c r="M315" s="574" t="s">
        <v>2230</v>
      </c>
      <c r="N315" s="574" t="s">
        <v>2231</v>
      </c>
      <c r="O315" s="574" t="s">
        <v>2759</v>
      </c>
      <c r="P315" s="574" t="s">
        <v>2932</v>
      </c>
      <c r="Q315" s="574" t="s">
        <v>2234</v>
      </c>
      <c r="R315" s="574" t="s">
        <v>2225</v>
      </c>
      <c r="S315" s="574" t="s">
        <v>2235</v>
      </c>
      <c r="T315" s="574" t="s">
        <v>2236</v>
      </c>
      <c r="U315" s="574" t="s">
        <v>3162</v>
      </c>
      <c r="V315" s="574" t="s">
        <v>2238</v>
      </c>
      <c r="W315" s="574" t="s">
        <v>2239</v>
      </c>
      <c r="X315" s="574" t="s">
        <v>3163</v>
      </c>
      <c r="Y315" s="575" t="s">
        <v>2528</v>
      </c>
      <c r="Z315" s="575" t="s">
        <v>2528</v>
      </c>
      <c r="AA315" s="574" t="s">
        <v>1693</v>
      </c>
      <c r="AB315" s="574" t="s">
        <v>2319</v>
      </c>
      <c r="AC315" s="574" t="s">
        <v>2320</v>
      </c>
      <c r="AD315" s="574" t="s">
        <v>2321</v>
      </c>
      <c r="AE315" s="574" t="s">
        <v>1446</v>
      </c>
      <c r="AF315" s="574" t="s">
        <v>2321</v>
      </c>
      <c r="AG315" s="576">
        <v>88500</v>
      </c>
    </row>
    <row r="316" spans="1:33" hidden="1" x14ac:dyDescent="0.25">
      <c r="A316" s="574" t="s">
        <v>2219</v>
      </c>
      <c r="B316" s="574" t="s">
        <v>2220</v>
      </c>
      <c r="C316" s="574" t="s">
        <v>2221</v>
      </c>
      <c r="D316" s="574" t="s">
        <v>2220</v>
      </c>
      <c r="E316" s="574" t="s">
        <v>2222</v>
      </c>
      <c r="F316" s="574" t="s">
        <v>2223</v>
      </c>
      <c r="G316" s="574" t="s">
        <v>2224</v>
      </c>
      <c r="H316" s="574" t="s">
        <v>2225</v>
      </c>
      <c r="I316" s="574" t="s">
        <v>2226</v>
      </c>
      <c r="J316" s="574" t="s">
        <v>2227</v>
      </c>
      <c r="K316" s="574" t="s">
        <v>2228</v>
      </c>
      <c r="L316" s="574" t="s">
        <v>2229</v>
      </c>
      <c r="M316" s="574" t="s">
        <v>2230</v>
      </c>
      <c r="N316" s="574" t="s">
        <v>2231</v>
      </c>
      <c r="O316" s="574" t="s">
        <v>2759</v>
      </c>
      <c r="P316" s="574" t="s">
        <v>2932</v>
      </c>
      <c r="Q316" s="574" t="s">
        <v>2234</v>
      </c>
      <c r="R316" s="574" t="s">
        <v>2225</v>
      </c>
      <c r="S316" s="574" t="s">
        <v>2235</v>
      </c>
      <c r="T316" s="574" t="s">
        <v>2236</v>
      </c>
      <c r="U316" s="574" t="s">
        <v>3261</v>
      </c>
      <c r="V316" s="574" t="s">
        <v>2238</v>
      </c>
      <c r="W316" s="574" t="s">
        <v>2239</v>
      </c>
      <c r="X316" s="574" t="s">
        <v>3262</v>
      </c>
      <c r="Y316" s="575" t="s">
        <v>2586</v>
      </c>
      <c r="Z316" s="575" t="s">
        <v>2586</v>
      </c>
      <c r="AA316" s="574" t="s">
        <v>1693</v>
      </c>
      <c r="AB316" s="574" t="s">
        <v>2319</v>
      </c>
      <c r="AC316" s="574" t="s">
        <v>2320</v>
      </c>
      <c r="AD316" s="574" t="s">
        <v>2321</v>
      </c>
      <c r="AE316" s="574" t="s">
        <v>1446</v>
      </c>
      <c r="AF316" s="574" t="s">
        <v>2321</v>
      </c>
      <c r="AG316" s="576">
        <v>88500</v>
      </c>
    </row>
    <row r="317" spans="1:33" hidden="1" x14ac:dyDescent="0.25">
      <c r="A317" s="574" t="s">
        <v>2219</v>
      </c>
      <c r="B317" s="574" t="s">
        <v>2220</v>
      </c>
      <c r="C317" s="574" t="s">
        <v>2221</v>
      </c>
      <c r="D317" s="574" t="s">
        <v>2220</v>
      </c>
      <c r="E317" s="574" t="s">
        <v>2222</v>
      </c>
      <c r="F317" s="574" t="s">
        <v>2223</v>
      </c>
      <c r="G317" s="574" t="s">
        <v>2224</v>
      </c>
      <c r="H317" s="574" t="s">
        <v>2225</v>
      </c>
      <c r="I317" s="574" t="s">
        <v>2226</v>
      </c>
      <c r="J317" s="574" t="s">
        <v>2227</v>
      </c>
      <c r="K317" s="574" t="s">
        <v>2228</v>
      </c>
      <c r="L317" s="574" t="s">
        <v>2229</v>
      </c>
      <c r="M317" s="574" t="s">
        <v>2230</v>
      </c>
      <c r="N317" s="574" t="s">
        <v>2231</v>
      </c>
      <c r="O317" s="574" t="s">
        <v>2759</v>
      </c>
      <c r="P317" s="574" t="s">
        <v>2932</v>
      </c>
      <c r="Q317" s="574" t="s">
        <v>2234</v>
      </c>
      <c r="R317" s="574" t="s">
        <v>2225</v>
      </c>
      <c r="S317" s="574" t="s">
        <v>2235</v>
      </c>
      <c r="T317" s="574" t="s">
        <v>2236</v>
      </c>
      <c r="U317" s="574" t="s">
        <v>3290</v>
      </c>
      <c r="V317" s="574" t="s">
        <v>2238</v>
      </c>
      <c r="W317" s="574" t="s">
        <v>2239</v>
      </c>
      <c r="X317" s="574" t="s">
        <v>3291</v>
      </c>
      <c r="Y317" s="575" t="s">
        <v>2678</v>
      </c>
      <c r="Z317" s="575" t="s">
        <v>2678</v>
      </c>
      <c r="AA317" s="574" t="s">
        <v>1693</v>
      </c>
      <c r="AB317" s="574" t="s">
        <v>2319</v>
      </c>
      <c r="AC317" s="574" t="s">
        <v>2320</v>
      </c>
      <c r="AD317" s="574" t="s">
        <v>2321</v>
      </c>
      <c r="AE317" s="574" t="s">
        <v>1446</v>
      </c>
      <c r="AF317" s="574" t="s">
        <v>2321</v>
      </c>
      <c r="AG317" s="576">
        <v>88500</v>
      </c>
    </row>
    <row r="318" spans="1:33" hidden="1" x14ac:dyDescent="0.25">
      <c r="A318" s="574" t="s">
        <v>2219</v>
      </c>
      <c r="B318" s="574" t="s">
        <v>2220</v>
      </c>
      <c r="C318" s="574" t="s">
        <v>2221</v>
      </c>
      <c r="D318" s="574" t="s">
        <v>2220</v>
      </c>
      <c r="E318" s="574" t="s">
        <v>2222</v>
      </c>
      <c r="F318" s="574" t="s">
        <v>2223</v>
      </c>
      <c r="G318" s="574" t="s">
        <v>2224</v>
      </c>
      <c r="H318" s="574" t="s">
        <v>2225</v>
      </c>
      <c r="I318" s="574" t="s">
        <v>2226</v>
      </c>
      <c r="J318" s="574" t="s">
        <v>2227</v>
      </c>
      <c r="K318" s="574" t="s">
        <v>2228</v>
      </c>
      <c r="L318" s="574" t="s">
        <v>2229</v>
      </c>
      <c r="M318" s="574" t="s">
        <v>2230</v>
      </c>
      <c r="N318" s="574" t="s">
        <v>2231</v>
      </c>
      <c r="O318" s="574" t="s">
        <v>2759</v>
      </c>
      <c r="P318" s="574" t="s">
        <v>2932</v>
      </c>
      <c r="Q318" s="574" t="s">
        <v>2234</v>
      </c>
      <c r="R318" s="574" t="s">
        <v>2225</v>
      </c>
      <c r="S318" s="574" t="s">
        <v>2235</v>
      </c>
      <c r="T318" s="574" t="s">
        <v>2236</v>
      </c>
      <c r="U318" s="574" t="s">
        <v>3134</v>
      </c>
      <c r="V318" s="574" t="s">
        <v>2238</v>
      </c>
      <c r="W318" s="574" t="s">
        <v>2239</v>
      </c>
      <c r="X318" s="574" t="s">
        <v>3135</v>
      </c>
      <c r="Y318" s="575" t="s">
        <v>2507</v>
      </c>
      <c r="Z318" s="575" t="s">
        <v>2507</v>
      </c>
      <c r="AA318" s="574" t="s">
        <v>1693</v>
      </c>
      <c r="AB318" s="574" t="s">
        <v>2319</v>
      </c>
      <c r="AC318" s="574" t="s">
        <v>2320</v>
      </c>
      <c r="AD318" s="574" t="s">
        <v>2321</v>
      </c>
      <c r="AE318" s="574" t="s">
        <v>1446</v>
      </c>
      <c r="AF318" s="574" t="s">
        <v>2321</v>
      </c>
      <c r="AG318" s="576">
        <v>89970</v>
      </c>
    </row>
    <row r="319" spans="1:33" hidden="1" x14ac:dyDescent="0.25">
      <c r="A319" s="574" t="s">
        <v>2219</v>
      </c>
      <c r="B319" s="574" t="s">
        <v>2220</v>
      </c>
      <c r="C319" s="574" t="s">
        <v>2221</v>
      </c>
      <c r="D319" s="574" t="s">
        <v>2220</v>
      </c>
      <c r="E319" s="574" t="s">
        <v>2222</v>
      </c>
      <c r="F319" s="574" t="s">
        <v>2223</v>
      </c>
      <c r="G319" s="574" t="s">
        <v>2224</v>
      </c>
      <c r="H319" s="574" t="s">
        <v>2225</v>
      </c>
      <c r="I319" s="574" t="s">
        <v>2226</v>
      </c>
      <c r="J319" s="574" t="s">
        <v>2227</v>
      </c>
      <c r="K319" s="574" t="s">
        <v>2228</v>
      </c>
      <c r="L319" s="574" t="s">
        <v>2229</v>
      </c>
      <c r="M319" s="574" t="s">
        <v>2230</v>
      </c>
      <c r="N319" s="574" t="s">
        <v>2231</v>
      </c>
      <c r="O319" s="574" t="s">
        <v>2759</v>
      </c>
      <c r="P319" s="574" t="s">
        <v>2932</v>
      </c>
      <c r="Q319" s="574" t="s">
        <v>2234</v>
      </c>
      <c r="R319" s="574" t="s">
        <v>2225</v>
      </c>
      <c r="S319" s="574" t="s">
        <v>2235</v>
      </c>
      <c r="T319" s="574" t="s">
        <v>2236</v>
      </c>
      <c r="U319" s="574" t="s">
        <v>3255</v>
      </c>
      <c r="V319" s="574" t="s">
        <v>2238</v>
      </c>
      <c r="W319" s="574" t="s">
        <v>2239</v>
      </c>
      <c r="X319" s="574" t="s">
        <v>3256</v>
      </c>
      <c r="Y319" s="575" t="s">
        <v>2586</v>
      </c>
      <c r="Z319" s="575" t="s">
        <v>2586</v>
      </c>
      <c r="AA319" s="574" t="s">
        <v>1693</v>
      </c>
      <c r="AB319" s="574" t="s">
        <v>2319</v>
      </c>
      <c r="AC319" s="574" t="s">
        <v>2320</v>
      </c>
      <c r="AD319" s="574" t="s">
        <v>2321</v>
      </c>
      <c r="AE319" s="574" t="s">
        <v>1446</v>
      </c>
      <c r="AF319" s="574" t="s">
        <v>2321</v>
      </c>
      <c r="AG319" s="576">
        <v>92040</v>
      </c>
    </row>
    <row r="320" spans="1:33" hidden="1" x14ac:dyDescent="0.25">
      <c r="A320" s="574" t="s">
        <v>2219</v>
      </c>
      <c r="B320" s="574" t="s">
        <v>2220</v>
      </c>
      <c r="C320" s="574" t="s">
        <v>2221</v>
      </c>
      <c r="D320" s="574" t="s">
        <v>2220</v>
      </c>
      <c r="E320" s="574" t="s">
        <v>2222</v>
      </c>
      <c r="F320" s="574" t="s">
        <v>2223</v>
      </c>
      <c r="G320" s="574" t="s">
        <v>2224</v>
      </c>
      <c r="H320" s="574" t="s">
        <v>2225</v>
      </c>
      <c r="I320" s="574" t="s">
        <v>2226</v>
      </c>
      <c r="J320" s="574" t="s">
        <v>2227</v>
      </c>
      <c r="K320" s="574" t="s">
        <v>2228</v>
      </c>
      <c r="L320" s="574" t="s">
        <v>2229</v>
      </c>
      <c r="M320" s="574" t="s">
        <v>2230</v>
      </c>
      <c r="N320" s="574" t="s">
        <v>2231</v>
      </c>
      <c r="O320" s="574" t="s">
        <v>2759</v>
      </c>
      <c r="P320" s="574" t="s">
        <v>2932</v>
      </c>
      <c r="Q320" s="574" t="s">
        <v>2234</v>
      </c>
      <c r="R320" s="574" t="s">
        <v>2225</v>
      </c>
      <c r="S320" s="574" t="s">
        <v>2235</v>
      </c>
      <c r="T320" s="574" t="s">
        <v>2236</v>
      </c>
      <c r="U320" s="574" t="s">
        <v>3099</v>
      </c>
      <c r="V320" s="574" t="s">
        <v>2238</v>
      </c>
      <c r="W320" s="574" t="s">
        <v>2239</v>
      </c>
      <c r="X320" s="574" t="s">
        <v>3100</v>
      </c>
      <c r="Y320" s="575" t="s">
        <v>2496</v>
      </c>
      <c r="Z320" s="575" t="s">
        <v>2496</v>
      </c>
      <c r="AA320" s="574" t="s">
        <v>1693</v>
      </c>
      <c r="AB320" s="574" t="s">
        <v>2319</v>
      </c>
      <c r="AC320" s="574" t="s">
        <v>2320</v>
      </c>
      <c r="AD320" s="574" t="s">
        <v>2321</v>
      </c>
      <c r="AE320" s="574" t="s">
        <v>1446</v>
      </c>
      <c r="AF320" s="574" t="s">
        <v>2321</v>
      </c>
      <c r="AG320" s="576">
        <v>92699.62</v>
      </c>
    </row>
    <row r="321" spans="1:33" hidden="1" x14ac:dyDescent="0.25">
      <c r="A321" s="574" t="s">
        <v>2219</v>
      </c>
      <c r="B321" s="574" t="s">
        <v>2220</v>
      </c>
      <c r="C321" s="574" t="s">
        <v>2221</v>
      </c>
      <c r="D321" s="574" t="s">
        <v>2220</v>
      </c>
      <c r="E321" s="574" t="s">
        <v>2222</v>
      </c>
      <c r="F321" s="574" t="s">
        <v>2223</v>
      </c>
      <c r="G321" s="574" t="s">
        <v>2224</v>
      </c>
      <c r="H321" s="574" t="s">
        <v>2225</v>
      </c>
      <c r="I321" s="574" t="s">
        <v>2226</v>
      </c>
      <c r="J321" s="574" t="s">
        <v>2227</v>
      </c>
      <c r="K321" s="574" t="s">
        <v>2228</v>
      </c>
      <c r="L321" s="574" t="s">
        <v>2229</v>
      </c>
      <c r="M321" s="574" t="s">
        <v>2230</v>
      </c>
      <c r="N321" s="574" t="s">
        <v>2231</v>
      </c>
      <c r="O321" s="574" t="s">
        <v>2759</v>
      </c>
      <c r="P321" s="574" t="s">
        <v>2932</v>
      </c>
      <c r="Q321" s="574" t="s">
        <v>2234</v>
      </c>
      <c r="R321" s="574" t="s">
        <v>2225</v>
      </c>
      <c r="S321" s="574" t="s">
        <v>2235</v>
      </c>
      <c r="T321" s="574" t="s">
        <v>2236</v>
      </c>
      <c r="U321" s="574" t="s">
        <v>2584</v>
      </c>
      <c r="V321" s="574" t="s">
        <v>2238</v>
      </c>
      <c r="W321" s="574" t="s">
        <v>2239</v>
      </c>
      <c r="X321" s="574" t="s">
        <v>2585</v>
      </c>
      <c r="Y321" s="575" t="s">
        <v>2586</v>
      </c>
      <c r="Z321" s="575" t="s">
        <v>2586</v>
      </c>
      <c r="AA321" s="574" t="s">
        <v>1693</v>
      </c>
      <c r="AB321" s="574" t="s">
        <v>2319</v>
      </c>
      <c r="AC321" s="574" t="s">
        <v>2320</v>
      </c>
      <c r="AD321" s="574" t="s">
        <v>2321</v>
      </c>
      <c r="AE321" s="574" t="s">
        <v>1446</v>
      </c>
      <c r="AF321" s="574" t="s">
        <v>2321</v>
      </c>
      <c r="AG321" s="576">
        <v>100138.2</v>
      </c>
    </row>
    <row r="322" spans="1:33" hidden="1" x14ac:dyDescent="0.25">
      <c r="A322" s="574" t="s">
        <v>2219</v>
      </c>
      <c r="B322" s="574" t="s">
        <v>2220</v>
      </c>
      <c r="C322" s="574" t="s">
        <v>2221</v>
      </c>
      <c r="D322" s="574" t="s">
        <v>2220</v>
      </c>
      <c r="E322" s="574" t="s">
        <v>2222</v>
      </c>
      <c r="F322" s="574" t="s">
        <v>2223</v>
      </c>
      <c r="G322" s="574" t="s">
        <v>2224</v>
      </c>
      <c r="H322" s="574" t="s">
        <v>2225</v>
      </c>
      <c r="I322" s="574" t="s">
        <v>2226</v>
      </c>
      <c r="J322" s="574" t="s">
        <v>2227</v>
      </c>
      <c r="K322" s="574" t="s">
        <v>2228</v>
      </c>
      <c r="L322" s="574" t="s">
        <v>2229</v>
      </c>
      <c r="M322" s="574" t="s">
        <v>2230</v>
      </c>
      <c r="N322" s="574" t="s">
        <v>2231</v>
      </c>
      <c r="O322" s="574" t="s">
        <v>2759</v>
      </c>
      <c r="P322" s="574" t="s">
        <v>2932</v>
      </c>
      <c r="Q322" s="574" t="s">
        <v>2234</v>
      </c>
      <c r="R322" s="574" t="s">
        <v>2225</v>
      </c>
      <c r="S322" s="574" t="s">
        <v>2235</v>
      </c>
      <c r="T322" s="574" t="s">
        <v>2236</v>
      </c>
      <c r="U322" s="574" t="s">
        <v>3059</v>
      </c>
      <c r="V322" s="574" t="s">
        <v>2238</v>
      </c>
      <c r="W322" s="574" t="s">
        <v>2239</v>
      </c>
      <c r="X322" s="574" t="s">
        <v>3060</v>
      </c>
      <c r="Y322" s="575" t="s">
        <v>2474</v>
      </c>
      <c r="Z322" s="575" t="s">
        <v>2474</v>
      </c>
      <c r="AA322" s="574" t="s">
        <v>1693</v>
      </c>
      <c r="AB322" s="574" t="s">
        <v>2319</v>
      </c>
      <c r="AC322" s="574" t="s">
        <v>2320</v>
      </c>
      <c r="AD322" s="574" t="s">
        <v>2321</v>
      </c>
      <c r="AE322" s="574" t="s">
        <v>1446</v>
      </c>
      <c r="AF322" s="574" t="s">
        <v>2321</v>
      </c>
      <c r="AG322" s="576">
        <v>106554</v>
      </c>
    </row>
    <row r="323" spans="1:33" hidden="1" x14ac:dyDescent="0.25">
      <c r="A323" s="574" t="s">
        <v>2219</v>
      </c>
      <c r="B323" s="574" t="s">
        <v>2220</v>
      </c>
      <c r="C323" s="574" t="s">
        <v>2221</v>
      </c>
      <c r="D323" s="574" t="s">
        <v>2220</v>
      </c>
      <c r="E323" s="574" t="s">
        <v>2222</v>
      </c>
      <c r="F323" s="574" t="s">
        <v>2223</v>
      </c>
      <c r="G323" s="574" t="s">
        <v>2224</v>
      </c>
      <c r="H323" s="574" t="s">
        <v>2225</v>
      </c>
      <c r="I323" s="574" t="s">
        <v>2226</v>
      </c>
      <c r="J323" s="574" t="s">
        <v>2227</v>
      </c>
      <c r="K323" s="574" t="s">
        <v>2228</v>
      </c>
      <c r="L323" s="574" t="s">
        <v>2229</v>
      </c>
      <c r="M323" s="574" t="s">
        <v>2230</v>
      </c>
      <c r="N323" s="574" t="s">
        <v>2231</v>
      </c>
      <c r="O323" s="574" t="s">
        <v>2759</v>
      </c>
      <c r="P323" s="574" t="s">
        <v>2932</v>
      </c>
      <c r="Q323" s="574" t="s">
        <v>2234</v>
      </c>
      <c r="R323" s="574" t="s">
        <v>2225</v>
      </c>
      <c r="S323" s="574" t="s">
        <v>2235</v>
      </c>
      <c r="T323" s="574" t="s">
        <v>2236</v>
      </c>
      <c r="U323" s="574" t="s">
        <v>3152</v>
      </c>
      <c r="V323" s="574" t="s">
        <v>2238</v>
      </c>
      <c r="W323" s="574" t="s">
        <v>2239</v>
      </c>
      <c r="X323" s="574" t="s">
        <v>3153</v>
      </c>
      <c r="Y323" s="575" t="s">
        <v>2512</v>
      </c>
      <c r="Z323" s="575" t="s">
        <v>2512</v>
      </c>
      <c r="AA323" s="574" t="s">
        <v>1693</v>
      </c>
      <c r="AB323" s="574" t="s">
        <v>2319</v>
      </c>
      <c r="AC323" s="574" t="s">
        <v>2320</v>
      </c>
      <c r="AD323" s="574" t="s">
        <v>2321</v>
      </c>
      <c r="AE323" s="574" t="s">
        <v>1446</v>
      </c>
      <c r="AF323" s="574" t="s">
        <v>2321</v>
      </c>
      <c r="AG323" s="576">
        <v>108000</v>
      </c>
    </row>
    <row r="324" spans="1:33" hidden="1" x14ac:dyDescent="0.25">
      <c r="A324" s="574" t="s">
        <v>2219</v>
      </c>
      <c r="B324" s="574" t="s">
        <v>2220</v>
      </c>
      <c r="C324" s="574" t="s">
        <v>2221</v>
      </c>
      <c r="D324" s="574" t="s">
        <v>2220</v>
      </c>
      <c r="E324" s="574" t="s">
        <v>2222</v>
      </c>
      <c r="F324" s="574" t="s">
        <v>2223</v>
      </c>
      <c r="G324" s="574" t="s">
        <v>2224</v>
      </c>
      <c r="H324" s="574" t="s">
        <v>2225</v>
      </c>
      <c r="I324" s="574" t="s">
        <v>2226</v>
      </c>
      <c r="J324" s="574" t="s">
        <v>2227</v>
      </c>
      <c r="K324" s="574" t="s">
        <v>2228</v>
      </c>
      <c r="L324" s="574" t="s">
        <v>2229</v>
      </c>
      <c r="M324" s="574" t="s">
        <v>2230</v>
      </c>
      <c r="N324" s="574" t="s">
        <v>2231</v>
      </c>
      <c r="O324" s="574" t="s">
        <v>2759</v>
      </c>
      <c r="P324" s="574" t="s">
        <v>2932</v>
      </c>
      <c r="Q324" s="574" t="s">
        <v>2234</v>
      </c>
      <c r="R324" s="574" t="s">
        <v>2225</v>
      </c>
      <c r="S324" s="574" t="s">
        <v>2235</v>
      </c>
      <c r="T324" s="574" t="s">
        <v>2236</v>
      </c>
      <c r="U324" s="574" t="s">
        <v>3128</v>
      </c>
      <c r="V324" s="574" t="s">
        <v>2238</v>
      </c>
      <c r="W324" s="574" t="s">
        <v>2239</v>
      </c>
      <c r="X324" s="574" t="s">
        <v>3129</v>
      </c>
      <c r="Y324" s="575" t="s">
        <v>2504</v>
      </c>
      <c r="Z324" s="575" t="s">
        <v>2504</v>
      </c>
      <c r="AA324" s="574" t="s">
        <v>1693</v>
      </c>
      <c r="AB324" s="574" t="s">
        <v>2319</v>
      </c>
      <c r="AC324" s="574" t="s">
        <v>2320</v>
      </c>
      <c r="AD324" s="574" t="s">
        <v>2321</v>
      </c>
      <c r="AE324" s="574" t="s">
        <v>1446</v>
      </c>
      <c r="AF324" s="574" t="s">
        <v>2321</v>
      </c>
      <c r="AG324" s="576">
        <v>109740</v>
      </c>
    </row>
    <row r="325" spans="1:33" hidden="1" x14ac:dyDescent="0.25">
      <c r="A325" s="574" t="s">
        <v>2219</v>
      </c>
      <c r="B325" s="574" t="s">
        <v>2220</v>
      </c>
      <c r="C325" s="574" t="s">
        <v>2221</v>
      </c>
      <c r="D325" s="574" t="s">
        <v>2220</v>
      </c>
      <c r="E325" s="574" t="s">
        <v>2222</v>
      </c>
      <c r="F325" s="574" t="s">
        <v>2223</v>
      </c>
      <c r="G325" s="574" t="s">
        <v>2224</v>
      </c>
      <c r="H325" s="574" t="s">
        <v>2225</v>
      </c>
      <c r="I325" s="574" t="s">
        <v>2226</v>
      </c>
      <c r="J325" s="574" t="s">
        <v>2227</v>
      </c>
      <c r="K325" s="574" t="s">
        <v>2228</v>
      </c>
      <c r="L325" s="574" t="s">
        <v>2229</v>
      </c>
      <c r="M325" s="574" t="s">
        <v>2230</v>
      </c>
      <c r="N325" s="574" t="s">
        <v>2231</v>
      </c>
      <c r="O325" s="574" t="s">
        <v>2759</v>
      </c>
      <c r="P325" s="574" t="s">
        <v>2932</v>
      </c>
      <c r="Q325" s="574" t="s">
        <v>2234</v>
      </c>
      <c r="R325" s="574" t="s">
        <v>2225</v>
      </c>
      <c r="S325" s="574" t="s">
        <v>2235</v>
      </c>
      <c r="T325" s="574" t="s">
        <v>2236</v>
      </c>
      <c r="U325" s="574" t="s">
        <v>3031</v>
      </c>
      <c r="V325" s="574" t="s">
        <v>2238</v>
      </c>
      <c r="W325" s="574" t="s">
        <v>2239</v>
      </c>
      <c r="X325" s="574" t="s">
        <v>3032</v>
      </c>
      <c r="Y325" s="575" t="s">
        <v>2464</v>
      </c>
      <c r="Z325" s="575" t="s">
        <v>2464</v>
      </c>
      <c r="AA325" s="574" t="s">
        <v>1693</v>
      </c>
      <c r="AB325" s="574" t="s">
        <v>2319</v>
      </c>
      <c r="AC325" s="574" t="s">
        <v>2320</v>
      </c>
      <c r="AD325" s="574" t="s">
        <v>2321</v>
      </c>
      <c r="AE325" s="574" t="s">
        <v>1446</v>
      </c>
      <c r="AF325" s="574" t="s">
        <v>2321</v>
      </c>
      <c r="AG325" s="576">
        <v>110520</v>
      </c>
    </row>
    <row r="326" spans="1:33" hidden="1" x14ac:dyDescent="0.25">
      <c r="A326" s="574" t="s">
        <v>2219</v>
      </c>
      <c r="B326" s="574" t="s">
        <v>2220</v>
      </c>
      <c r="C326" s="574" t="s">
        <v>2221</v>
      </c>
      <c r="D326" s="574" t="s">
        <v>2220</v>
      </c>
      <c r="E326" s="574" t="s">
        <v>2222</v>
      </c>
      <c r="F326" s="574" t="s">
        <v>2223</v>
      </c>
      <c r="G326" s="574" t="s">
        <v>2224</v>
      </c>
      <c r="H326" s="574" t="s">
        <v>2225</v>
      </c>
      <c r="I326" s="574" t="s">
        <v>2226</v>
      </c>
      <c r="J326" s="574" t="s">
        <v>2227</v>
      </c>
      <c r="K326" s="574" t="s">
        <v>2228</v>
      </c>
      <c r="L326" s="574" t="s">
        <v>2229</v>
      </c>
      <c r="M326" s="574" t="s">
        <v>2230</v>
      </c>
      <c r="N326" s="574" t="s">
        <v>2231</v>
      </c>
      <c r="O326" s="574" t="s">
        <v>2759</v>
      </c>
      <c r="P326" s="574" t="s">
        <v>2932</v>
      </c>
      <c r="Q326" s="574" t="s">
        <v>2234</v>
      </c>
      <c r="R326" s="574" t="s">
        <v>2225</v>
      </c>
      <c r="S326" s="574" t="s">
        <v>2235</v>
      </c>
      <c r="T326" s="574" t="s">
        <v>2236</v>
      </c>
      <c r="U326" s="574" t="s">
        <v>3288</v>
      </c>
      <c r="V326" s="574" t="s">
        <v>2238</v>
      </c>
      <c r="W326" s="574" t="s">
        <v>2239</v>
      </c>
      <c r="X326" s="574" t="s">
        <v>3289</v>
      </c>
      <c r="Y326" s="575" t="s">
        <v>2593</v>
      </c>
      <c r="Z326" s="575" t="s">
        <v>2593</v>
      </c>
      <c r="AA326" s="574" t="s">
        <v>1693</v>
      </c>
      <c r="AB326" s="574" t="s">
        <v>2319</v>
      </c>
      <c r="AC326" s="574" t="s">
        <v>2320</v>
      </c>
      <c r="AD326" s="574" t="s">
        <v>2321</v>
      </c>
      <c r="AE326" s="574" t="s">
        <v>1446</v>
      </c>
      <c r="AF326" s="574" t="s">
        <v>2321</v>
      </c>
      <c r="AG326" s="576">
        <v>112100</v>
      </c>
    </row>
    <row r="327" spans="1:33" hidden="1" x14ac:dyDescent="0.25">
      <c r="A327" s="574" t="s">
        <v>2219</v>
      </c>
      <c r="B327" s="574" t="s">
        <v>2220</v>
      </c>
      <c r="C327" s="574" t="s">
        <v>2221</v>
      </c>
      <c r="D327" s="574" t="s">
        <v>2220</v>
      </c>
      <c r="E327" s="574" t="s">
        <v>2222</v>
      </c>
      <c r="F327" s="574" t="s">
        <v>2223</v>
      </c>
      <c r="G327" s="574" t="s">
        <v>2224</v>
      </c>
      <c r="H327" s="574" t="s">
        <v>2225</v>
      </c>
      <c r="I327" s="574" t="s">
        <v>2226</v>
      </c>
      <c r="J327" s="574" t="s">
        <v>2227</v>
      </c>
      <c r="K327" s="574" t="s">
        <v>2228</v>
      </c>
      <c r="L327" s="574" t="s">
        <v>2229</v>
      </c>
      <c r="M327" s="574" t="s">
        <v>2230</v>
      </c>
      <c r="N327" s="574" t="s">
        <v>2231</v>
      </c>
      <c r="O327" s="574" t="s">
        <v>2759</v>
      </c>
      <c r="P327" s="574" t="s">
        <v>2932</v>
      </c>
      <c r="Q327" s="574" t="s">
        <v>2234</v>
      </c>
      <c r="R327" s="574" t="s">
        <v>2225</v>
      </c>
      <c r="S327" s="574" t="s">
        <v>2235</v>
      </c>
      <c r="T327" s="574" t="s">
        <v>2236</v>
      </c>
      <c r="U327" s="574" t="s">
        <v>3019</v>
      </c>
      <c r="V327" s="574" t="s">
        <v>2238</v>
      </c>
      <c r="W327" s="574" t="s">
        <v>2239</v>
      </c>
      <c r="X327" s="574" t="s">
        <v>3020</v>
      </c>
      <c r="Y327" s="575" t="s">
        <v>2667</v>
      </c>
      <c r="Z327" s="575" t="s">
        <v>2667</v>
      </c>
      <c r="AA327" s="574" t="s">
        <v>1693</v>
      </c>
      <c r="AB327" s="574" t="s">
        <v>2319</v>
      </c>
      <c r="AC327" s="574" t="s">
        <v>2652</v>
      </c>
      <c r="AD327" s="574" t="s">
        <v>2653</v>
      </c>
      <c r="AE327" s="574" t="s">
        <v>2654</v>
      </c>
      <c r="AF327" s="574" t="s">
        <v>2655</v>
      </c>
      <c r="AG327" s="576">
        <v>115640</v>
      </c>
    </row>
    <row r="328" spans="1:33" hidden="1" x14ac:dyDescent="0.25">
      <c r="A328" s="574" t="s">
        <v>2219</v>
      </c>
      <c r="B328" s="574" t="s">
        <v>2220</v>
      </c>
      <c r="C328" s="574" t="s">
        <v>2221</v>
      </c>
      <c r="D328" s="574" t="s">
        <v>2220</v>
      </c>
      <c r="E328" s="574" t="s">
        <v>2222</v>
      </c>
      <c r="F328" s="574" t="s">
        <v>2223</v>
      </c>
      <c r="G328" s="574" t="s">
        <v>2224</v>
      </c>
      <c r="H328" s="574" t="s">
        <v>2225</v>
      </c>
      <c r="I328" s="574" t="s">
        <v>2226</v>
      </c>
      <c r="J328" s="574" t="s">
        <v>2227</v>
      </c>
      <c r="K328" s="574" t="s">
        <v>2228</v>
      </c>
      <c r="L328" s="574" t="s">
        <v>2229</v>
      </c>
      <c r="M328" s="574" t="s">
        <v>2230</v>
      </c>
      <c r="N328" s="574" t="s">
        <v>2231</v>
      </c>
      <c r="O328" s="574" t="s">
        <v>2759</v>
      </c>
      <c r="P328" s="574" t="s">
        <v>2932</v>
      </c>
      <c r="Q328" s="574" t="s">
        <v>2234</v>
      </c>
      <c r="R328" s="574" t="s">
        <v>2225</v>
      </c>
      <c r="S328" s="574" t="s">
        <v>2235</v>
      </c>
      <c r="T328" s="574" t="s">
        <v>2236</v>
      </c>
      <c r="U328" s="574" t="s">
        <v>2994</v>
      </c>
      <c r="V328" s="574" t="s">
        <v>2238</v>
      </c>
      <c r="W328" s="574" t="s">
        <v>2239</v>
      </c>
      <c r="X328" s="574" t="s">
        <v>2995</v>
      </c>
      <c r="Y328" s="575" t="s">
        <v>2429</v>
      </c>
      <c r="Z328" s="575" t="s">
        <v>2429</v>
      </c>
      <c r="AA328" s="574" t="s">
        <v>1693</v>
      </c>
      <c r="AB328" s="574" t="s">
        <v>2319</v>
      </c>
      <c r="AC328" s="574" t="s">
        <v>2962</v>
      </c>
      <c r="AD328" s="574" t="s">
        <v>126</v>
      </c>
      <c r="AE328" s="574" t="s">
        <v>1522</v>
      </c>
      <c r="AF328" s="574" t="s">
        <v>126</v>
      </c>
      <c r="AG328" s="576">
        <v>123900</v>
      </c>
    </row>
    <row r="329" spans="1:33" hidden="1" x14ac:dyDescent="0.25">
      <c r="A329" s="574" t="s">
        <v>2219</v>
      </c>
      <c r="B329" s="574" t="s">
        <v>2220</v>
      </c>
      <c r="C329" s="574" t="s">
        <v>2221</v>
      </c>
      <c r="D329" s="574" t="s">
        <v>2220</v>
      </c>
      <c r="E329" s="574" t="s">
        <v>2222</v>
      </c>
      <c r="F329" s="574" t="s">
        <v>2223</v>
      </c>
      <c r="G329" s="574" t="s">
        <v>2224</v>
      </c>
      <c r="H329" s="574" t="s">
        <v>2225</v>
      </c>
      <c r="I329" s="574" t="s">
        <v>2226</v>
      </c>
      <c r="J329" s="574" t="s">
        <v>2227</v>
      </c>
      <c r="K329" s="574" t="s">
        <v>2228</v>
      </c>
      <c r="L329" s="574" t="s">
        <v>2229</v>
      </c>
      <c r="M329" s="574" t="s">
        <v>2230</v>
      </c>
      <c r="N329" s="574" t="s">
        <v>2231</v>
      </c>
      <c r="O329" s="574" t="s">
        <v>2759</v>
      </c>
      <c r="P329" s="574" t="s">
        <v>2932</v>
      </c>
      <c r="Q329" s="574" t="s">
        <v>2234</v>
      </c>
      <c r="R329" s="574" t="s">
        <v>2225</v>
      </c>
      <c r="S329" s="574" t="s">
        <v>2235</v>
      </c>
      <c r="T329" s="574" t="s">
        <v>2236</v>
      </c>
      <c r="U329" s="574" t="s">
        <v>3257</v>
      </c>
      <c r="V329" s="574" t="s">
        <v>2238</v>
      </c>
      <c r="W329" s="574" t="s">
        <v>2239</v>
      </c>
      <c r="X329" s="574" t="s">
        <v>3258</v>
      </c>
      <c r="Y329" s="575" t="s">
        <v>2586</v>
      </c>
      <c r="Z329" s="575" t="s">
        <v>2586</v>
      </c>
      <c r="AA329" s="574" t="s">
        <v>1693</v>
      </c>
      <c r="AB329" s="574" t="s">
        <v>2319</v>
      </c>
      <c r="AC329" s="574" t="s">
        <v>2320</v>
      </c>
      <c r="AD329" s="574" t="s">
        <v>2321</v>
      </c>
      <c r="AE329" s="574" t="s">
        <v>1446</v>
      </c>
      <c r="AF329" s="574" t="s">
        <v>2321</v>
      </c>
      <c r="AG329" s="576">
        <v>125409</v>
      </c>
    </row>
    <row r="330" spans="1:33" hidden="1" x14ac:dyDescent="0.25">
      <c r="A330" s="574" t="s">
        <v>2219</v>
      </c>
      <c r="B330" s="574" t="s">
        <v>2220</v>
      </c>
      <c r="C330" s="574" t="s">
        <v>2221</v>
      </c>
      <c r="D330" s="574" t="s">
        <v>2220</v>
      </c>
      <c r="E330" s="574" t="s">
        <v>2222</v>
      </c>
      <c r="F330" s="574" t="s">
        <v>2223</v>
      </c>
      <c r="G330" s="574" t="s">
        <v>2224</v>
      </c>
      <c r="H330" s="574" t="s">
        <v>2225</v>
      </c>
      <c r="I330" s="574" t="s">
        <v>2226</v>
      </c>
      <c r="J330" s="574" t="s">
        <v>2227</v>
      </c>
      <c r="K330" s="574" t="s">
        <v>2228</v>
      </c>
      <c r="L330" s="574" t="s">
        <v>2229</v>
      </c>
      <c r="M330" s="574" t="s">
        <v>2230</v>
      </c>
      <c r="N330" s="574" t="s">
        <v>2231</v>
      </c>
      <c r="O330" s="574" t="s">
        <v>2759</v>
      </c>
      <c r="P330" s="574" t="s">
        <v>2932</v>
      </c>
      <c r="Q330" s="574" t="s">
        <v>2234</v>
      </c>
      <c r="R330" s="574" t="s">
        <v>2225</v>
      </c>
      <c r="S330" s="574" t="s">
        <v>2235</v>
      </c>
      <c r="T330" s="574" t="s">
        <v>2236</v>
      </c>
      <c r="U330" s="574" t="s">
        <v>3269</v>
      </c>
      <c r="V330" s="574" t="s">
        <v>2238</v>
      </c>
      <c r="W330" s="574" t="s">
        <v>2239</v>
      </c>
      <c r="X330" s="574" t="s">
        <v>3270</v>
      </c>
      <c r="Y330" s="575" t="s">
        <v>2586</v>
      </c>
      <c r="Z330" s="575" t="s">
        <v>2586</v>
      </c>
      <c r="AA330" s="574" t="s">
        <v>1693</v>
      </c>
      <c r="AB330" s="574" t="s">
        <v>2319</v>
      </c>
      <c r="AC330" s="574" t="s">
        <v>2402</v>
      </c>
      <c r="AD330" s="574" t="s">
        <v>2403</v>
      </c>
      <c r="AE330" s="574" t="s">
        <v>1486</v>
      </c>
      <c r="AF330" s="574" t="s">
        <v>2403</v>
      </c>
      <c r="AG330" s="576">
        <v>133038.64000000001</v>
      </c>
    </row>
    <row r="331" spans="1:33" hidden="1" x14ac:dyDescent="0.25">
      <c r="A331" s="574" t="s">
        <v>2219</v>
      </c>
      <c r="B331" s="574" t="s">
        <v>2220</v>
      </c>
      <c r="C331" s="574" t="s">
        <v>2221</v>
      </c>
      <c r="D331" s="574" t="s">
        <v>2220</v>
      </c>
      <c r="E331" s="574" t="s">
        <v>2222</v>
      </c>
      <c r="F331" s="574" t="s">
        <v>2223</v>
      </c>
      <c r="G331" s="574" t="s">
        <v>2224</v>
      </c>
      <c r="H331" s="574" t="s">
        <v>2225</v>
      </c>
      <c r="I331" s="574" t="s">
        <v>2226</v>
      </c>
      <c r="J331" s="574" t="s">
        <v>2227</v>
      </c>
      <c r="K331" s="574" t="s">
        <v>2228</v>
      </c>
      <c r="L331" s="574" t="s">
        <v>2229</v>
      </c>
      <c r="M331" s="574" t="s">
        <v>2230</v>
      </c>
      <c r="N331" s="574" t="s">
        <v>2231</v>
      </c>
      <c r="O331" s="574" t="s">
        <v>2759</v>
      </c>
      <c r="P331" s="574" t="s">
        <v>2932</v>
      </c>
      <c r="Q331" s="574" t="s">
        <v>2234</v>
      </c>
      <c r="R331" s="574" t="s">
        <v>2225</v>
      </c>
      <c r="S331" s="574" t="s">
        <v>2235</v>
      </c>
      <c r="T331" s="574" t="s">
        <v>2236</v>
      </c>
      <c r="U331" s="574" t="s">
        <v>3140</v>
      </c>
      <c r="V331" s="574" t="s">
        <v>2238</v>
      </c>
      <c r="W331" s="574" t="s">
        <v>2239</v>
      </c>
      <c r="X331" s="574" t="s">
        <v>3141</v>
      </c>
      <c r="Y331" s="575" t="s">
        <v>2507</v>
      </c>
      <c r="Z331" s="575" t="s">
        <v>2507</v>
      </c>
      <c r="AA331" s="574" t="s">
        <v>1693</v>
      </c>
      <c r="AB331" s="574" t="s">
        <v>2319</v>
      </c>
      <c r="AC331" s="574" t="s">
        <v>2320</v>
      </c>
      <c r="AD331" s="574" t="s">
        <v>2321</v>
      </c>
      <c r="AE331" s="574" t="s">
        <v>1446</v>
      </c>
      <c r="AF331" s="574" t="s">
        <v>2321</v>
      </c>
      <c r="AG331" s="576">
        <v>137175</v>
      </c>
    </row>
    <row r="332" spans="1:33" hidden="1" x14ac:dyDescent="0.25">
      <c r="A332" s="574" t="s">
        <v>2219</v>
      </c>
      <c r="B332" s="574" t="s">
        <v>2220</v>
      </c>
      <c r="C332" s="574" t="s">
        <v>2221</v>
      </c>
      <c r="D332" s="574" t="s">
        <v>2220</v>
      </c>
      <c r="E332" s="574" t="s">
        <v>2222</v>
      </c>
      <c r="F332" s="574" t="s">
        <v>2223</v>
      </c>
      <c r="G332" s="574" t="s">
        <v>2224</v>
      </c>
      <c r="H332" s="574" t="s">
        <v>2225</v>
      </c>
      <c r="I332" s="574" t="s">
        <v>2226</v>
      </c>
      <c r="J332" s="574" t="s">
        <v>2227</v>
      </c>
      <c r="K332" s="574" t="s">
        <v>2228</v>
      </c>
      <c r="L332" s="574" t="s">
        <v>2229</v>
      </c>
      <c r="M332" s="574" t="s">
        <v>2230</v>
      </c>
      <c r="N332" s="574" t="s">
        <v>2231</v>
      </c>
      <c r="O332" s="574" t="s">
        <v>2759</v>
      </c>
      <c r="P332" s="574" t="s">
        <v>2932</v>
      </c>
      <c r="Q332" s="574" t="s">
        <v>2234</v>
      </c>
      <c r="R332" s="574" t="s">
        <v>2225</v>
      </c>
      <c r="S332" s="574" t="s">
        <v>2235</v>
      </c>
      <c r="T332" s="574" t="s">
        <v>2236</v>
      </c>
      <c r="U332" s="574" t="s">
        <v>3107</v>
      </c>
      <c r="V332" s="574" t="s">
        <v>2238</v>
      </c>
      <c r="W332" s="574" t="s">
        <v>2239</v>
      </c>
      <c r="X332" s="574" t="s">
        <v>3108</v>
      </c>
      <c r="Y332" s="575" t="s">
        <v>2726</v>
      </c>
      <c r="Z332" s="575" t="s">
        <v>2726</v>
      </c>
      <c r="AA332" s="574" t="s">
        <v>1693</v>
      </c>
      <c r="AB332" s="574" t="s">
        <v>2319</v>
      </c>
      <c r="AC332" s="574" t="s">
        <v>2402</v>
      </c>
      <c r="AD332" s="574" t="s">
        <v>2403</v>
      </c>
      <c r="AE332" s="574" t="s">
        <v>1486</v>
      </c>
      <c r="AF332" s="574" t="s">
        <v>2403</v>
      </c>
      <c r="AG332" s="576">
        <v>141600</v>
      </c>
    </row>
    <row r="333" spans="1:33" hidden="1" x14ac:dyDescent="0.25">
      <c r="A333" s="574" t="s">
        <v>2219</v>
      </c>
      <c r="B333" s="574" t="s">
        <v>2220</v>
      </c>
      <c r="C333" s="574" t="s">
        <v>2221</v>
      </c>
      <c r="D333" s="574" t="s">
        <v>2220</v>
      </c>
      <c r="E333" s="574" t="s">
        <v>2222</v>
      </c>
      <c r="F333" s="574" t="s">
        <v>2223</v>
      </c>
      <c r="G333" s="574" t="s">
        <v>2224</v>
      </c>
      <c r="H333" s="574" t="s">
        <v>2225</v>
      </c>
      <c r="I333" s="574" t="s">
        <v>2226</v>
      </c>
      <c r="J333" s="574" t="s">
        <v>2227</v>
      </c>
      <c r="K333" s="574" t="s">
        <v>2228</v>
      </c>
      <c r="L333" s="574" t="s">
        <v>2229</v>
      </c>
      <c r="M333" s="574" t="s">
        <v>2230</v>
      </c>
      <c r="N333" s="574" t="s">
        <v>2231</v>
      </c>
      <c r="O333" s="574" t="s">
        <v>2759</v>
      </c>
      <c r="P333" s="574" t="s">
        <v>2932</v>
      </c>
      <c r="Q333" s="574" t="s">
        <v>2234</v>
      </c>
      <c r="R333" s="574" t="s">
        <v>2225</v>
      </c>
      <c r="S333" s="574" t="s">
        <v>2235</v>
      </c>
      <c r="T333" s="574" t="s">
        <v>2236</v>
      </c>
      <c r="U333" s="574" t="s">
        <v>3310</v>
      </c>
      <c r="V333" s="574" t="s">
        <v>2238</v>
      </c>
      <c r="W333" s="574" t="s">
        <v>2239</v>
      </c>
      <c r="X333" s="574" t="s">
        <v>3311</v>
      </c>
      <c r="Y333" s="575" t="s">
        <v>2641</v>
      </c>
      <c r="Z333" s="575" t="s">
        <v>2641</v>
      </c>
      <c r="AA333" s="574" t="s">
        <v>1693</v>
      </c>
      <c r="AB333" s="574" t="s">
        <v>2319</v>
      </c>
      <c r="AC333" s="574" t="s">
        <v>2320</v>
      </c>
      <c r="AD333" s="574" t="s">
        <v>2321</v>
      </c>
      <c r="AE333" s="574" t="s">
        <v>1446</v>
      </c>
      <c r="AF333" s="574" t="s">
        <v>2321</v>
      </c>
      <c r="AG333" s="576">
        <v>141600</v>
      </c>
    </row>
    <row r="334" spans="1:33" hidden="1" x14ac:dyDescent="0.25">
      <c r="A334" s="574" t="s">
        <v>2219</v>
      </c>
      <c r="B334" s="574" t="s">
        <v>2220</v>
      </c>
      <c r="C334" s="574" t="s">
        <v>2221</v>
      </c>
      <c r="D334" s="574" t="s">
        <v>2220</v>
      </c>
      <c r="E334" s="574" t="s">
        <v>2222</v>
      </c>
      <c r="F334" s="574" t="s">
        <v>2223</v>
      </c>
      <c r="G334" s="574" t="s">
        <v>2224</v>
      </c>
      <c r="H334" s="574" t="s">
        <v>2225</v>
      </c>
      <c r="I334" s="574" t="s">
        <v>2226</v>
      </c>
      <c r="J334" s="574" t="s">
        <v>2227</v>
      </c>
      <c r="K334" s="574" t="s">
        <v>2228</v>
      </c>
      <c r="L334" s="574" t="s">
        <v>2229</v>
      </c>
      <c r="M334" s="574" t="s">
        <v>2230</v>
      </c>
      <c r="N334" s="574" t="s">
        <v>2231</v>
      </c>
      <c r="O334" s="574" t="s">
        <v>2759</v>
      </c>
      <c r="P334" s="574" t="s">
        <v>2932</v>
      </c>
      <c r="Q334" s="574" t="s">
        <v>2234</v>
      </c>
      <c r="R334" s="574" t="s">
        <v>2225</v>
      </c>
      <c r="S334" s="574" t="s">
        <v>2235</v>
      </c>
      <c r="T334" s="574" t="s">
        <v>2236</v>
      </c>
      <c r="U334" s="574" t="s">
        <v>3282</v>
      </c>
      <c r="V334" s="574" t="s">
        <v>2238</v>
      </c>
      <c r="W334" s="574" t="s">
        <v>2239</v>
      </c>
      <c r="X334" s="574" t="s">
        <v>3283</v>
      </c>
      <c r="Y334" s="575" t="s">
        <v>2593</v>
      </c>
      <c r="Z334" s="575" t="s">
        <v>2593</v>
      </c>
      <c r="AA334" s="574" t="s">
        <v>1693</v>
      </c>
      <c r="AB334" s="574" t="s">
        <v>2319</v>
      </c>
      <c r="AC334" s="574" t="s">
        <v>2320</v>
      </c>
      <c r="AD334" s="574" t="s">
        <v>2321</v>
      </c>
      <c r="AE334" s="574" t="s">
        <v>1446</v>
      </c>
      <c r="AF334" s="574" t="s">
        <v>2321</v>
      </c>
      <c r="AG334" s="576">
        <v>159300</v>
      </c>
    </row>
    <row r="335" spans="1:33" hidden="1" x14ac:dyDescent="0.25">
      <c r="A335" s="574" t="s">
        <v>2219</v>
      </c>
      <c r="B335" s="574" t="s">
        <v>2220</v>
      </c>
      <c r="C335" s="574" t="s">
        <v>2221</v>
      </c>
      <c r="D335" s="574" t="s">
        <v>2220</v>
      </c>
      <c r="E335" s="574" t="s">
        <v>2222</v>
      </c>
      <c r="F335" s="574" t="s">
        <v>2223</v>
      </c>
      <c r="G335" s="574" t="s">
        <v>2224</v>
      </c>
      <c r="H335" s="574" t="s">
        <v>2225</v>
      </c>
      <c r="I335" s="574" t="s">
        <v>2226</v>
      </c>
      <c r="J335" s="574" t="s">
        <v>2227</v>
      </c>
      <c r="K335" s="574" t="s">
        <v>2228</v>
      </c>
      <c r="L335" s="574" t="s">
        <v>2229</v>
      </c>
      <c r="M335" s="574" t="s">
        <v>2230</v>
      </c>
      <c r="N335" s="574" t="s">
        <v>2231</v>
      </c>
      <c r="O335" s="574" t="s">
        <v>2759</v>
      </c>
      <c r="P335" s="574" t="s">
        <v>2932</v>
      </c>
      <c r="Q335" s="574" t="s">
        <v>2234</v>
      </c>
      <c r="R335" s="574" t="s">
        <v>2225</v>
      </c>
      <c r="S335" s="574" t="s">
        <v>2235</v>
      </c>
      <c r="T335" s="574" t="s">
        <v>2236</v>
      </c>
      <c r="U335" s="574" t="s">
        <v>3217</v>
      </c>
      <c r="V335" s="574" t="s">
        <v>2238</v>
      </c>
      <c r="W335" s="574" t="s">
        <v>2239</v>
      </c>
      <c r="X335" s="574" t="s">
        <v>3218</v>
      </c>
      <c r="Y335" s="575" t="s">
        <v>2568</v>
      </c>
      <c r="Z335" s="575" t="s">
        <v>2568</v>
      </c>
      <c r="AA335" s="574" t="s">
        <v>1693</v>
      </c>
      <c r="AB335" s="574" t="s">
        <v>2319</v>
      </c>
      <c r="AC335" s="574" t="s">
        <v>2320</v>
      </c>
      <c r="AD335" s="574" t="s">
        <v>2321</v>
      </c>
      <c r="AE335" s="574" t="s">
        <v>1446</v>
      </c>
      <c r="AF335" s="574" t="s">
        <v>2321</v>
      </c>
      <c r="AG335" s="576">
        <v>169215.6</v>
      </c>
    </row>
    <row r="336" spans="1:33" hidden="1" x14ac:dyDescent="0.25">
      <c r="A336" s="574" t="s">
        <v>2219</v>
      </c>
      <c r="B336" s="574" t="s">
        <v>2220</v>
      </c>
      <c r="C336" s="574" t="s">
        <v>2221</v>
      </c>
      <c r="D336" s="574" t="s">
        <v>2220</v>
      </c>
      <c r="E336" s="574" t="s">
        <v>2222</v>
      </c>
      <c r="F336" s="574" t="s">
        <v>2223</v>
      </c>
      <c r="G336" s="574" t="s">
        <v>2224</v>
      </c>
      <c r="H336" s="574" t="s">
        <v>2225</v>
      </c>
      <c r="I336" s="574" t="s">
        <v>2226</v>
      </c>
      <c r="J336" s="574" t="s">
        <v>2227</v>
      </c>
      <c r="K336" s="574" t="s">
        <v>2228</v>
      </c>
      <c r="L336" s="574" t="s">
        <v>2229</v>
      </c>
      <c r="M336" s="574" t="s">
        <v>2230</v>
      </c>
      <c r="N336" s="574" t="s">
        <v>2231</v>
      </c>
      <c r="O336" s="574" t="s">
        <v>2759</v>
      </c>
      <c r="P336" s="574" t="s">
        <v>2932</v>
      </c>
      <c r="Q336" s="574" t="s">
        <v>2234</v>
      </c>
      <c r="R336" s="574" t="s">
        <v>2225</v>
      </c>
      <c r="S336" s="574" t="s">
        <v>2235</v>
      </c>
      <c r="T336" s="574" t="s">
        <v>2236</v>
      </c>
      <c r="U336" s="574" t="s">
        <v>3284</v>
      </c>
      <c r="V336" s="574" t="s">
        <v>2238</v>
      </c>
      <c r="W336" s="574" t="s">
        <v>2239</v>
      </c>
      <c r="X336" s="574" t="s">
        <v>3285</v>
      </c>
      <c r="Y336" s="575" t="s">
        <v>2593</v>
      </c>
      <c r="Z336" s="575" t="s">
        <v>2593</v>
      </c>
      <c r="AA336" s="574" t="s">
        <v>1693</v>
      </c>
      <c r="AB336" s="574" t="s">
        <v>2319</v>
      </c>
      <c r="AC336" s="574" t="s">
        <v>2320</v>
      </c>
      <c r="AD336" s="574" t="s">
        <v>2321</v>
      </c>
      <c r="AE336" s="574" t="s">
        <v>1446</v>
      </c>
      <c r="AF336" s="574" t="s">
        <v>2321</v>
      </c>
      <c r="AG336" s="576">
        <v>172870</v>
      </c>
    </row>
    <row r="337" spans="1:33" hidden="1" x14ac:dyDescent="0.25">
      <c r="A337" s="574" t="s">
        <v>2219</v>
      </c>
      <c r="B337" s="574" t="s">
        <v>2220</v>
      </c>
      <c r="C337" s="574" t="s">
        <v>2221</v>
      </c>
      <c r="D337" s="574" t="s">
        <v>2220</v>
      </c>
      <c r="E337" s="574" t="s">
        <v>2222</v>
      </c>
      <c r="F337" s="574" t="s">
        <v>2223</v>
      </c>
      <c r="G337" s="574" t="s">
        <v>2224</v>
      </c>
      <c r="H337" s="574" t="s">
        <v>2225</v>
      </c>
      <c r="I337" s="574" t="s">
        <v>2226</v>
      </c>
      <c r="J337" s="574" t="s">
        <v>2227</v>
      </c>
      <c r="K337" s="574" t="s">
        <v>2228</v>
      </c>
      <c r="L337" s="574" t="s">
        <v>2229</v>
      </c>
      <c r="M337" s="574" t="s">
        <v>2230</v>
      </c>
      <c r="N337" s="574" t="s">
        <v>2231</v>
      </c>
      <c r="O337" s="574" t="s">
        <v>2759</v>
      </c>
      <c r="P337" s="574" t="s">
        <v>2932</v>
      </c>
      <c r="Q337" s="574" t="s">
        <v>2234</v>
      </c>
      <c r="R337" s="574" t="s">
        <v>2225</v>
      </c>
      <c r="S337" s="574" t="s">
        <v>2235</v>
      </c>
      <c r="T337" s="574" t="s">
        <v>2236</v>
      </c>
      <c r="U337" s="574" t="s">
        <v>3280</v>
      </c>
      <c r="V337" s="574" t="s">
        <v>2238</v>
      </c>
      <c r="W337" s="574" t="s">
        <v>2239</v>
      </c>
      <c r="X337" s="574" t="s">
        <v>3281</v>
      </c>
      <c r="Y337" s="575" t="s">
        <v>3279</v>
      </c>
      <c r="Z337" s="575" t="s">
        <v>3279</v>
      </c>
      <c r="AA337" s="574" t="s">
        <v>1693</v>
      </c>
      <c r="AB337" s="574" t="s">
        <v>2319</v>
      </c>
      <c r="AC337" s="574" t="s">
        <v>2320</v>
      </c>
      <c r="AD337" s="574" t="s">
        <v>2321</v>
      </c>
      <c r="AE337" s="574" t="s">
        <v>1446</v>
      </c>
      <c r="AF337" s="574" t="s">
        <v>2321</v>
      </c>
      <c r="AG337" s="576">
        <v>176779.1</v>
      </c>
    </row>
    <row r="338" spans="1:33" hidden="1" x14ac:dyDescent="0.25">
      <c r="A338" s="574" t="s">
        <v>2219</v>
      </c>
      <c r="B338" s="574" t="s">
        <v>2220</v>
      </c>
      <c r="C338" s="574" t="s">
        <v>2221</v>
      </c>
      <c r="D338" s="574" t="s">
        <v>2220</v>
      </c>
      <c r="E338" s="574" t="s">
        <v>2222</v>
      </c>
      <c r="F338" s="574" t="s">
        <v>2223</v>
      </c>
      <c r="G338" s="574" t="s">
        <v>2224</v>
      </c>
      <c r="H338" s="574" t="s">
        <v>2225</v>
      </c>
      <c r="I338" s="574" t="s">
        <v>2226</v>
      </c>
      <c r="J338" s="574" t="s">
        <v>2227</v>
      </c>
      <c r="K338" s="574" t="s">
        <v>2228</v>
      </c>
      <c r="L338" s="574" t="s">
        <v>2229</v>
      </c>
      <c r="M338" s="574" t="s">
        <v>2230</v>
      </c>
      <c r="N338" s="574" t="s">
        <v>2231</v>
      </c>
      <c r="O338" s="574" t="s">
        <v>2232</v>
      </c>
      <c r="P338" s="574" t="s">
        <v>2233</v>
      </c>
      <c r="Q338" s="574" t="s">
        <v>2234</v>
      </c>
      <c r="R338" s="574" t="s">
        <v>2225</v>
      </c>
      <c r="S338" s="574" t="s">
        <v>2235</v>
      </c>
      <c r="T338" s="574" t="s">
        <v>2236</v>
      </c>
      <c r="U338" s="574" t="s">
        <v>2392</v>
      </c>
      <c r="V338" s="574" t="s">
        <v>2238</v>
      </c>
      <c r="W338" s="574" t="s">
        <v>2239</v>
      </c>
      <c r="X338" s="574" t="s">
        <v>2393</v>
      </c>
      <c r="Y338" s="575" t="s">
        <v>2372</v>
      </c>
      <c r="Z338" s="575" t="s">
        <v>2372</v>
      </c>
      <c r="AA338" s="574" t="s">
        <v>1693</v>
      </c>
      <c r="AB338" s="574" t="s">
        <v>2319</v>
      </c>
      <c r="AC338" s="574" t="s">
        <v>2320</v>
      </c>
      <c r="AD338" s="574" t="s">
        <v>2321</v>
      </c>
      <c r="AE338" s="574" t="s">
        <v>1446</v>
      </c>
      <c r="AF338" s="574" t="s">
        <v>2321</v>
      </c>
      <c r="AG338" s="576">
        <v>177000</v>
      </c>
    </row>
    <row r="339" spans="1:33" hidden="1" x14ac:dyDescent="0.25">
      <c r="A339" s="574" t="s">
        <v>2219</v>
      </c>
      <c r="B339" s="574" t="s">
        <v>2220</v>
      </c>
      <c r="C339" s="574" t="s">
        <v>2221</v>
      </c>
      <c r="D339" s="574" t="s">
        <v>2220</v>
      </c>
      <c r="E339" s="574" t="s">
        <v>2222</v>
      </c>
      <c r="F339" s="574" t="s">
        <v>2223</v>
      </c>
      <c r="G339" s="574" t="s">
        <v>2224</v>
      </c>
      <c r="H339" s="574" t="s">
        <v>2225</v>
      </c>
      <c r="I339" s="574" t="s">
        <v>2226</v>
      </c>
      <c r="J339" s="574" t="s">
        <v>2227</v>
      </c>
      <c r="K339" s="574" t="s">
        <v>2228</v>
      </c>
      <c r="L339" s="574" t="s">
        <v>2229</v>
      </c>
      <c r="M339" s="574" t="s">
        <v>2230</v>
      </c>
      <c r="N339" s="574" t="s">
        <v>2231</v>
      </c>
      <c r="O339" s="574" t="s">
        <v>2759</v>
      </c>
      <c r="P339" s="574" t="s">
        <v>2932</v>
      </c>
      <c r="Q339" s="574" t="s">
        <v>2234</v>
      </c>
      <c r="R339" s="574" t="s">
        <v>2225</v>
      </c>
      <c r="S339" s="574" t="s">
        <v>2235</v>
      </c>
      <c r="T339" s="574" t="s">
        <v>2236</v>
      </c>
      <c r="U339" s="574" t="s">
        <v>3043</v>
      </c>
      <c r="V339" s="574" t="s">
        <v>2238</v>
      </c>
      <c r="W339" s="574" t="s">
        <v>2239</v>
      </c>
      <c r="X339" s="574" t="s">
        <v>3044</v>
      </c>
      <c r="Y339" s="575" t="s">
        <v>2464</v>
      </c>
      <c r="Z339" s="575" t="s">
        <v>2464</v>
      </c>
      <c r="AA339" s="574" t="s">
        <v>1693</v>
      </c>
      <c r="AB339" s="574" t="s">
        <v>2319</v>
      </c>
      <c r="AC339" s="574" t="s">
        <v>2320</v>
      </c>
      <c r="AD339" s="574" t="s">
        <v>2321</v>
      </c>
      <c r="AE339" s="574" t="s">
        <v>1446</v>
      </c>
      <c r="AF339" s="574" t="s">
        <v>2321</v>
      </c>
      <c r="AG339" s="576">
        <v>177000</v>
      </c>
    </row>
    <row r="340" spans="1:33" hidden="1" x14ac:dyDescent="0.25">
      <c r="A340" s="574" t="s">
        <v>2219</v>
      </c>
      <c r="B340" s="574" t="s">
        <v>2220</v>
      </c>
      <c r="C340" s="574" t="s">
        <v>2221</v>
      </c>
      <c r="D340" s="574" t="s">
        <v>2220</v>
      </c>
      <c r="E340" s="574" t="s">
        <v>2222</v>
      </c>
      <c r="F340" s="574" t="s">
        <v>2223</v>
      </c>
      <c r="G340" s="574" t="s">
        <v>2224</v>
      </c>
      <c r="H340" s="574" t="s">
        <v>2225</v>
      </c>
      <c r="I340" s="574" t="s">
        <v>2226</v>
      </c>
      <c r="J340" s="574" t="s">
        <v>2227</v>
      </c>
      <c r="K340" s="574" t="s">
        <v>2228</v>
      </c>
      <c r="L340" s="574" t="s">
        <v>2229</v>
      </c>
      <c r="M340" s="574" t="s">
        <v>2230</v>
      </c>
      <c r="N340" s="574" t="s">
        <v>2231</v>
      </c>
      <c r="O340" s="574" t="s">
        <v>2759</v>
      </c>
      <c r="P340" s="574" t="s">
        <v>2932</v>
      </c>
      <c r="Q340" s="574" t="s">
        <v>2234</v>
      </c>
      <c r="R340" s="574" t="s">
        <v>2225</v>
      </c>
      <c r="S340" s="574" t="s">
        <v>2235</v>
      </c>
      <c r="T340" s="574" t="s">
        <v>2236</v>
      </c>
      <c r="U340" s="574" t="s">
        <v>3083</v>
      </c>
      <c r="V340" s="574" t="s">
        <v>2238</v>
      </c>
      <c r="W340" s="574" t="s">
        <v>2239</v>
      </c>
      <c r="X340" s="574" t="s">
        <v>3084</v>
      </c>
      <c r="Y340" s="575" t="s">
        <v>3070</v>
      </c>
      <c r="Z340" s="575" t="s">
        <v>3070</v>
      </c>
      <c r="AA340" s="574" t="s">
        <v>1693</v>
      </c>
      <c r="AB340" s="574" t="s">
        <v>2319</v>
      </c>
      <c r="AC340" s="574" t="s">
        <v>2320</v>
      </c>
      <c r="AD340" s="574" t="s">
        <v>2321</v>
      </c>
      <c r="AE340" s="574" t="s">
        <v>1446</v>
      </c>
      <c r="AF340" s="574" t="s">
        <v>2321</v>
      </c>
      <c r="AG340" s="576">
        <v>177000</v>
      </c>
    </row>
    <row r="341" spans="1:33" hidden="1" x14ac:dyDescent="0.25">
      <c r="A341" s="574" t="s">
        <v>2219</v>
      </c>
      <c r="B341" s="574" t="s">
        <v>2220</v>
      </c>
      <c r="C341" s="574" t="s">
        <v>2221</v>
      </c>
      <c r="D341" s="574" t="s">
        <v>2220</v>
      </c>
      <c r="E341" s="574" t="s">
        <v>2222</v>
      </c>
      <c r="F341" s="574" t="s">
        <v>2223</v>
      </c>
      <c r="G341" s="574" t="s">
        <v>2224</v>
      </c>
      <c r="H341" s="574" t="s">
        <v>2225</v>
      </c>
      <c r="I341" s="574" t="s">
        <v>2226</v>
      </c>
      <c r="J341" s="574" t="s">
        <v>2227</v>
      </c>
      <c r="K341" s="574" t="s">
        <v>2228</v>
      </c>
      <c r="L341" s="574" t="s">
        <v>2229</v>
      </c>
      <c r="M341" s="574" t="s">
        <v>2230</v>
      </c>
      <c r="N341" s="574" t="s">
        <v>2231</v>
      </c>
      <c r="O341" s="574" t="s">
        <v>2232</v>
      </c>
      <c r="P341" s="574" t="s">
        <v>2233</v>
      </c>
      <c r="Q341" s="574" t="s">
        <v>2234</v>
      </c>
      <c r="R341" s="574" t="s">
        <v>2225</v>
      </c>
      <c r="S341" s="574" t="s">
        <v>2235</v>
      </c>
      <c r="T341" s="574" t="s">
        <v>2236</v>
      </c>
      <c r="U341" s="574" t="s">
        <v>2497</v>
      </c>
      <c r="V341" s="574" t="s">
        <v>2238</v>
      </c>
      <c r="W341" s="574" t="s">
        <v>2239</v>
      </c>
      <c r="X341" s="574" t="s">
        <v>2498</v>
      </c>
      <c r="Y341" s="575" t="s">
        <v>2496</v>
      </c>
      <c r="Z341" s="575" t="s">
        <v>2496</v>
      </c>
      <c r="AA341" s="574" t="s">
        <v>1693</v>
      </c>
      <c r="AB341" s="574" t="s">
        <v>2319</v>
      </c>
      <c r="AC341" s="574" t="s">
        <v>2320</v>
      </c>
      <c r="AD341" s="574" t="s">
        <v>2321</v>
      </c>
      <c r="AE341" s="574" t="s">
        <v>1446</v>
      </c>
      <c r="AF341" s="574" t="s">
        <v>2321</v>
      </c>
      <c r="AG341" s="576">
        <v>180600</v>
      </c>
    </row>
    <row r="342" spans="1:33" hidden="1" x14ac:dyDescent="0.25">
      <c r="A342" s="574" t="s">
        <v>2219</v>
      </c>
      <c r="B342" s="574" t="s">
        <v>2220</v>
      </c>
      <c r="C342" s="574" t="s">
        <v>2221</v>
      </c>
      <c r="D342" s="574" t="s">
        <v>2220</v>
      </c>
      <c r="E342" s="574" t="s">
        <v>2222</v>
      </c>
      <c r="F342" s="574" t="s">
        <v>2223</v>
      </c>
      <c r="G342" s="574" t="s">
        <v>2224</v>
      </c>
      <c r="H342" s="574" t="s">
        <v>2225</v>
      </c>
      <c r="I342" s="574" t="s">
        <v>2226</v>
      </c>
      <c r="J342" s="574" t="s">
        <v>2227</v>
      </c>
      <c r="K342" s="574" t="s">
        <v>2228</v>
      </c>
      <c r="L342" s="574" t="s">
        <v>2229</v>
      </c>
      <c r="M342" s="574" t="s">
        <v>2230</v>
      </c>
      <c r="N342" s="574" t="s">
        <v>2231</v>
      </c>
      <c r="O342" s="574" t="s">
        <v>2759</v>
      </c>
      <c r="P342" s="574" t="s">
        <v>2932</v>
      </c>
      <c r="Q342" s="574" t="s">
        <v>2234</v>
      </c>
      <c r="R342" s="574" t="s">
        <v>2225</v>
      </c>
      <c r="S342" s="574" t="s">
        <v>2235</v>
      </c>
      <c r="T342" s="574" t="s">
        <v>2236</v>
      </c>
      <c r="U342" s="574" t="s">
        <v>3093</v>
      </c>
      <c r="V342" s="574" t="s">
        <v>2238</v>
      </c>
      <c r="W342" s="574" t="s">
        <v>2239</v>
      </c>
      <c r="X342" s="574" t="s">
        <v>3094</v>
      </c>
      <c r="Y342" s="575" t="s">
        <v>2491</v>
      </c>
      <c r="Z342" s="575" t="s">
        <v>2491</v>
      </c>
      <c r="AA342" s="574" t="s">
        <v>1693</v>
      </c>
      <c r="AB342" s="574" t="s">
        <v>2319</v>
      </c>
      <c r="AC342" s="574" t="s">
        <v>2320</v>
      </c>
      <c r="AD342" s="574" t="s">
        <v>2321</v>
      </c>
      <c r="AE342" s="574" t="s">
        <v>1446</v>
      </c>
      <c r="AF342" s="574" t="s">
        <v>2321</v>
      </c>
      <c r="AG342" s="576">
        <v>182168.4</v>
      </c>
    </row>
    <row r="343" spans="1:33" hidden="1" x14ac:dyDescent="0.25">
      <c r="A343" s="574" t="s">
        <v>2219</v>
      </c>
      <c r="B343" s="574" t="s">
        <v>2220</v>
      </c>
      <c r="C343" s="574" t="s">
        <v>2221</v>
      </c>
      <c r="D343" s="574" t="s">
        <v>2220</v>
      </c>
      <c r="E343" s="574" t="s">
        <v>2222</v>
      </c>
      <c r="F343" s="574" t="s">
        <v>2223</v>
      </c>
      <c r="G343" s="574" t="s">
        <v>2224</v>
      </c>
      <c r="H343" s="574" t="s">
        <v>2225</v>
      </c>
      <c r="I343" s="574" t="s">
        <v>2226</v>
      </c>
      <c r="J343" s="574" t="s">
        <v>2227</v>
      </c>
      <c r="K343" s="574" t="s">
        <v>2228</v>
      </c>
      <c r="L343" s="574" t="s">
        <v>2229</v>
      </c>
      <c r="M343" s="574" t="s">
        <v>2230</v>
      </c>
      <c r="N343" s="574" t="s">
        <v>2231</v>
      </c>
      <c r="O343" s="574" t="s">
        <v>2232</v>
      </c>
      <c r="P343" s="574" t="s">
        <v>2233</v>
      </c>
      <c r="Q343" s="574" t="s">
        <v>2234</v>
      </c>
      <c r="R343" s="574" t="s">
        <v>2225</v>
      </c>
      <c r="S343" s="574" t="s">
        <v>2235</v>
      </c>
      <c r="T343" s="574" t="s">
        <v>2236</v>
      </c>
      <c r="U343" s="574" t="s">
        <v>2408</v>
      </c>
      <c r="V343" s="574" t="s">
        <v>2238</v>
      </c>
      <c r="W343" s="574" t="s">
        <v>2239</v>
      </c>
      <c r="X343" s="574" t="s">
        <v>2409</v>
      </c>
      <c r="Y343" s="575" t="s">
        <v>2410</v>
      </c>
      <c r="Z343" s="575" t="s">
        <v>2410</v>
      </c>
      <c r="AA343" s="574" t="s">
        <v>1693</v>
      </c>
      <c r="AB343" s="574" t="s">
        <v>2319</v>
      </c>
      <c r="AC343" s="574" t="s">
        <v>2320</v>
      </c>
      <c r="AD343" s="574" t="s">
        <v>2321</v>
      </c>
      <c r="AE343" s="574" t="s">
        <v>1446</v>
      </c>
      <c r="AF343" s="574" t="s">
        <v>2321</v>
      </c>
      <c r="AG343" s="576">
        <v>182900</v>
      </c>
    </row>
    <row r="344" spans="1:33" hidden="1" x14ac:dyDescent="0.25">
      <c r="A344" s="574" t="s">
        <v>2219</v>
      </c>
      <c r="B344" s="574" t="s">
        <v>2220</v>
      </c>
      <c r="C344" s="574" t="s">
        <v>2221</v>
      </c>
      <c r="D344" s="574" t="s">
        <v>2220</v>
      </c>
      <c r="E344" s="574" t="s">
        <v>2222</v>
      </c>
      <c r="F344" s="574" t="s">
        <v>2223</v>
      </c>
      <c r="G344" s="574" t="s">
        <v>2224</v>
      </c>
      <c r="H344" s="574" t="s">
        <v>2225</v>
      </c>
      <c r="I344" s="574" t="s">
        <v>2226</v>
      </c>
      <c r="J344" s="574" t="s">
        <v>2227</v>
      </c>
      <c r="K344" s="574" t="s">
        <v>2228</v>
      </c>
      <c r="L344" s="574" t="s">
        <v>2229</v>
      </c>
      <c r="M344" s="574" t="s">
        <v>2230</v>
      </c>
      <c r="N344" s="574" t="s">
        <v>2231</v>
      </c>
      <c r="O344" s="574" t="s">
        <v>2232</v>
      </c>
      <c r="P344" s="574" t="s">
        <v>2233</v>
      </c>
      <c r="Q344" s="574" t="s">
        <v>2234</v>
      </c>
      <c r="R344" s="574" t="s">
        <v>2225</v>
      </c>
      <c r="S344" s="574" t="s">
        <v>2235</v>
      </c>
      <c r="T344" s="574" t="s">
        <v>2236</v>
      </c>
      <c r="U344" s="574" t="s">
        <v>2333</v>
      </c>
      <c r="V344" s="574" t="s">
        <v>2238</v>
      </c>
      <c r="W344" s="574" t="s">
        <v>2239</v>
      </c>
      <c r="X344" s="574" t="s">
        <v>2334</v>
      </c>
      <c r="Y344" s="575" t="s">
        <v>2326</v>
      </c>
      <c r="Z344" s="575" t="s">
        <v>2326</v>
      </c>
      <c r="AA344" s="574" t="s">
        <v>1693</v>
      </c>
      <c r="AB344" s="574" t="s">
        <v>2319</v>
      </c>
      <c r="AC344" s="574" t="s">
        <v>2320</v>
      </c>
      <c r="AD344" s="574" t="s">
        <v>2321</v>
      </c>
      <c r="AE344" s="574" t="s">
        <v>1446</v>
      </c>
      <c r="AF344" s="574" t="s">
        <v>2321</v>
      </c>
      <c r="AG344" s="576">
        <v>185850</v>
      </c>
    </row>
    <row r="345" spans="1:33" hidden="1" x14ac:dyDescent="0.25">
      <c r="A345" s="574" t="s">
        <v>2219</v>
      </c>
      <c r="B345" s="574" t="s">
        <v>2220</v>
      </c>
      <c r="C345" s="574" t="s">
        <v>2221</v>
      </c>
      <c r="D345" s="574" t="s">
        <v>2220</v>
      </c>
      <c r="E345" s="574" t="s">
        <v>2222</v>
      </c>
      <c r="F345" s="574" t="s">
        <v>2223</v>
      </c>
      <c r="G345" s="574" t="s">
        <v>2224</v>
      </c>
      <c r="H345" s="574" t="s">
        <v>2225</v>
      </c>
      <c r="I345" s="574" t="s">
        <v>2226</v>
      </c>
      <c r="J345" s="574" t="s">
        <v>2227</v>
      </c>
      <c r="K345" s="574" t="s">
        <v>2228</v>
      </c>
      <c r="L345" s="574" t="s">
        <v>2229</v>
      </c>
      <c r="M345" s="574" t="s">
        <v>2230</v>
      </c>
      <c r="N345" s="574" t="s">
        <v>2231</v>
      </c>
      <c r="O345" s="574" t="s">
        <v>2759</v>
      </c>
      <c r="P345" s="574" t="s">
        <v>2932</v>
      </c>
      <c r="Q345" s="574" t="s">
        <v>2234</v>
      </c>
      <c r="R345" s="574" t="s">
        <v>2225</v>
      </c>
      <c r="S345" s="574" t="s">
        <v>2235</v>
      </c>
      <c r="T345" s="574" t="s">
        <v>2236</v>
      </c>
      <c r="U345" s="574" t="s">
        <v>3061</v>
      </c>
      <c r="V345" s="574" t="s">
        <v>2238</v>
      </c>
      <c r="W345" s="574" t="s">
        <v>2239</v>
      </c>
      <c r="X345" s="574" t="s">
        <v>3062</v>
      </c>
      <c r="Y345" s="575" t="s">
        <v>2481</v>
      </c>
      <c r="Z345" s="575" t="s">
        <v>2481</v>
      </c>
      <c r="AA345" s="574" t="s">
        <v>1693</v>
      </c>
      <c r="AB345" s="574" t="s">
        <v>2319</v>
      </c>
      <c r="AC345" s="574" t="s">
        <v>2320</v>
      </c>
      <c r="AD345" s="574" t="s">
        <v>2321</v>
      </c>
      <c r="AE345" s="574" t="s">
        <v>1446</v>
      </c>
      <c r="AF345" s="574" t="s">
        <v>2321</v>
      </c>
      <c r="AG345" s="576">
        <v>186971</v>
      </c>
    </row>
    <row r="346" spans="1:33" hidden="1" x14ac:dyDescent="0.25">
      <c r="A346" s="574" t="s">
        <v>2219</v>
      </c>
      <c r="B346" s="574" t="s">
        <v>2220</v>
      </c>
      <c r="C346" s="574" t="s">
        <v>2221</v>
      </c>
      <c r="D346" s="574" t="s">
        <v>2220</v>
      </c>
      <c r="E346" s="574" t="s">
        <v>2222</v>
      </c>
      <c r="F346" s="574" t="s">
        <v>2223</v>
      </c>
      <c r="G346" s="574" t="s">
        <v>2224</v>
      </c>
      <c r="H346" s="574" t="s">
        <v>2225</v>
      </c>
      <c r="I346" s="574" t="s">
        <v>2226</v>
      </c>
      <c r="J346" s="574" t="s">
        <v>2227</v>
      </c>
      <c r="K346" s="574" t="s">
        <v>2228</v>
      </c>
      <c r="L346" s="574" t="s">
        <v>2229</v>
      </c>
      <c r="M346" s="574" t="s">
        <v>2230</v>
      </c>
      <c r="N346" s="574" t="s">
        <v>2231</v>
      </c>
      <c r="O346" s="574" t="s">
        <v>2759</v>
      </c>
      <c r="P346" s="574" t="s">
        <v>2932</v>
      </c>
      <c r="Q346" s="574" t="s">
        <v>2234</v>
      </c>
      <c r="R346" s="574" t="s">
        <v>2225</v>
      </c>
      <c r="S346" s="574" t="s">
        <v>2235</v>
      </c>
      <c r="T346" s="574" t="s">
        <v>2236</v>
      </c>
      <c r="U346" s="574" t="s">
        <v>3109</v>
      </c>
      <c r="V346" s="574" t="s">
        <v>2238</v>
      </c>
      <c r="W346" s="574" t="s">
        <v>2239</v>
      </c>
      <c r="X346" s="574" t="s">
        <v>3110</v>
      </c>
      <c r="Y346" s="575" t="s">
        <v>2726</v>
      </c>
      <c r="Z346" s="575" t="s">
        <v>2726</v>
      </c>
      <c r="AA346" s="574" t="s">
        <v>1693</v>
      </c>
      <c r="AB346" s="574" t="s">
        <v>2319</v>
      </c>
      <c r="AC346" s="574" t="s">
        <v>2402</v>
      </c>
      <c r="AD346" s="574" t="s">
        <v>2403</v>
      </c>
      <c r="AE346" s="574" t="s">
        <v>1486</v>
      </c>
      <c r="AF346" s="574" t="s">
        <v>2403</v>
      </c>
      <c r="AG346" s="576">
        <v>188800</v>
      </c>
    </row>
    <row r="347" spans="1:33" hidden="1" x14ac:dyDescent="0.25">
      <c r="A347" s="574" t="s">
        <v>2219</v>
      </c>
      <c r="B347" s="574" t="s">
        <v>2220</v>
      </c>
      <c r="C347" s="574" t="s">
        <v>2221</v>
      </c>
      <c r="D347" s="574" t="s">
        <v>2220</v>
      </c>
      <c r="E347" s="574" t="s">
        <v>2222</v>
      </c>
      <c r="F347" s="574" t="s">
        <v>2223</v>
      </c>
      <c r="G347" s="574" t="s">
        <v>2224</v>
      </c>
      <c r="H347" s="574" t="s">
        <v>2225</v>
      </c>
      <c r="I347" s="574" t="s">
        <v>2226</v>
      </c>
      <c r="J347" s="574" t="s">
        <v>2227</v>
      </c>
      <c r="K347" s="574" t="s">
        <v>2228</v>
      </c>
      <c r="L347" s="574" t="s">
        <v>2229</v>
      </c>
      <c r="M347" s="574" t="s">
        <v>2230</v>
      </c>
      <c r="N347" s="574" t="s">
        <v>2231</v>
      </c>
      <c r="O347" s="574" t="s">
        <v>2759</v>
      </c>
      <c r="P347" s="574" t="s">
        <v>2932</v>
      </c>
      <c r="Q347" s="574" t="s">
        <v>2234</v>
      </c>
      <c r="R347" s="574" t="s">
        <v>2225</v>
      </c>
      <c r="S347" s="574" t="s">
        <v>2235</v>
      </c>
      <c r="T347" s="574" t="s">
        <v>2236</v>
      </c>
      <c r="U347" s="574" t="s">
        <v>3188</v>
      </c>
      <c r="V347" s="574" t="s">
        <v>2238</v>
      </c>
      <c r="W347" s="574" t="s">
        <v>2239</v>
      </c>
      <c r="X347" s="574" t="s">
        <v>3189</v>
      </c>
      <c r="Y347" s="575" t="s">
        <v>2553</v>
      </c>
      <c r="Z347" s="575" t="s">
        <v>2553</v>
      </c>
      <c r="AA347" s="574" t="s">
        <v>1693</v>
      </c>
      <c r="AB347" s="574" t="s">
        <v>2319</v>
      </c>
      <c r="AC347" s="574" t="s">
        <v>2320</v>
      </c>
      <c r="AD347" s="574" t="s">
        <v>2321</v>
      </c>
      <c r="AE347" s="574" t="s">
        <v>1446</v>
      </c>
      <c r="AF347" s="574" t="s">
        <v>2321</v>
      </c>
      <c r="AG347" s="576">
        <v>198594</v>
      </c>
    </row>
    <row r="348" spans="1:33" hidden="1" x14ac:dyDescent="0.25">
      <c r="A348" s="574" t="s">
        <v>2219</v>
      </c>
      <c r="B348" s="574" t="s">
        <v>2220</v>
      </c>
      <c r="C348" s="574" t="s">
        <v>2221</v>
      </c>
      <c r="D348" s="574" t="s">
        <v>2220</v>
      </c>
      <c r="E348" s="574" t="s">
        <v>2222</v>
      </c>
      <c r="F348" s="574" t="s">
        <v>2223</v>
      </c>
      <c r="G348" s="574" t="s">
        <v>2224</v>
      </c>
      <c r="H348" s="574" t="s">
        <v>2225</v>
      </c>
      <c r="I348" s="574" t="s">
        <v>2226</v>
      </c>
      <c r="J348" s="574" t="s">
        <v>2227</v>
      </c>
      <c r="K348" s="574" t="s">
        <v>2228</v>
      </c>
      <c r="L348" s="574" t="s">
        <v>2229</v>
      </c>
      <c r="M348" s="574" t="s">
        <v>2230</v>
      </c>
      <c r="N348" s="574" t="s">
        <v>2231</v>
      </c>
      <c r="O348" s="574" t="s">
        <v>2759</v>
      </c>
      <c r="P348" s="574" t="s">
        <v>2932</v>
      </c>
      <c r="Q348" s="574" t="s">
        <v>2234</v>
      </c>
      <c r="R348" s="574" t="s">
        <v>2225</v>
      </c>
      <c r="S348" s="574" t="s">
        <v>2235</v>
      </c>
      <c r="T348" s="574" t="s">
        <v>2236</v>
      </c>
      <c r="U348" s="574" t="s">
        <v>3150</v>
      </c>
      <c r="V348" s="574" t="s">
        <v>2238</v>
      </c>
      <c r="W348" s="574" t="s">
        <v>2239</v>
      </c>
      <c r="X348" s="574" t="s">
        <v>3151</v>
      </c>
      <c r="Y348" s="575" t="s">
        <v>2512</v>
      </c>
      <c r="Z348" s="575" t="s">
        <v>2512</v>
      </c>
      <c r="AA348" s="574" t="s">
        <v>1693</v>
      </c>
      <c r="AB348" s="574" t="s">
        <v>2319</v>
      </c>
      <c r="AC348" s="574" t="s">
        <v>2320</v>
      </c>
      <c r="AD348" s="574" t="s">
        <v>2321</v>
      </c>
      <c r="AE348" s="574" t="s">
        <v>1446</v>
      </c>
      <c r="AF348" s="574" t="s">
        <v>2321</v>
      </c>
      <c r="AG348" s="576">
        <v>202134</v>
      </c>
    </row>
    <row r="349" spans="1:33" hidden="1" x14ac:dyDescent="0.25">
      <c r="A349" s="574" t="s">
        <v>2219</v>
      </c>
      <c r="B349" s="574" t="s">
        <v>2220</v>
      </c>
      <c r="C349" s="574" t="s">
        <v>2221</v>
      </c>
      <c r="D349" s="574" t="s">
        <v>2220</v>
      </c>
      <c r="E349" s="574" t="s">
        <v>2222</v>
      </c>
      <c r="F349" s="574" t="s">
        <v>2223</v>
      </c>
      <c r="G349" s="574" t="s">
        <v>2224</v>
      </c>
      <c r="H349" s="574" t="s">
        <v>2225</v>
      </c>
      <c r="I349" s="574" t="s">
        <v>2226</v>
      </c>
      <c r="J349" s="574" t="s">
        <v>2227</v>
      </c>
      <c r="K349" s="574" t="s">
        <v>2228</v>
      </c>
      <c r="L349" s="574" t="s">
        <v>2229</v>
      </c>
      <c r="M349" s="574" t="s">
        <v>2230</v>
      </c>
      <c r="N349" s="574" t="s">
        <v>2231</v>
      </c>
      <c r="O349" s="574" t="s">
        <v>2232</v>
      </c>
      <c r="P349" s="574" t="s">
        <v>2233</v>
      </c>
      <c r="Q349" s="574" t="s">
        <v>2234</v>
      </c>
      <c r="R349" s="574" t="s">
        <v>2225</v>
      </c>
      <c r="S349" s="574" t="s">
        <v>2235</v>
      </c>
      <c r="T349" s="574" t="s">
        <v>2236</v>
      </c>
      <c r="U349" s="574" t="s">
        <v>2375</v>
      </c>
      <c r="V349" s="574" t="s">
        <v>2238</v>
      </c>
      <c r="W349" s="574" t="s">
        <v>2239</v>
      </c>
      <c r="X349" s="574" t="s">
        <v>2376</v>
      </c>
      <c r="Y349" s="575" t="s">
        <v>2372</v>
      </c>
      <c r="Z349" s="575" t="s">
        <v>2372</v>
      </c>
      <c r="AA349" s="574" t="s">
        <v>1693</v>
      </c>
      <c r="AB349" s="574" t="s">
        <v>2319</v>
      </c>
      <c r="AC349" s="574" t="s">
        <v>2320</v>
      </c>
      <c r="AD349" s="574" t="s">
        <v>2321</v>
      </c>
      <c r="AE349" s="574" t="s">
        <v>1446</v>
      </c>
      <c r="AF349" s="574" t="s">
        <v>2321</v>
      </c>
      <c r="AG349" s="576">
        <v>202488</v>
      </c>
    </row>
    <row r="350" spans="1:33" hidden="1" x14ac:dyDescent="0.25">
      <c r="A350" s="574" t="s">
        <v>2219</v>
      </c>
      <c r="B350" s="574" t="s">
        <v>2220</v>
      </c>
      <c r="C350" s="574" t="s">
        <v>2221</v>
      </c>
      <c r="D350" s="574" t="s">
        <v>2220</v>
      </c>
      <c r="E350" s="574" t="s">
        <v>2222</v>
      </c>
      <c r="F350" s="574" t="s">
        <v>2223</v>
      </c>
      <c r="G350" s="574" t="s">
        <v>2224</v>
      </c>
      <c r="H350" s="574" t="s">
        <v>2225</v>
      </c>
      <c r="I350" s="574" t="s">
        <v>2226</v>
      </c>
      <c r="J350" s="574" t="s">
        <v>2227</v>
      </c>
      <c r="K350" s="574" t="s">
        <v>2228</v>
      </c>
      <c r="L350" s="574" t="s">
        <v>2229</v>
      </c>
      <c r="M350" s="574" t="s">
        <v>2230</v>
      </c>
      <c r="N350" s="574" t="s">
        <v>2231</v>
      </c>
      <c r="O350" s="574" t="s">
        <v>2759</v>
      </c>
      <c r="P350" s="574" t="s">
        <v>2932</v>
      </c>
      <c r="Q350" s="574" t="s">
        <v>2234</v>
      </c>
      <c r="R350" s="574" t="s">
        <v>2225</v>
      </c>
      <c r="S350" s="574" t="s">
        <v>2235</v>
      </c>
      <c r="T350" s="574" t="s">
        <v>2236</v>
      </c>
      <c r="U350" s="574" t="s">
        <v>3170</v>
      </c>
      <c r="V350" s="574" t="s">
        <v>2238</v>
      </c>
      <c r="W350" s="574" t="s">
        <v>2239</v>
      </c>
      <c r="X350" s="574" t="s">
        <v>3171</v>
      </c>
      <c r="Y350" s="575" t="s">
        <v>2675</v>
      </c>
      <c r="Z350" s="575" t="s">
        <v>2675</v>
      </c>
      <c r="AA350" s="574" t="s">
        <v>1693</v>
      </c>
      <c r="AB350" s="574" t="s">
        <v>2319</v>
      </c>
      <c r="AC350" s="574" t="s">
        <v>2320</v>
      </c>
      <c r="AD350" s="574" t="s">
        <v>2321</v>
      </c>
      <c r="AE350" s="574" t="s">
        <v>1446</v>
      </c>
      <c r="AF350" s="574" t="s">
        <v>2321</v>
      </c>
      <c r="AG350" s="576">
        <v>204000</v>
      </c>
    </row>
    <row r="351" spans="1:33" hidden="1" x14ac:dyDescent="0.25">
      <c r="A351" s="574" t="s">
        <v>2219</v>
      </c>
      <c r="B351" s="574" t="s">
        <v>2220</v>
      </c>
      <c r="C351" s="574" t="s">
        <v>2221</v>
      </c>
      <c r="D351" s="574" t="s">
        <v>2220</v>
      </c>
      <c r="E351" s="574" t="s">
        <v>2222</v>
      </c>
      <c r="F351" s="574" t="s">
        <v>2223</v>
      </c>
      <c r="G351" s="574" t="s">
        <v>2224</v>
      </c>
      <c r="H351" s="574" t="s">
        <v>2225</v>
      </c>
      <c r="I351" s="574" t="s">
        <v>2226</v>
      </c>
      <c r="J351" s="574" t="s">
        <v>2227</v>
      </c>
      <c r="K351" s="574" t="s">
        <v>2228</v>
      </c>
      <c r="L351" s="574" t="s">
        <v>2229</v>
      </c>
      <c r="M351" s="574" t="s">
        <v>2230</v>
      </c>
      <c r="N351" s="574" t="s">
        <v>2231</v>
      </c>
      <c r="O351" s="574" t="s">
        <v>2759</v>
      </c>
      <c r="P351" s="574" t="s">
        <v>2932</v>
      </c>
      <c r="Q351" s="574" t="s">
        <v>2234</v>
      </c>
      <c r="R351" s="574" t="s">
        <v>2225</v>
      </c>
      <c r="S351" s="574" t="s">
        <v>2235</v>
      </c>
      <c r="T351" s="574" t="s">
        <v>2236</v>
      </c>
      <c r="U351" s="574" t="s">
        <v>2996</v>
      </c>
      <c r="V351" s="574" t="s">
        <v>2238</v>
      </c>
      <c r="W351" s="574" t="s">
        <v>2239</v>
      </c>
      <c r="X351" s="574" t="s">
        <v>2997</v>
      </c>
      <c r="Y351" s="575" t="s">
        <v>2429</v>
      </c>
      <c r="Z351" s="575" t="s">
        <v>2429</v>
      </c>
      <c r="AA351" s="574" t="s">
        <v>1693</v>
      </c>
      <c r="AB351" s="574" t="s">
        <v>2319</v>
      </c>
      <c r="AC351" s="574" t="s">
        <v>2962</v>
      </c>
      <c r="AD351" s="574" t="s">
        <v>126</v>
      </c>
      <c r="AE351" s="574" t="s">
        <v>1522</v>
      </c>
      <c r="AF351" s="574" t="s">
        <v>126</v>
      </c>
      <c r="AG351" s="576">
        <v>204140</v>
      </c>
    </row>
    <row r="352" spans="1:33" hidden="1" x14ac:dyDescent="0.25">
      <c r="A352" s="574" t="s">
        <v>2219</v>
      </c>
      <c r="B352" s="574" t="s">
        <v>2220</v>
      </c>
      <c r="C352" s="574" t="s">
        <v>2221</v>
      </c>
      <c r="D352" s="574" t="s">
        <v>2220</v>
      </c>
      <c r="E352" s="574" t="s">
        <v>2222</v>
      </c>
      <c r="F352" s="574" t="s">
        <v>2223</v>
      </c>
      <c r="G352" s="574" t="s">
        <v>2224</v>
      </c>
      <c r="H352" s="574" t="s">
        <v>2225</v>
      </c>
      <c r="I352" s="574" t="s">
        <v>2226</v>
      </c>
      <c r="J352" s="574" t="s">
        <v>2227</v>
      </c>
      <c r="K352" s="574" t="s">
        <v>2228</v>
      </c>
      <c r="L352" s="574" t="s">
        <v>2229</v>
      </c>
      <c r="M352" s="574" t="s">
        <v>2230</v>
      </c>
      <c r="N352" s="574" t="s">
        <v>2231</v>
      </c>
      <c r="O352" s="574" t="s">
        <v>2759</v>
      </c>
      <c r="P352" s="574" t="s">
        <v>2932</v>
      </c>
      <c r="Q352" s="574" t="s">
        <v>2234</v>
      </c>
      <c r="R352" s="574" t="s">
        <v>2225</v>
      </c>
      <c r="S352" s="574" t="s">
        <v>2235</v>
      </c>
      <c r="T352" s="574" t="s">
        <v>2236</v>
      </c>
      <c r="U352" s="574" t="s">
        <v>3237</v>
      </c>
      <c r="V352" s="574" t="s">
        <v>2238</v>
      </c>
      <c r="W352" s="574" t="s">
        <v>2239</v>
      </c>
      <c r="X352" s="574" t="s">
        <v>3238</v>
      </c>
      <c r="Y352" s="575" t="s">
        <v>2571</v>
      </c>
      <c r="Z352" s="575" t="s">
        <v>2571</v>
      </c>
      <c r="AA352" s="574" t="s">
        <v>1693</v>
      </c>
      <c r="AB352" s="574" t="s">
        <v>2319</v>
      </c>
      <c r="AC352" s="574" t="s">
        <v>2402</v>
      </c>
      <c r="AD352" s="574" t="s">
        <v>2403</v>
      </c>
      <c r="AE352" s="574" t="s">
        <v>1486</v>
      </c>
      <c r="AF352" s="574" t="s">
        <v>2403</v>
      </c>
      <c r="AG352" s="576">
        <v>204140</v>
      </c>
    </row>
    <row r="353" spans="1:33" hidden="1" x14ac:dyDescent="0.25">
      <c r="A353" s="574" t="s">
        <v>2219</v>
      </c>
      <c r="B353" s="574" t="s">
        <v>2220</v>
      </c>
      <c r="C353" s="574" t="s">
        <v>2221</v>
      </c>
      <c r="D353" s="574" t="s">
        <v>2220</v>
      </c>
      <c r="E353" s="574" t="s">
        <v>2222</v>
      </c>
      <c r="F353" s="574" t="s">
        <v>2223</v>
      </c>
      <c r="G353" s="574" t="s">
        <v>2224</v>
      </c>
      <c r="H353" s="574" t="s">
        <v>2225</v>
      </c>
      <c r="I353" s="574" t="s">
        <v>2226</v>
      </c>
      <c r="J353" s="574" t="s">
        <v>2227</v>
      </c>
      <c r="K353" s="574" t="s">
        <v>2228</v>
      </c>
      <c r="L353" s="574" t="s">
        <v>2229</v>
      </c>
      <c r="M353" s="574" t="s">
        <v>2230</v>
      </c>
      <c r="N353" s="574" t="s">
        <v>2231</v>
      </c>
      <c r="O353" s="574" t="s">
        <v>2759</v>
      </c>
      <c r="P353" s="574" t="s">
        <v>2932</v>
      </c>
      <c r="Q353" s="574" t="s">
        <v>2234</v>
      </c>
      <c r="R353" s="574" t="s">
        <v>2225</v>
      </c>
      <c r="S353" s="574" t="s">
        <v>2235</v>
      </c>
      <c r="T353" s="574" t="s">
        <v>2236</v>
      </c>
      <c r="U353" s="574" t="s">
        <v>3267</v>
      </c>
      <c r="V353" s="574" t="s">
        <v>2238</v>
      </c>
      <c r="W353" s="574" t="s">
        <v>2239</v>
      </c>
      <c r="X353" s="574" t="s">
        <v>3268</v>
      </c>
      <c r="Y353" s="575" t="s">
        <v>2586</v>
      </c>
      <c r="Z353" s="575" t="s">
        <v>2586</v>
      </c>
      <c r="AA353" s="574" t="s">
        <v>1693</v>
      </c>
      <c r="AB353" s="574" t="s">
        <v>2319</v>
      </c>
      <c r="AC353" s="574" t="s">
        <v>2320</v>
      </c>
      <c r="AD353" s="574" t="s">
        <v>2321</v>
      </c>
      <c r="AE353" s="574" t="s">
        <v>1446</v>
      </c>
      <c r="AF353" s="574" t="s">
        <v>2321</v>
      </c>
      <c r="AG353" s="576">
        <v>206500</v>
      </c>
    </row>
    <row r="354" spans="1:33" hidden="1" x14ac:dyDescent="0.25">
      <c r="A354" s="574" t="s">
        <v>2219</v>
      </c>
      <c r="B354" s="574" t="s">
        <v>2220</v>
      </c>
      <c r="C354" s="574" t="s">
        <v>2221</v>
      </c>
      <c r="D354" s="574" t="s">
        <v>2220</v>
      </c>
      <c r="E354" s="574" t="s">
        <v>2222</v>
      </c>
      <c r="F354" s="574" t="s">
        <v>2223</v>
      </c>
      <c r="G354" s="574" t="s">
        <v>2224</v>
      </c>
      <c r="H354" s="574" t="s">
        <v>2225</v>
      </c>
      <c r="I354" s="574" t="s">
        <v>2226</v>
      </c>
      <c r="J354" s="574" t="s">
        <v>2227</v>
      </c>
      <c r="K354" s="574" t="s">
        <v>2228</v>
      </c>
      <c r="L354" s="574" t="s">
        <v>2229</v>
      </c>
      <c r="M354" s="574" t="s">
        <v>2230</v>
      </c>
      <c r="N354" s="574" t="s">
        <v>2231</v>
      </c>
      <c r="O354" s="574" t="s">
        <v>2759</v>
      </c>
      <c r="P354" s="574" t="s">
        <v>2932</v>
      </c>
      <c r="Q354" s="574" t="s">
        <v>2234</v>
      </c>
      <c r="R354" s="574" t="s">
        <v>2225</v>
      </c>
      <c r="S354" s="574" t="s">
        <v>2235</v>
      </c>
      <c r="T354" s="574" t="s">
        <v>2236</v>
      </c>
      <c r="U354" s="574" t="s">
        <v>3249</v>
      </c>
      <c r="V354" s="574" t="s">
        <v>2238</v>
      </c>
      <c r="W354" s="574" t="s">
        <v>2239</v>
      </c>
      <c r="X354" s="574" t="s">
        <v>3250</v>
      </c>
      <c r="Y354" s="575" t="s">
        <v>2579</v>
      </c>
      <c r="Z354" s="575" t="s">
        <v>2579</v>
      </c>
      <c r="AA354" s="574" t="s">
        <v>1693</v>
      </c>
      <c r="AB354" s="574" t="s">
        <v>2319</v>
      </c>
      <c r="AC354" s="574" t="s">
        <v>2320</v>
      </c>
      <c r="AD354" s="574" t="s">
        <v>2321</v>
      </c>
      <c r="AE354" s="574" t="s">
        <v>1446</v>
      </c>
      <c r="AF354" s="574" t="s">
        <v>2321</v>
      </c>
      <c r="AG354" s="576">
        <v>208280.01</v>
      </c>
    </row>
    <row r="355" spans="1:33" hidden="1" x14ac:dyDescent="0.25">
      <c r="A355" s="574" t="s">
        <v>2219</v>
      </c>
      <c r="B355" s="574" t="s">
        <v>2220</v>
      </c>
      <c r="C355" s="574" t="s">
        <v>2221</v>
      </c>
      <c r="D355" s="574" t="s">
        <v>2220</v>
      </c>
      <c r="E355" s="574" t="s">
        <v>2222</v>
      </c>
      <c r="F355" s="574" t="s">
        <v>2223</v>
      </c>
      <c r="G355" s="574" t="s">
        <v>2224</v>
      </c>
      <c r="H355" s="574" t="s">
        <v>2225</v>
      </c>
      <c r="I355" s="574" t="s">
        <v>2226</v>
      </c>
      <c r="J355" s="574" t="s">
        <v>2227</v>
      </c>
      <c r="K355" s="574" t="s">
        <v>2228</v>
      </c>
      <c r="L355" s="574" t="s">
        <v>2229</v>
      </c>
      <c r="M355" s="574" t="s">
        <v>2230</v>
      </c>
      <c r="N355" s="574" t="s">
        <v>2231</v>
      </c>
      <c r="O355" s="574" t="s">
        <v>2759</v>
      </c>
      <c r="P355" s="574" t="s">
        <v>2932</v>
      </c>
      <c r="Q355" s="574" t="s">
        <v>2234</v>
      </c>
      <c r="R355" s="574" t="s">
        <v>2225</v>
      </c>
      <c r="S355" s="574" t="s">
        <v>2235</v>
      </c>
      <c r="T355" s="574" t="s">
        <v>2236</v>
      </c>
      <c r="U355" s="574" t="s">
        <v>3203</v>
      </c>
      <c r="V355" s="574" t="s">
        <v>2238</v>
      </c>
      <c r="W355" s="574" t="s">
        <v>2239</v>
      </c>
      <c r="X355" s="574" t="s">
        <v>3204</v>
      </c>
      <c r="Y355" s="575" t="s">
        <v>2562</v>
      </c>
      <c r="Z355" s="575" t="s">
        <v>2562</v>
      </c>
      <c r="AA355" s="574" t="s">
        <v>1693</v>
      </c>
      <c r="AB355" s="574" t="s">
        <v>2319</v>
      </c>
      <c r="AC355" s="574" t="s">
        <v>2320</v>
      </c>
      <c r="AD355" s="574" t="s">
        <v>2321</v>
      </c>
      <c r="AE355" s="574" t="s">
        <v>1446</v>
      </c>
      <c r="AF355" s="574" t="s">
        <v>2321</v>
      </c>
      <c r="AG355" s="576">
        <v>208683</v>
      </c>
    </row>
    <row r="356" spans="1:33" hidden="1" x14ac:dyDescent="0.25">
      <c r="A356" s="574" t="s">
        <v>2219</v>
      </c>
      <c r="B356" s="574" t="s">
        <v>2220</v>
      </c>
      <c r="C356" s="574" t="s">
        <v>2221</v>
      </c>
      <c r="D356" s="574" t="s">
        <v>2220</v>
      </c>
      <c r="E356" s="574" t="s">
        <v>2222</v>
      </c>
      <c r="F356" s="574" t="s">
        <v>2223</v>
      </c>
      <c r="G356" s="574" t="s">
        <v>2224</v>
      </c>
      <c r="H356" s="574" t="s">
        <v>2225</v>
      </c>
      <c r="I356" s="574" t="s">
        <v>2226</v>
      </c>
      <c r="J356" s="574" t="s">
        <v>2227</v>
      </c>
      <c r="K356" s="574" t="s">
        <v>2228</v>
      </c>
      <c r="L356" s="574" t="s">
        <v>2229</v>
      </c>
      <c r="M356" s="574" t="s">
        <v>2230</v>
      </c>
      <c r="N356" s="574" t="s">
        <v>2231</v>
      </c>
      <c r="O356" s="574" t="s">
        <v>2759</v>
      </c>
      <c r="P356" s="574" t="s">
        <v>2932</v>
      </c>
      <c r="Q356" s="574" t="s">
        <v>2234</v>
      </c>
      <c r="R356" s="574" t="s">
        <v>2225</v>
      </c>
      <c r="S356" s="574" t="s">
        <v>2235</v>
      </c>
      <c r="T356" s="574" t="s">
        <v>2236</v>
      </c>
      <c r="U356" s="574" t="s">
        <v>3154</v>
      </c>
      <c r="V356" s="574" t="s">
        <v>2238</v>
      </c>
      <c r="W356" s="574" t="s">
        <v>2239</v>
      </c>
      <c r="X356" s="574" t="s">
        <v>3155</v>
      </c>
      <c r="Y356" s="575" t="s">
        <v>2517</v>
      </c>
      <c r="Z356" s="575" t="s">
        <v>2517</v>
      </c>
      <c r="AA356" s="574" t="s">
        <v>1693</v>
      </c>
      <c r="AB356" s="574" t="s">
        <v>2319</v>
      </c>
      <c r="AC356" s="574" t="s">
        <v>2320</v>
      </c>
      <c r="AD356" s="574" t="s">
        <v>2321</v>
      </c>
      <c r="AE356" s="574" t="s">
        <v>1446</v>
      </c>
      <c r="AF356" s="574" t="s">
        <v>2321</v>
      </c>
      <c r="AG356" s="576">
        <v>210000</v>
      </c>
    </row>
    <row r="357" spans="1:33" hidden="1" x14ac:dyDescent="0.25">
      <c r="A357" s="574" t="s">
        <v>2219</v>
      </c>
      <c r="B357" s="574" t="s">
        <v>2220</v>
      </c>
      <c r="C357" s="574" t="s">
        <v>2221</v>
      </c>
      <c r="D357" s="574" t="s">
        <v>2220</v>
      </c>
      <c r="E357" s="574" t="s">
        <v>2222</v>
      </c>
      <c r="F357" s="574" t="s">
        <v>2223</v>
      </c>
      <c r="G357" s="574" t="s">
        <v>2224</v>
      </c>
      <c r="H357" s="574" t="s">
        <v>2225</v>
      </c>
      <c r="I357" s="574" t="s">
        <v>2226</v>
      </c>
      <c r="J357" s="574" t="s">
        <v>2227</v>
      </c>
      <c r="K357" s="574" t="s">
        <v>2228</v>
      </c>
      <c r="L357" s="574" t="s">
        <v>2229</v>
      </c>
      <c r="M357" s="574" t="s">
        <v>2230</v>
      </c>
      <c r="N357" s="574" t="s">
        <v>2231</v>
      </c>
      <c r="O357" s="574" t="s">
        <v>2759</v>
      </c>
      <c r="P357" s="574" t="s">
        <v>2932</v>
      </c>
      <c r="Q357" s="574" t="s">
        <v>2234</v>
      </c>
      <c r="R357" s="574" t="s">
        <v>2225</v>
      </c>
      <c r="S357" s="574" t="s">
        <v>2235</v>
      </c>
      <c r="T357" s="574" t="s">
        <v>2236</v>
      </c>
      <c r="U357" s="574" t="s">
        <v>3047</v>
      </c>
      <c r="V357" s="574" t="s">
        <v>2238</v>
      </c>
      <c r="W357" s="574" t="s">
        <v>2239</v>
      </c>
      <c r="X357" s="574" t="s">
        <v>3048</v>
      </c>
      <c r="Y357" s="575" t="s">
        <v>2464</v>
      </c>
      <c r="Z357" s="575" t="s">
        <v>2464</v>
      </c>
      <c r="AA357" s="574" t="s">
        <v>1693</v>
      </c>
      <c r="AB357" s="574" t="s">
        <v>2319</v>
      </c>
      <c r="AC357" s="574" t="s">
        <v>2320</v>
      </c>
      <c r="AD357" s="574" t="s">
        <v>2321</v>
      </c>
      <c r="AE357" s="574" t="s">
        <v>1446</v>
      </c>
      <c r="AF357" s="574" t="s">
        <v>2321</v>
      </c>
      <c r="AG357" s="576">
        <v>211438.5</v>
      </c>
    </row>
    <row r="358" spans="1:33" hidden="1" x14ac:dyDescent="0.25">
      <c r="A358" s="574" t="s">
        <v>2219</v>
      </c>
      <c r="B358" s="574" t="s">
        <v>2220</v>
      </c>
      <c r="C358" s="574" t="s">
        <v>2221</v>
      </c>
      <c r="D358" s="574" t="s">
        <v>2220</v>
      </c>
      <c r="E358" s="574" t="s">
        <v>2222</v>
      </c>
      <c r="F358" s="574" t="s">
        <v>2223</v>
      </c>
      <c r="G358" s="574" t="s">
        <v>2224</v>
      </c>
      <c r="H358" s="574" t="s">
        <v>2225</v>
      </c>
      <c r="I358" s="574" t="s">
        <v>2226</v>
      </c>
      <c r="J358" s="574" t="s">
        <v>2227</v>
      </c>
      <c r="K358" s="574" t="s">
        <v>2228</v>
      </c>
      <c r="L358" s="574" t="s">
        <v>2229</v>
      </c>
      <c r="M358" s="574" t="s">
        <v>2230</v>
      </c>
      <c r="N358" s="574" t="s">
        <v>2231</v>
      </c>
      <c r="O358" s="574" t="s">
        <v>2232</v>
      </c>
      <c r="P358" s="574" t="s">
        <v>2233</v>
      </c>
      <c r="Q358" s="574" t="s">
        <v>2234</v>
      </c>
      <c r="R358" s="574" t="s">
        <v>2225</v>
      </c>
      <c r="S358" s="574" t="s">
        <v>2235</v>
      </c>
      <c r="T358" s="574" t="s">
        <v>2236</v>
      </c>
      <c r="U358" s="574" t="s">
        <v>2331</v>
      </c>
      <c r="V358" s="574" t="s">
        <v>2238</v>
      </c>
      <c r="W358" s="574" t="s">
        <v>2239</v>
      </c>
      <c r="X358" s="574" t="s">
        <v>2332</v>
      </c>
      <c r="Y358" s="575" t="s">
        <v>2326</v>
      </c>
      <c r="Z358" s="575" t="s">
        <v>2326</v>
      </c>
      <c r="AA358" s="574" t="s">
        <v>1693</v>
      </c>
      <c r="AB358" s="574" t="s">
        <v>2319</v>
      </c>
      <c r="AC358" s="574" t="s">
        <v>2320</v>
      </c>
      <c r="AD358" s="574" t="s">
        <v>2321</v>
      </c>
      <c r="AE358" s="574" t="s">
        <v>1446</v>
      </c>
      <c r="AF358" s="574" t="s">
        <v>2321</v>
      </c>
      <c r="AG358" s="576">
        <v>212400</v>
      </c>
    </row>
    <row r="359" spans="1:33" hidden="1" x14ac:dyDescent="0.25">
      <c r="A359" s="574" t="s">
        <v>2219</v>
      </c>
      <c r="B359" s="574" t="s">
        <v>2220</v>
      </c>
      <c r="C359" s="574" t="s">
        <v>2221</v>
      </c>
      <c r="D359" s="574" t="s">
        <v>2220</v>
      </c>
      <c r="E359" s="574" t="s">
        <v>2222</v>
      </c>
      <c r="F359" s="574" t="s">
        <v>2223</v>
      </c>
      <c r="G359" s="574" t="s">
        <v>2224</v>
      </c>
      <c r="H359" s="574" t="s">
        <v>2225</v>
      </c>
      <c r="I359" s="574" t="s">
        <v>2226</v>
      </c>
      <c r="J359" s="574" t="s">
        <v>2227</v>
      </c>
      <c r="K359" s="574" t="s">
        <v>2228</v>
      </c>
      <c r="L359" s="574" t="s">
        <v>2229</v>
      </c>
      <c r="M359" s="574" t="s">
        <v>2230</v>
      </c>
      <c r="N359" s="574" t="s">
        <v>2231</v>
      </c>
      <c r="O359" s="574" t="s">
        <v>2759</v>
      </c>
      <c r="P359" s="574" t="s">
        <v>2932</v>
      </c>
      <c r="Q359" s="574" t="s">
        <v>2234</v>
      </c>
      <c r="R359" s="574" t="s">
        <v>2225</v>
      </c>
      <c r="S359" s="574" t="s">
        <v>2235</v>
      </c>
      <c r="T359" s="574" t="s">
        <v>2236</v>
      </c>
      <c r="U359" s="574" t="s">
        <v>3103</v>
      </c>
      <c r="V359" s="574" t="s">
        <v>2238</v>
      </c>
      <c r="W359" s="574" t="s">
        <v>2239</v>
      </c>
      <c r="X359" s="574" t="s">
        <v>3104</v>
      </c>
      <c r="Y359" s="575" t="s">
        <v>2724</v>
      </c>
      <c r="Z359" s="575" t="s">
        <v>2724</v>
      </c>
      <c r="AA359" s="574" t="s">
        <v>1693</v>
      </c>
      <c r="AB359" s="574" t="s">
        <v>2319</v>
      </c>
      <c r="AC359" s="574" t="s">
        <v>2320</v>
      </c>
      <c r="AD359" s="574" t="s">
        <v>2321</v>
      </c>
      <c r="AE359" s="574" t="s">
        <v>1446</v>
      </c>
      <c r="AF359" s="574" t="s">
        <v>2321</v>
      </c>
      <c r="AG359" s="576">
        <v>212400</v>
      </c>
    </row>
    <row r="360" spans="1:33" hidden="1" x14ac:dyDescent="0.25">
      <c r="A360" s="574" t="s">
        <v>2219</v>
      </c>
      <c r="B360" s="574" t="s">
        <v>2220</v>
      </c>
      <c r="C360" s="574" t="s">
        <v>2221</v>
      </c>
      <c r="D360" s="574" t="s">
        <v>2220</v>
      </c>
      <c r="E360" s="574" t="s">
        <v>2222</v>
      </c>
      <c r="F360" s="574" t="s">
        <v>2223</v>
      </c>
      <c r="G360" s="574" t="s">
        <v>2224</v>
      </c>
      <c r="H360" s="574" t="s">
        <v>2225</v>
      </c>
      <c r="I360" s="574" t="s">
        <v>2226</v>
      </c>
      <c r="J360" s="574" t="s">
        <v>2227</v>
      </c>
      <c r="K360" s="574" t="s">
        <v>2228</v>
      </c>
      <c r="L360" s="574" t="s">
        <v>2229</v>
      </c>
      <c r="M360" s="574" t="s">
        <v>2230</v>
      </c>
      <c r="N360" s="574" t="s">
        <v>2231</v>
      </c>
      <c r="O360" s="574" t="s">
        <v>2759</v>
      </c>
      <c r="P360" s="574" t="s">
        <v>2932</v>
      </c>
      <c r="Q360" s="574" t="s">
        <v>2234</v>
      </c>
      <c r="R360" s="574" t="s">
        <v>2225</v>
      </c>
      <c r="S360" s="574" t="s">
        <v>2235</v>
      </c>
      <c r="T360" s="574" t="s">
        <v>2236</v>
      </c>
      <c r="U360" s="574" t="s">
        <v>3136</v>
      </c>
      <c r="V360" s="574" t="s">
        <v>2238</v>
      </c>
      <c r="W360" s="574" t="s">
        <v>2239</v>
      </c>
      <c r="X360" s="574" t="s">
        <v>3137</v>
      </c>
      <c r="Y360" s="575" t="s">
        <v>2507</v>
      </c>
      <c r="Z360" s="575" t="s">
        <v>2507</v>
      </c>
      <c r="AA360" s="574" t="s">
        <v>1693</v>
      </c>
      <c r="AB360" s="574" t="s">
        <v>2319</v>
      </c>
      <c r="AC360" s="574" t="s">
        <v>2320</v>
      </c>
      <c r="AD360" s="574" t="s">
        <v>2321</v>
      </c>
      <c r="AE360" s="574" t="s">
        <v>1446</v>
      </c>
      <c r="AF360" s="574" t="s">
        <v>2321</v>
      </c>
      <c r="AG360" s="576">
        <v>212400</v>
      </c>
    </row>
    <row r="361" spans="1:33" hidden="1" x14ac:dyDescent="0.25">
      <c r="A361" s="574" t="s">
        <v>2219</v>
      </c>
      <c r="B361" s="574" t="s">
        <v>2220</v>
      </c>
      <c r="C361" s="574" t="s">
        <v>2221</v>
      </c>
      <c r="D361" s="574" t="s">
        <v>2220</v>
      </c>
      <c r="E361" s="574" t="s">
        <v>2222</v>
      </c>
      <c r="F361" s="574" t="s">
        <v>2223</v>
      </c>
      <c r="G361" s="574" t="s">
        <v>2224</v>
      </c>
      <c r="H361" s="574" t="s">
        <v>2225</v>
      </c>
      <c r="I361" s="574" t="s">
        <v>2226</v>
      </c>
      <c r="J361" s="574" t="s">
        <v>2227</v>
      </c>
      <c r="K361" s="574" t="s">
        <v>2228</v>
      </c>
      <c r="L361" s="574" t="s">
        <v>2229</v>
      </c>
      <c r="M361" s="574" t="s">
        <v>2230</v>
      </c>
      <c r="N361" s="574" t="s">
        <v>2231</v>
      </c>
      <c r="O361" s="574" t="s">
        <v>2759</v>
      </c>
      <c r="P361" s="574" t="s">
        <v>2932</v>
      </c>
      <c r="Q361" s="574" t="s">
        <v>2234</v>
      </c>
      <c r="R361" s="574" t="s">
        <v>2225</v>
      </c>
      <c r="S361" s="574" t="s">
        <v>2235</v>
      </c>
      <c r="T361" s="574" t="s">
        <v>2236</v>
      </c>
      <c r="U361" s="574" t="s">
        <v>3205</v>
      </c>
      <c r="V361" s="574" t="s">
        <v>2238</v>
      </c>
      <c r="W361" s="574" t="s">
        <v>2239</v>
      </c>
      <c r="X361" s="574" t="s">
        <v>3206</v>
      </c>
      <c r="Y361" s="575" t="s">
        <v>2562</v>
      </c>
      <c r="Z361" s="575" t="s">
        <v>2562</v>
      </c>
      <c r="AA361" s="574" t="s">
        <v>1693</v>
      </c>
      <c r="AB361" s="574" t="s">
        <v>2319</v>
      </c>
      <c r="AC361" s="574" t="s">
        <v>2320</v>
      </c>
      <c r="AD361" s="574" t="s">
        <v>2321</v>
      </c>
      <c r="AE361" s="574" t="s">
        <v>1446</v>
      </c>
      <c r="AF361" s="574" t="s">
        <v>2321</v>
      </c>
      <c r="AG361" s="576">
        <v>212400</v>
      </c>
    </row>
    <row r="362" spans="1:33" hidden="1" x14ac:dyDescent="0.25">
      <c r="A362" s="574" t="s">
        <v>2219</v>
      </c>
      <c r="B362" s="574" t="s">
        <v>2220</v>
      </c>
      <c r="C362" s="574" t="s">
        <v>2221</v>
      </c>
      <c r="D362" s="574" t="s">
        <v>2220</v>
      </c>
      <c r="E362" s="574" t="s">
        <v>2222</v>
      </c>
      <c r="F362" s="574" t="s">
        <v>2223</v>
      </c>
      <c r="G362" s="574" t="s">
        <v>2224</v>
      </c>
      <c r="H362" s="574" t="s">
        <v>2225</v>
      </c>
      <c r="I362" s="574" t="s">
        <v>2226</v>
      </c>
      <c r="J362" s="574" t="s">
        <v>2227</v>
      </c>
      <c r="K362" s="574" t="s">
        <v>2228</v>
      </c>
      <c r="L362" s="574" t="s">
        <v>2229</v>
      </c>
      <c r="M362" s="574" t="s">
        <v>2230</v>
      </c>
      <c r="N362" s="574" t="s">
        <v>2231</v>
      </c>
      <c r="O362" s="574" t="s">
        <v>2759</v>
      </c>
      <c r="P362" s="574" t="s">
        <v>2932</v>
      </c>
      <c r="Q362" s="574" t="s">
        <v>2234</v>
      </c>
      <c r="R362" s="574" t="s">
        <v>2225</v>
      </c>
      <c r="S362" s="574" t="s">
        <v>2235</v>
      </c>
      <c r="T362" s="574" t="s">
        <v>2236</v>
      </c>
      <c r="U362" s="574" t="s">
        <v>3286</v>
      </c>
      <c r="V362" s="574" t="s">
        <v>2238</v>
      </c>
      <c r="W362" s="574" t="s">
        <v>2239</v>
      </c>
      <c r="X362" s="574" t="s">
        <v>3287</v>
      </c>
      <c r="Y362" s="575" t="s">
        <v>2593</v>
      </c>
      <c r="Z362" s="575" t="s">
        <v>2593</v>
      </c>
      <c r="AA362" s="574" t="s">
        <v>1693</v>
      </c>
      <c r="AB362" s="574" t="s">
        <v>2319</v>
      </c>
      <c r="AC362" s="574" t="s">
        <v>2320</v>
      </c>
      <c r="AD362" s="574" t="s">
        <v>2321</v>
      </c>
      <c r="AE362" s="574" t="s">
        <v>1446</v>
      </c>
      <c r="AF362" s="574" t="s">
        <v>2321</v>
      </c>
      <c r="AG362" s="576">
        <v>213875</v>
      </c>
    </row>
    <row r="363" spans="1:33" hidden="1" x14ac:dyDescent="0.25">
      <c r="A363" s="574" t="s">
        <v>2219</v>
      </c>
      <c r="B363" s="574" t="s">
        <v>2220</v>
      </c>
      <c r="C363" s="574" t="s">
        <v>2221</v>
      </c>
      <c r="D363" s="574" t="s">
        <v>2220</v>
      </c>
      <c r="E363" s="574" t="s">
        <v>2222</v>
      </c>
      <c r="F363" s="574" t="s">
        <v>2223</v>
      </c>
      <c r="G363" s="574" t="s">
        <v>2224</v>
      </c>
      <c r="H363" s="574" t="s">
        <v>2225</v>
      </c>
      <c r="I363" s="574" t="s">
        <v>2226</v>
      </c>
      <c r="J363" s="574" t="s">
        <v>2227</v>
      </c>
      <c r="K363" s="574" t="s">
        <v>2228</v>
      </c>
      <c r="L363" s="574" t="s">
        <v>2229</v>
      </c>
      <c r="M363" s="574" t="s">
        <v>2230</v>
      </c>
      <c r="N363" s="574" t="s">
        <v>2231</v>
      </c>
      <c r="O363" s="574" t="s">
        <v>2759</v>
      </c>
      <c r="P363" s="574" t="s">
        <v>2932</v>
      </c>
      <c r="Q363" s="574" t="s">
        <v>2234</v>
      </c>
      <c r="R363" s="574" t="s">
        <v>2225</v>
      </c>
      <c r="S363" s="574" t="s">
        <v>2235</v>
      </c>
      <c r="T363" s="574" t="s">
        <v>2236</v>
      </c>
      <c r="U363" s="574" t="s">
        <v>3273</v>
      </c>
      <c r="V363" s="574" t="s">
        <v>2238</v>
      </c>
      <c r="W363" s="574" t="s">
        <v>2239</v>
      </c>
      <c r="X363" s="574" t="s">
        <v>3274</v>
      </c>
      <c r="Y363" s="575" t="s">
        <v>2586</v>
      </c>
      <c r="Z363" s="575" t="s">
        <v>2586</v>
      </c>
      <c r="AA363" s="574" t="s">
        <v>1693</v>
      </c>
      <c r="AB363" s="574" t="s">
        <v>2319</v>
      </c>
      <c r="AC363" s="574" t="s">
        <v>2320</v>
      </c>
      <c r="AD363" s="574" t="s">
        <v>2321</v>
      </c>
      <c r="AE363" s="574" t="s">
        <v>1446</v>
      </c>
      <c r="AF363" s="574" t="s">
        <v>2321</v>
      </c>
      <c r="AG363" s="576">
        <v>216382.5</v>
      </c>
    </row>
    <row r="364" spans="1:33" hidden="1" x14ac:dyDescent="0.25">
      <c r="A364" s="574" t="s">
        <v>2219</v>
      </c>
      <c r="B364" s="574" t="s">
        <v>2220</v>
      </c>
      <c r="C364" s="574" t="s">
        <v>2221</v>
      </c>
      <c r="D364" s="574" t="s">
        <v>2220</v>
      </c>
      <c r="E364" s="574" t="s">
        <v>2222</v>
      </c>
      <c r="F364" s="574" t="s">
        <v>2223</v>
      </c>
      <c r="G364" s="574" t="s">
        <v>2224</v>
      </c>
      <c r="H364" s="574" t="s">
        <v>2225</v>
      </c>
      <c r="I364" s="574" t="s">
        <v>2226</v>
      </c>
      <c r="J364" s="574" t="s">
        <v>2227</v>
      </c>
      <c r="K364" s="574" t="s">
        <v>2228</v>
      </c>
      <c r="L364" s="574" t="s">
        <v>2229</v>
      </c>
      <c r="M364" s="574" t="s">
        <v>2230</v>
      </c>
      <c r="N364" s="574" t="s">
        <v>2231</v>
      </c>
      <c r="O364" s="574" t="s">
        <v>2759</v>
      </c>
      <c r="P364" s="574" t="s">
        <v>2932</v>
      </c>
      <c r="Q364" s="574" t="s">
        <v>2234</v>
      </c>
      <c r="R364" s="574" t="s">
        <v>2225</v>
      </c>
      <c r="S364" s="574" t="s">
        <v>2235</v>
      </c>
      <c r="T364" s="574" t="s">
        <v>2236</v>
      </c>
      <c r="U364" s="574" t="s">
        <v>3263</v>
      </c>
      <c r="V364" s="574" t="s">
        <v>2238</v>
      </c>
      <c r="W364" s="574" t="s">
        <v>2239</v>
      </c>
      <c r="X364" s="574" t="s">
        <v>3264</v>
      </c>
      <c r="Y364" s="575" t="s">
        <v>2586</v>
      </c>
      <c r="Z364" s="575" t="s">
        <v>2586</v>
      </c>
      <c r="AA364" s="574" t="s">
        <v>1693</v>
      </c>
      <c r="AB364" s="574" t="s">
        <v>2319</v>
      </c>
      <c r="AC364" s="574" t="s">
        <v>2320</v>
      </c>
      <c r="AD364" s="574" t="s">
        <v>2321</v>
      </c>
      <c r="AE364" s="574" t="s">
        <v>1446</v>
      </c>
      <c r="AF364" s="574" t="s">
        <v>2321</v>
      </c>
      <c r="AG364" s="576">
        <v>219461.59</v>
      </c>
    </row>
    <row r="365" spans="1:33" hidden="1" x14ac:dyDescent="0.25">
      <c r="A365" s="574" t="s">
        <v>2219</v>
      </c>
      <c r="B365" s="574" t="s">
        <v>2220</v>
      </c>
      <c r="C365" s="574" t="s">
        <v>2221</v>
      </c>
      <c r="D365" s="574" t="s">
        <v>2220</v>
      </c>
      <c r="E365" s="574" t="s">
        <v>2222</v>
      </c>
      <c r="F365" s="574" t="s">
        <v>2223</v>
      </c>
      <c r="G365" s="574" t="s">
        <v>2224</v>
      </c>
      <c r="H365" s="574" t="s">
        <v>2225</v>
      </c>
      <c r="I365" s="574" t="s">
        <v>2226</v>
      </c>
      <c r="J365" s="574" t="s">
        <v>2227</v>
      </c>
      <c r="K365" s="574" t="s">
        <v>2228</v>
      </c>
      <c r="L365" s="574" t="s">
        <v>2229</v>
      </c>
      <c r="M365" s="574" t="s">
        <v>2230</v>
      </c>
      <c r="N365" s="574" t="s">
        <v>2231</v>
      </c>
      <c r="O365" s="574" t="s">
        <v>2759</v>
      </c>
      <c r="P365" s="574" t="s">
        <v>2932</v>
      </c>
      <c r="Q365" s="574" t="s">
        <v>2234</v>
      </c>
      <c r="R365" s="574" t="s">
        <v>2225</v>
      </c>
      <c r="S365" s="574" t="s">
        <v>2235</v>
      </c>
      <c r="T365" s="574" t="s">
        <v>2236</v>
      </c>
      <c r="U365" s="574" t="s">
        <v>2632</v>
      </c>
      <c r="V365" s="574" t="s">
        <v>2238</v>
      </c>
      <c r="W365" s="574" t="s">
        <v>2239</v>
      </c>
      <c r="X365" s="574" t="s">
        <v>2633</v>
      </c>
      <c r="Y365" s="575" t="s">
        <v>2634</v>
      </c>
      <c r="Z365" s="575" t="s">
        <v>2634</v>
      </c>
      <c r="AA365" s="574" t="s">
        <v>1693</v>
      </c>
      <c r="AB365" s="574" t="s">
        <v>2319</v>
      </c>
      <c r="AC365" s="574" t="s">
        <v>2320</v>
      </c>
      <c r="AD365" s="574" t="s">
        <v>2321</v>
      </c>
      <c r="AE365" s="574" t="s">
        <v>1446</v>
      </c>
      <c r="AF365" s="574" t="s">
        <v>2321</v>
      </c>
      <c r="AG365" s="576">
        <v>219981.5</v>
      </c>
    </row>
    <row r="366" spans="1:33" hidden="1" x14ac:dyDescent="0.25">
      <c r="A366" s="574" t="s">
        <v>2219</v>
      </c>
      <c r="B366" s="574" t="s">
        <v>2220</v>
      </c>
      <c r="C366" s="574" t="s">
        <v>2221</v>
      </c>
      <c r="D366" s="574" t="s">
        <v>2220</v>
      </c>
      <c r="E366" s="574" t="s">
        <v>2222</v>
      </c>
      <c r="F366" s="574" t="s">
        <v>2223</v>
      </c>
      <c r="G366" s="574" t="s">
        <v>2224</v>
      </c>
      <c r="H366" s="574" t="s">
        <v>2225</v>
      </c>
      <c r="I366" s="574" t="s">
        <v>2226</v>
      </c>
      <c r="J366" s="574" t="s">
        <v>2227</v>
      </c>
      <c r="K366" s="574" t="s">
        <v>2228</v>
      </c>
      <c r="L366" s="574" t="s">
        <v>2229</v>
      </c>
      <c r="M366" s="574" t="s">
        <v>2230</v>
      </c>
      <c r="N366" s="574" t="s">
        <v>2231</v>
      </c>
      <c r="O366" s="574" t="s">
        <v>2759</v>
      </c>
      <c r="P366" s="574" t="s">
        <v>2932</v>
      </c>
      <c r="Q366" s="574" t="s">
        <v>2234</v>
      </c>
      <c r="R366" s="574" t="s">
        <v>2225</v>
      </c>
      <c r="S366" s="574" t="s">
        <v>2235</v>
      </c>
      <c r="T366" s="574" t="s">
        <v>2236</v>
      </c>
      <c r="U366" s="574" t="s">
        <v>3049</v>
      </c>
      <c r="V366" s="574" t="s">
        <v>2238</v>
      </c>
      <c r="W366" s="574" t="s">
        <v>2239</v>
      </c>
      <c r="X366" s="574" t="s">
        <v>3050</v>
      </c>
      <c r="Y366" s="575" t="s">
        <v>2471</v>
      </c>
      <c r="Z366" s="575" t="s">
        <v>2471</v>
      </c>
      <c r="AA366" s="574" t="s">
        <v>1693</v>
      </c>
      <c r="AB366" s="574" t="s">
        <v>2319</v>
      </c>
      <c r="AC366" s="574" t="s">
        <v>2320</v>
      </c>
      <c r="AD366" s="574" t="s">
        <v>2321</v>
      </c>
      <c r="AE366" s="574" t="s">
        <v>1446</v>
      </c>
      <c r="AF366" s="574" t="s">
        <v>2321</v>
      </c>
      <c r="AG366" s="576">
        <v>221250</v>
      </c>
    </row>
    <row r="367" spans="1:33" hidden="1" x14ac:dyDescent="0.25">
      <c r="A367" s="574" t="s">
        <v>2219</v>
      </c>
      <c r="B367" s="574" t="s">
        <v>2220</v>
      </c>
      <c r="C367" s="574" t="s">
        <v>2221</v>
      </c>
      <c r="D367" s="574" t="s">
        <v>2220</v>
      </c>
      <c r="E367" s="574" t="s">
        <v>2222</v>
      </c>
      <c r="F367" s="574" t="s">
        <v>2223</v>
      </c>
      <c r="G367" s="574" t="s">
        <v>2224</v>
      </c>
      <c r="H367" s="574" t="s">
        <v>2225</v>
      </c>
      <c r="I367" s="574" t="s">
        <v>2226</v>
      </c>
      <c r="J367" s="574" t="s">
        <v>2227</v>
      </c>
      <c r="K367" s="574" t="s">
        <v>2228</v>
      </c>
      <c r="L367" s="574" t="s">
        <v>2229</v>
      </c>
      <c r="M367" s="574" t="s">
        <v>2230</v>
      </c>
      <c r="N367" s="574" t="s">
        <v>2231</v>
      </c>
      <c r="O367" s="574" t="s">
        <v>2759</v>
      </c>
      <c r="P367" s="574" t="s">
        <v>2932</v>
      </c>
      <c r="Q367" s="574" t="s">
        <v>2234</v>
      </c>
      <c r="R367" s="574" t="s">
        <v>2225</v>
      </c>
      <c r="S367" s="574" t="s">
        <v>2235</v>
      </c>
      <c r="T367" s="574" t="s">
        <v>2236</v>
      </c>
      <c r="U367" s="574" t="s">
        <v>3055</v>
      </c>
      <c r="V367" s="574" t="s">
        <v>2238</v>
      </c>
      <c r="W367" s="574" t="s">
        <v>2239</v>
      </c>
      <c r="X367" s="574" t="s">
        <v>3056</v>
      </c>
      <c r="Y367" s="575" t="s">
        <v>2474</v>
      </c>
      <c r="Z367" s="575" t="s">
        <v>2474</v>
      </c>
      <c r="AA367" s="574" t="s">
        <v>1693</v>
      </c>
      <c r="AB367" s="574" t="s">
        <v>2319</v>
      </c>
      <c r="AC367" s="574" t="s">
        <v>2320</v>
      </c>
      <c r="AD367" s="574" t="s">
        <v>2321</v>
      </c>
      <c r="AE367" s="574" t="s">
        <v>1446</v>
      </c>
      <c r="AF367" s="574" t="s">
        <v>2321</v>
      </c>
      <c r="AG367" s="576">
        <v>222500</v>
      </c>
    </row>
    <row r="368" spans="1:33" hidden="1" x14ac:dyDescent="0.25">
      <c r="A368" s="574" t="s">
        <v>2219</v>
      </c>
      <c r="B368" s="574" t="s">
        <v>2220</v>
      </c>
      <c r="C368" s="574" t="s">
        <v>2221</v>
      </c>
      <c r="D368" s="574" t="s">
        <v>2220</v>
      </c>
      <c r="E368" s="574" t="s">
        <v>2222</v>
      </c>
      <c r="F368" s="574" t="s">
        <v>2223</v>
      </c>
      <c r="G368" s="574" t="s">
        <v>2224</v>
      </c>
      <c r="H368" s="574" t="s">
        <v>2225</v>
      </c>
      <c r="I368" s="574" t="s">
        <v>2226</v>
      </c>
      <c r="J368" s="574" t="s">
        <v>2227</v>
      </c>
      <c r="K368" s="574" t="s">
        <v>2228</v>
      </c>
      <c r="L368" s="574" t="s">
        <v>2229</v>
      </c>
      <c r="M368" s="574" t="s">
        <v>2230</v>
      </c>
      <c r="N368" s="574" t="s">
        <v>2231</v>
      </c>
      <c r="O368" s="574" t="s">
        <v>2759</v>
      </c>
      <c r="P368" s="574" t="s">
        <v>2932</v>
      </c>
      <c r="Q368" s="574" t="s">
        <v>2234</v>
      </c>
      <c r="R368" s="574" t="s">
        <v>2225</v>
      </c>
      <c r="S368" s="574" t="s">
        <v>2235</v>
      </c>
      <c r="T368" s="574" t="s">
        <v>2236</v>
      </c>
      <c r="U368" s="574" t="s">
        <v>2526</v>
      </c>
      <c r="V368" s="574" t="s">
        <v>2238</v>
      </c>
      <c r="W368" s="574" t="s">
        <v>2239</v>
      </c>
      <c r="X368" s="574" t="s">
        <v>2527</v>
      </c>
      <c r="Y368" s="575" t="s">
        <v>2528</v>
      </c>
      <c r="Z368" s="575" t="s">
        <v>2528</v>
      </c>
      <c r="AA368" s="574" t="s">
        <v>1693</v>
      </c>
      <c r="AB368" s="574" t="s">
        <v>2319</v>
      </c>
      <c r="AC368" s="574" t="s">
        <v>3004</v>
      </c>
      <c r="AD368" s="574" t="s">
        <v>125</v>
      </c>
      <c r="AE368" s="574" t="s">
        <v>1655</v>
      </c>
      <c r="AF368" s="574" t="s">
        <v>125</v>
      </c>
      <c r="AG368" s="576">
        <v>223746.57</v>
      </c>
    </row>
    <row r="369" spans="1:33" hidden="1" x14ac:dyDescent="0.25">
      <c r="A369" s="574" t="s">
        <v>2219</v>
      </c>
      <c r="B369" s="574" t="s">
        <v>2220</v>
      </c>
      <c r="C369" s="574" t="s">
        <v>2221</v>
      </c>
      <c r="D369" s="574" t="s">
        <v>2220</v>
      </c>
      <c r="E369" s="574" t="s">
        <v>2222</v>
      </c>
      <c r="F369" s="574" t="s">
        <v>2223</v>
      </c>
      <c r="G369" s="574" t="s">
        <v>2224</v>
      </c>
      <c r="H369" s="574" t="s">
        <v>2225</v>
      </c>
      <c r="I369" s="574" t="s">
        <v>2226</v>
      </c>
      <c r="J369" s="574" t="s">
        <v>2227</v>
      </c>
      <c r="K369" s="574" t="s">
        <v>2228</v>
      </c>
      <c r="L369" s="574" t="s">
        <v>2229</v>
      </c>
      <c r="M369" s="574" t="s">
        <v>2230</v>
      </c>
      <c r="N369" s="574" t="s">
        <v>2231</v>
      </c>
      <c r="O369" s="574" t="s">
        <v>2759</v>
      </c>
      <c r="P369" s="574" t="s">
        <v>2932</v>
      </c>
      <c r="Q369" s="574" t="s">
        <v>2234</v>
      </c>
      <c r="R369" s="574" t="s">
        <v>2225</v>
      </c>
      <c r="S369" s="574" t="s">
        <v>2235</v>
      </c>
      <c r="T369" s="574" t="s">
        <v>2236</v>
      </c>
      <c r="U369" s="574" t="s">
        <v>3041</v>
      </c>
      <c r="V369" s="574" t="s">
        <v>2238</v>
      </c>
      <c r="W369" s="574" t="s">
        <v>2239</v>
      </c>
      <c r="X369" s="574" t="s">
        <v>3042</v>
      </c>
      <c r="Y369" s="575" t="s">
        <v>2464</v>
      </c>
      <c r="Z369" s="575" t="s">
        <v>2464</v>
      </c>
      <c r="AA369" s="574" t="s">
        <v>1693</v>
      </c>
      <c r="AB369" s="574" t="s">
        <v>2319</v>
      </c>
      <c r="AC369" s="574" t="s">
        <v>2320</v>
      </c>
      <c r="AD369" s="574" t="s">
        <v>2321</v>
      </c>
      <c r="AE369" s="574" t="s">
        <v>1446</v>
      </c>
      <c r="AF369" s="574" t="s">
        <v>2321</v>
      </c>
      <c r="AG369" s="576">
        <v>224200</v>
      </c>
    </row>
    <row r="370" spans="1:33" hidden="1" x14ac:dyDescent="0.25">
      <c r="A370" s="574" t="s">
        <v>2219</v>
      </c>
      <c r="B370" s="574" t="s">
        <v>2220</v>
      </c>
      <c r="C370" s="574" t="s">
        <v>2221</v>
      </c>
      <c r="D370" s="574" t="s">
        <v>2220</v>
      </c>
      <c r="E370" s="574" t="s">
        <v>2222</v>
      </c>
      <c r="F370" s="574" t="s">
        <v>2223</v>
      </c>
      <c r="G370" s="574" t="s">
        <v>2224</v>
      </c>
      <c r="H370" s="574" t="s">
        <v>2225</v>
      </c>
      <c r="I370" s="574" t="s">
        <v>2226</v>
      </c>
      <c r="J370" s="574" t="s">
        <v>2227</v>
      </c>
      <c r="K370" s="574" t="s">
        <v>2228</v>
      </c>
      <c r="L370" s="574" t="s">
        <v>2229</v>
      </c>
      <c r="M370" s="574" t="s">
        <v>2230</v>
      </c>
      <c r="N370" s="574" t="s">
        <v>2231</v>
      </c>
      <c r="O370" s="574" t="s">
        <v>2759</v>
      </c>
      <c r="P370" s="574" t="s">
        <v>2932</v>
      </c>
      <c r="Q370" s="574" t="s">
        <v>2234</v>
      </c>
      <c r="R370" s="574" t="s">
        <v>2225</v>
      </c>
      <c r="S370" s="574" t="s">
        <v>2235</v>
      </c>
      <c r="T370" s="574" t="s">
        <v>2236</v>
      </c>
      <c r="U370" s="574" t="s">
        <v>3039</v>
      </c>
      <c r="V370" s="574" t="s">
        <v>2238</v>
      </c>
      <c r="W370" s="574" t="s">
        <v>2239</v>
      </c>
      <c r="X370" s="574" t="s">
        <v>3040</v>
      </c>
      <c r="Y370" s="575" t="s">
        <v>2464</v>
      </c>
      <c r="Z370" s="575" t="s">
        <v>2464</v>
      </c>
      <c r="AA370" s="574" t="s">
        <v>1693</v>
      </c>
      <c r="AB370" s="574" t="s">
        <v>2319</v>
      </c>
      <c r="AC370" s="574" t="s">
        <v>2320</v>
      </c>
      <c r="AD370" s="574" t="s">
        <v>2321</v>
      </c>
      <c r="AE370" s="574" t="s">
        <v>1446</v>
      </c>
      <c r="AF370" s="574" t="s">
        <v>2321</v>
      </c>
      <c r="AG370" s="576">
        <v>225852</v>
      </c>
    </row>
    <row r="371" spans="1:33" hidden="1" x14ac:dyDescent="0.25">
      <c r="A371" s="574" t="s">
        <v>2219</v>
      </c>
      <c r="B371" s="574" t="s">
        <v>2220</v>
      </c>
      <c r="C371" s="574" t="s">
        <v>2221</v>
      </c>
      <c r="D371" s="574" t="s">
        <v>2220</v>
      </c>
      <c r="E371" s="574" t="s">
        <v>2222</v>
      </c>
      <c r="F371" s="574" t="s">
        <v>2223</v>
      </c>
      <c r="G371" s="574" t="s">
        <v>2224</v>
      </c>
      <c r="H371" s="574" t="s">
        <v>2225</v>
      </c>
      <c r="I371" s="574" t="s">
        <v>2226</v>
      </c>
      <c r="J371" s="574" t="s">
        <v>2227</v>
      </c>
      <c r="K371" s="574" t="s">
        <v>2228</v>
      </c>
      <c r="L371" s="574" t="s">
        <v>2229</v>
      </c>
      <c r="M371" s="574" t="s">
        <v>2230</v>
      </c>
      <c r="N371" s="574" t="s">
        <v>2231</v>
      </c>
      <c r="O371" s="574" t="s">
        <v>2232</v>
      </c>
      <c r="P371" s="574" t="s">
        <v>2233</v>
      </c>
      <c r="Q371" s="574" t="s">
        <v>2234</v>
      </c>
      <c r="R371" s="574" t="s">
        <v>2225</v>
      </c>
      <c r="S371" s="574" t="s">
        <v>2235</v>
      </c>
      <c r="T371" s="574" t="s">
        <v>2236</v>
      </c>
      <c r="U371" s="574" t="s">
        <v>2373</v>
      </c>
      <c r="V371" s="574" t="s">
        <v>2238</v>
      </c>
      <c r="W371" s="574" t="s">
        <v>2239</v>
      </c>
      <c r="X371" s="574" t="s">
        <v>2374</v>
      </c>
      <c r="Y371" s="575" t="s">
        <v>2372</v>
      </c>
      <c r="Z371" s="575" t="s">
        <v>2372</v>
      </c>
      <c r="AA371" s="574" t="s">
        <v>1693</v>
      </c>
      <c r="AB371" s="574" t="s">
        <v>2319</v>
      </c>
      <c r="AC371" s="574" t="s">
        <v>2320</v>
      </c>
      <c r="AD371" s="574" t="s">
        <v>2321</v>
      </c>
      <c r="AE371" s="574" t="s">
        <v>1446</v>
      </c>
      <c r="AF371" s="574" t="s">
        <v>2321</v>
      </c>
      <c r="AG371" s="576">
        <v>227150</v>
      </c>
    </row>
    <row r="372" spans="1:33" hidden="1" x14ac:dyDescent="0.25">
      <c r="A372" s="574" t="s">
        <v>2219</v>
      </c>
      <c r="B372" s="574" t="s">
        <v>2220</v>
      </c>
      <c r="C372" s="574" t="s">
        <v>2221</v>
      </c>
      <c r="D372" s="574" t="s">
        <v>2220</v>
      </c>
      <c r="E372" s="574" t="s">
        <v>2222</v>
      </c>
      <c r="F372" s="574" t="s">
        <v>2223</v>
      </c>
      <c r="G372" s="574" t="s">
        <v>2224</v>
      </c>
      <c r="H372" s="574" t="s">
        <v>2225</v>
      </c>
      <c r="I372" s="574" t="s">
        <v>2226</v>
      </c>
      <c r="J372" s="574" t="s">
        <v>2227</v>
      </c>
      <c r="K372" s="574" t="s">
        <v>2228</v>
      </c>
      <c r="L372" s="574" t="s">
        <v>2229</v>
      </c>
      <c r="M372" s="574" t="s">
        <v>2230</v>
      </c>
      <c r="N372" s="574" t="s">
        <v>2231</v>
      </c>
      <c r="O372" s="574" t="s">
        <v>2759</v>
      </c>
      <c r="P372" s="574" t="s">
        <v>2932</v>
      </c>
      <c r="Q372" s="574" t="s">
        <v>2234</v>
      </c>
      <c r="R372" s="574" t="s">
        <v>2225</v>
      </c>
      <c r="S372" s="574" t="s">
        <v>2235</v>
      </c>
      <c r="T372" s="574" t="s">
        <v>2236</v>
      </c>
      <c r="U372" s="574" t="s">
        <v>3186</v>
      </c>
      <c r="V372" s="574" t="s">
        <v>2238</v>
      </c>
      <c r="W372" s="574" t="s">
        <v>2239</v>
      </c>
      <c r="X372" s="574" t="s">
        <v>3187</v>
      </c>
      <c r="Y372" s="575" t="s">
        <v>2553</v>
      </c>
      <c r="Z372" s="575" t="s">
        <v>2553</v>
      </c>
      <c r="AA372" s="574" t="s">
        <v>1693</v>
      </c>
      <c r="AB372" s="574" t="s">
        <v>2319</v>
      </c>
      <c r="AC372" s="574" t="s">
        <v>2320</v>
      </c>
      <c r="AD372" s="574" t="s">
        <v>2321</v>
      </c>
      <c r="AE372" s="574" t="s">
        <v>1446</v>
      </c>
      <c r="AF372" s="574" t="s">
        <v>2321</v>
      </c>
      <c r="AG372" s="576">
        <v>229462.8</v>
      </c>
    </row>
    <row r="373" spans="1:33" hidden="1" x14ac:dyDescent="0.25">
      <c r="A373" s="574" t="s">
        <v>2219</v>
      </c>
      <c r="B373" s="574" t="s">
        <v>2220</v>
      </c>
      <c r="C373" s="574" t="s">
        <v>2221</v>
      </c>
      <c r="D373" s="574" t="s">
        <v>2220</v>
      </c>
      <c r="E373" s="574" t="s">
        <v>2222</v>
      </c>
      <c r="F373" s="574" t="s">
        <v>2223</v>
      </c>
      <c r="G373" s="574" t="s">
        <v>2224</v>
      </c>
      <c r="H373" s="574" t="s">
        <v>2225</v>
      </c>
      <c r="I373" s="574" t="s">
        <v>2226</v>
      </c>
      <c r="J373" s="574" t="s">
        <v>2227</v>
      </c>
      <c r="K373" s="574" t="s">
        <v>2228</v>
      </c>
      <c r="L373" s="574" t="s">
        <v>2229</v>
      </c>
      <c r="M373" s="574" t="s">
        <v>2230</v>
      </c>
      <c r="N373" s="574" t="s">
        <v>2231</v>
      </c>
      <c r="O373" s="574" t="s">
        <v>2232</v>
      </c>
      <c r="P373" s="574" t="s">
        <v>2233</v>
      </c>
      <c r="Q373" s="574" t="s">
        <v>2234</v>
      </c>
      <c r="R373" s="574" t="s">
        <v>2225</v>
      </c>
      <c r="S373" s="574" t="s">
        <v>2235</v>
      </c>
      <c r="T373" s="574" t="s">
        <v>2236</v>
      </c>
      <c r="U373" s="574" t="s">
        <v>2394</v>
      </c>
      <c r="V373" s="574" t="s">
        <v>2238</v>
      </c>
      <c r="W373" s="574" t="s">
        <v>2239</v>
      </c>
      <c r="X373" s="574" t="s">
        <v>2395</v>
      </c>
      <c r="Y373" s="575" t="s">
        <v>2372</v>
      </c>
      <c r="Z373" s="575" t="s">
        <v>2372</v>
      </c>
      <c r="AA373" s="574" t="s">
        <v>1693</v>
      </c>
      <c r="AB373" s="574" t="s">
        <v>2319</v>
      </c>
      <c r="AC373" s="574" t="s">
        <v>2320</v>
      </c>
      <c r="AD373" s="574" t="s">
        <v>2321</v>
      </c>
      <c r="AE373" s="574" t="s">
        <v>1446</v>
      </c>
      <c r="AF373" s="574" t="s">
        <v>2321</v>
      </c>
      <c r="AG373" s="576">
        <v>234230</v>
      </c>
    </row>
    <row r="374" spans="1:33" hidden="1" x14ac:dyDescent="0.25">
      <c r="A374" s="574" t="s">
        <v>2219</v>
      </c>
      <c r="B374" s="574" t="s">
        <v>2220</v>
      </c>
      <c r="C374" s="574" t="s">
        <v>2221</v>
      </c>
      <c r="D374" s="574" t="s">
        <v>2220</v>
      </c>
      <c r="E374" s="574" t="s">
        <v>2222</v>
      </c>
      <c r="F374" s="574" t="s">
        <v>2223</v>
      </c>
      <c r="G374" s="574" t="s">
        <v>2224</v>
      </c>
      <c r="H374" s="574" t="s">
        <v>2225</v>
      </c>
      <c r="I374" s="574" t="s">
        <v>2226</v>
      </c>
      <c r="J374" s="574" t="s">
        <v>2227</v>
      </c>
      <c r="K374" s="574" t="s">
        <v>2228</v>
      </c>
      <c r="L374" s="574" t="s">
        <v>2229</v>
      </c>
      <c r="M374" s="574" t="s">
        <v>2230</v>
      </c>
      <c r="N374" s="574" t="s">
        <v>2231</v>
      </c>
      <c r="O374" s="574" t="s">
        <v>2759</v>
      </c>
      <c r="P374" s="574" t="s">
        <v>2932</v>
      </c>
      <c r="Q374" s="574" t="s">
        <v>2234</v>
      </c>
      <c r="R374" s="574" t="s">
        <v>2225</v>
      </c>
      <c r="S374" s="574" t="s">
        <v>2235</v>
      </c>
      <c r="T374" s="574" t="s">
        <v>2236</v>
      </c>
      <c r="U374" s="574" t="s">
        <v>3045</v>
      </c>
      <c r="V374" s="574" t="s">
        <v>2238</v>
      </c>
      <c r="W374" s="574" t="s">
        <v>2239</v>
      </c>
      <c r="X374" s="574" t="s">
        <v>3046</v>
      </c>
      <c r="Y374" s="575" t="s">
        <v>2464</v>
      </c>
      <c r="Z374" s="575" t="s">
        <v>2464</v>
      </c>
      <c r="AA374" s="574" t="s">
        <v>1693</v>
      </c>
      <c r="AB374" s="574" t="s">
        <v>2319</v>
      </c>
      <c r="AC374" s="574" t="s">
        <v>2320</v>
      </c>
      <c r="AD374" s="574" t="s">
        <v>2321</v>
      </c>
      <c r="AE374" s="574" t="s">
        <v>1446</v>
      </c>
      <c r="AF374" s="574" t="s">
        <v>2321</v>
      </c>
      <c r="AG374" s="576">
        <v>236964</v>
      </c>
    </row>
    <row r="375" spans="1:33" hidden="1" x14ac:dyDescent="0.25">
      <c r="A375" s="574" t="s">
        <v>2219</v>
      </c>
      <c r="B375" s="574" t="s">
        <v>2220</v>
      </c>
      <c r="C375" s="574" t="s">
        <v>2221</v>
      </c>
      <c r="D375" s="574" t="s">
        <v>2220</v>
      </c>
      <c r="E375" s="574" t="s">
        <v>2222</v>
      </c>
      <c r="F375" s="574" t="s">
        <v>2223</v>
      </c>
      <c r="G375" s="574" t="s">
        <v>2224</v>
      </c>
      <c r="H375" s="574" t="s">
        <v>2225</v>
      </c>
      <c r="I375" s="574" t="s">
        <v>2226</v>
      </c>
      <c r="J375" s="574" t="s">
        <v>2227</v>
      </c>
      <c r="K375" s="574" t="s">
        <v>2228</v>
      </c>
      <c r="L375" s="574" t="s">
        <v>2229</v>
      </c>
      <c r="M375" s="574" t="s">
        <v>2230</v>
      </c>
      <c r="N375" s="574" t="s">
        <v>2231</v>
      </c>
      <c r="O375" s="574" t="s">
        <v>2759</v>
      </c>
      <c r="P375" s="574" t="s">
        <v>2932</v>
      </c>
      <c r="Q375" s="574" t="s">
        <v>2234</v>
      </c>
      <c r="R375" s="574" t="s">
        <v>2225</v>
      </c>
      <c r="S375" s="574" t="s">
        <v>2235</v>
      </c>
      <c r="T375" s="574" t="s">
        <v>2236</v>
      </c>
      <c r="U375" s="574" t="s">
        <v>3160</v>
      </c>
      <c r="V375" s="574" t="s">
        <v>2238</v>
      </c>
      <c r="W375" s="574" t="s">
        <v>2239</v>
      </c>
      <c r="X375" s="574" t="s">
        <v>3161</v>
      </c>
      <c r="Y375" s="575" t="s">
        <v>2528</v>
      </c>
      <c r="Z375" s="575" t="s">
        <v>2528</v>
      </c>
      <c r="AA375" s="574" t="s">
        <v>1693</v>
      </c>
      <c r="AB375" s="574" t="s">
        <v>2319</v>
      </c>
      <c r="AC375" s="574" t="s">
        <v>2320</v>
      </c>
      <c r="AD375" s="574" t="s">
        <v>2321</v>
      </c>
      <c r="AE375" s="574" t="s">
        <v>1446</v>
      </c>
      <c r="AF375" s="574" t="s">
        <v>2321</v>
      </c>
      <c r="AG375" s="576">
        <v>240000</v>
      </c>
    </row>
    <row r="376" spans="1:33" hidden="1" x14ac:dyDescent="0.25">
      <c r="A376" s="574" t="s">
        <v>2219</v>
      </c>
      <c r="B376" s="574" t="s">
        <v>2220</v>
      </c>
      <c r="C376" s="574" t="s">
        <v>2221</v>
      </c>
      <c r="D376" s="574" t="s">
        <v>2220</v>
      </c>
      <c r="E376" s="574" t="s">
        <v>2222</v>
      </c>
      <c r="F376" s="574" t="s">
        <v>2223</v>
      </c>
      <c r="G376" s="574" t="s">
        <v>2224</v>
      </c>
      <c r="H376" s="574" t="s">
        <v>2225</v>
      </c>
      <c r="I376" s="574" t="s">
        <v>2226</v>
      </c>
      <c r="J376" s="574" t="s">
        <v>2227</v>
      </c>
      <c r="K376" s="574" t="s">
        <v>2228</v>
      </c>
      <c r="L376" s="574" t="s">
        <v>2229</v>
      </c>
      <c r="M376" s="574" t="s">
        <v>2230</v>
      </c>
      <c r="N376" s="574" t="s">
        <v>2231</v>
      </c>
      <c r="O376" s="574" t="s">
        <v>2759</v>
      </c>
      <c r="P376" s="574" t="s">
        <v>2932</v>
      </c>
      <c r="Q376" s="574" t="s">
        <v>2234</v>
      </c>
      <c r="R376" s="574" t="s">
        <v>2225</v>
      </c>
      <c r="S376" s="574" t="s">
        <v>2235</v>
      </c>
      <c r="T376" s="574" t="s">
        <v>2236</v>
      </c>
      <c r="U376" s="574" t="s">
        <v>3156</v>
      </c>
      <c r="V376" s="574" t="s">
        <v>2238</v>
      </c>
      <c r="W376" s="574" t="s">
        <v>2239</v>
      </c>
      <c r="X376" s="574" t="s">
        <v>3157</v>
      </c>
      <c r="Y376" s="575" t="s">
        <v>2517</v>
      </c>
      <c r="Z376" s="575" t="s">
        <v>2517</v>
      </c>
      <c r="AA376" s="574" t="s">
        <v>1693</v>
      </c>
      <c r="AB376" s="574" t="s">
        <v>2319</v>
      </c>
      <c r="AC376" s="574" t="s">
        <v>2402</v>
      </c>
      <c r="AD376" s="574" t="s">
        <v>2403</v>
      </c>
      <c r="AE376" s="574" t="s">
        <v>1486</v>
      </c>
      <c r="AF376" s="574" t="s">
        <v>2403</v>
      </c>
      <c r="AG376" s="576">
        <v>240012</v>
      </c>
    </row>
    <row r="377" spans="1:33" hidden="1" x14ac:dyDescent="0.25">
      <c r="A377" s="574" t="s">
        <v>2219</v>
      </c>
      <c r="B377" s="574" t="s">
        <v>2220</v>
      </c>
      <c r="C377" s="574" t="s">
        <v>2221</v>
      </c>
      <c r="D377" s="574" t="s">
        <v>2220</v>
      </c>
      <c r="E377" s="574" t="s">
        <v>2222</v>
      </c>
      <c r="F377" s="574" t="s">
        <v>2223</v>
      </c>
      <c r="G377" s="574" t="s">
        <v>2224</v>
      </c>
      <c r="H377" s="574" t="s">
        <v>2225</v>
      </c>
      <c r="I377" s="574" t="s">
        <v>2226</v>
      </c>
      <c r="J377" s="574" t="s">
        <v>2227</v>
      </c>
      <c r="K377" s="574" t="s">
        <v>2228</v>
      </c>
      <c r="L377" s="574" t="s">
        <v>2229</v>
      </c>
      <c r="M377" s="574" t="s">
        <v>2230</v>
      </c>
      <c r="N377" s="574" t="s">
        <v>2231</v>
      </c>
      <c r="O377" s="574" t="s">
        <v>2759</v>
      </c>
      <c r="P377" s="574" t="s">
        <v>2932</v>
      </c>
      <c r="Q377" s="574" t="s">
        <v>2234</v>
      </c>
      <c r="R377" s="574" t="s">
        <v>2225</v>
      </c>
      <c r="S377" s="574" t="s">
        <v>2235</v>
      </c>
      <c r="T377" s="574" t="s">
        <v>2236</v>
      </c>
      <c r="U377" s="574" t="s">
        <v>3304</v>
      </c>
      <c r="V377" s="574" t="s">
        <v>2238</v>
      </c>
      <c r="W377" s="574" t="s">
        <v>2239</v>
      </c>
      <c r="X377" s="574" t="s">
        <v>3305</v>
      </c>
      <c r="Y377" s="575" t="s">
        <v>2641</v>
      </c>
      <c r="Z377" s="575" t="s">
        <v>2641</v>
      </c>
      <c r="AA377" s="574" t="s">
        <v>1693</v>
      </c>
      <c r="AB377" s="574" t="s">
        <v>2319</v>
      </c>
      <c r="AC377" s="574" t="s">
        <v>3306</v>
      </c>
      <c r="AD377" s="574" t="s">
        <v>3307</v>
      </c>
      <c r="AE377" s="574" t="s">
        <v>3308</v>
      </c>
      <c r="AF377" s="574" t="s">
        <v>3309</v>
      </c>
      <c r="AG377" s="576">
        <v>241835.1</v>
      </c>
    </row>
    <row r="378" spans="1:33" hidden="1" x14ac:dyDescent="0.25">
      <c r="A378" s="574" t="s">
        <v>2219</v>
      </c>
      <c r="B378" s="574" t="s">
        <v>2220</v>
      </c>
      <c r="C378" s="574" t="s">
        <v>2221</v>
      </c>
      <c r="D378" s="574" t="s">
        <v>2220</v>
      </c>
      <c r="E378" s="574" t="s">
        <v>2222</v>
      </c>
      <c r="F378" s="574" t="s">
        <v>2223</v>
      </c>
      <c r="G378" s="574" t="s">
        <v>2224</v>
      </c>
      <c r="H378" s="574" t="s">
        <v>2225</v>
      </c>
      <c r="I378" s="574" t="s">
        <v>2226</v>
      </c>
      <c r="J378" s="574" t="s">
        <v>2227</v>
      </c>
      <c r="K378" s="574" t="s">
        <v>2228</v>
      </c>
      <c r="L378" s="574" t="s">
        <v>2229</v>
      </c>
      <c r="M378" s="574" t="s">
        <v>2230</v>
      </c>
      <c r="N378" s="574" t="s">
        <v>2231</v>
      </c>
      <c r="O378" s="574" t="s">
        <v>2759</v>
      </c>
      <c r="P378" s="574" t="s">
        <v>2932</v>
      </c>
      <c r="Q378" s="574" t="s">
        <v>2234</v>
      </c>
      <c r="R378" s="574" t="s">
        <v>2225</v>
      </c>
      <c r="S378" s="574" t="s">
        <v>2235</v>
      </c>
      <c r="T378" s="574" t="s">
        <v>2236</v>
      </c>
      <c r="U378" s="574" t="s">
        <v>3142</v>
      </c>
      <c r="V378" s="574" t="s">
        <v>2238</v>
      </c>
      <c r="W378" s="574" t="s">
        <v>2239</v>
      </c>
      <c r="X378" s="574" t="s">
        <v>3143</v>
      </c>
      <c r="Y378" s="575" t="s">
        <v>2507</v>
      </c>
      <c r="Z378" s="575" t="s">
        <v>2507</v>
      </c>
      <c r="AA378" s="574" t="s">
        <v>1693</v>
      </c>
      <c r="AB378" s="574" t="s">
        <v>2319</v>
      </c>
      <c r="AC378" s="574" t="s">
        <v>2320</v>
      </c>
      <c r="AD378" s="574" t="s">
        <v>2321</v>
      </c>
      <c r="AE378" s="574" t="s">
        <v>1446</v>
      </c>
      <c r="AF378" s="574" t="s">
        <v>2321</v>
      </c>
      <c r="AG378" s="576">
        <v>241900</v>
      </c>
    </row>
    <row r="379" spans="1:33" hidden="1" x14ac:dyDescent="0.25">
      <c r="A379" s="574" t="s">
        <v>2219</v>
      </c>
      <c r="B379" s="574" t="s">
        <v>2220</v>
      </c>
      <c r="C379" s="574" t="s">
        <v>2221</v>
      </c>
      <c r="D379" s="574" t="s">
        <v>2220</v>
      </c>
      <c r="E379" s="574" t="s">
        <v>2222</v>
      </c>
      <c r="F379" s="574" t="s">
        <v>2223</v>
      </c>
      <c r="G379" s="574" t="s">
        <v>2224</v>
      </c>
      <c r="H379" s="574" t="s">
        <v>2225</v>
      </c>
      <c r="I379" s="574" t="s">
        <v>2226</v>
      </c>
      <c r="J379" s="574" t="s">
        <v>2227</v>
      </c>
      <c r="K379" s="574" t="s">
        <v>2228</v>
      </c>
      <c r="L379" s="574" t="s">
        <v>2229</v>
      </c>
      <c r="M379" s="574" t="s">
        <v>2230</v>
      </c>
      <c r="N379" s="574" t="s">
        <v>2231</v>
      </c>
      <c r="O379" s="574" t="s">
        <v>2232</v>
      </c>
      <c r="P379" s="574" t="s">
        <v>2233</v>
      </c>
      <c r="Q379" s="574" t="s">
        <v>2234</v>
      </c>
      <c r="R379" s="574" t="s">
        <v>2225</v>
      </c>
      <c r="S379" s="574" t="s">
        <v>2235</v>
      </c>
      <c r="T379" s="574" t="s">
        <v>2236</v>
      </c>
      <c r="U379" s="574" t="s">
        <v>2413</v>
      </c>
      <c r="V379" s="574" t="s">
        <v>2238</v>
      </c>
      <c r="W379" s="574" t="s">
        <v>2239</v>
      </c>
      <c r="X379" s="574" t="s">
        <v>2414</v>
      </c>
      <c r="Y379" s="575" t="s">
        <v>2415</v>
      </c>
      <c r="Z379" s="575" t="s">
        <v>2415</v>
      </c>
      <c r="AA379" s="574" t="s">
        <v>1693</v>
      </c>
      <c r="AB379" s="574" t="s">
        <v>2319</v>
      </c>
      <c r="AC379" s="574" t="s">
        <v>2320</v>
      </c>
      <c r="AD379" s="574" t="s">
        <v>2321</v>
      </c>
      <c r="AE379" s="574" t="s">
        <v>1446</v>
      </c>
      <c r="AF379" s="574" t="s">
        <v>2321</v>
      </c>
      <c r="AG379" s="576">
        <v>247092</v>
      </c>
    </row>
    <row r="380" spans="1:33" hidden="1" x14ac:dyDescent="0.25">
      <c r="A380" s="574" t="s">
        <v>2219</v>
      </c>
      <c r="B380" s="574" t="s">
        <v>2220</v>
      </c>
      <c r="C380" s="574" t="s">
        <v>2221</v>
      </c>
      <c r="D380" s="574" t="s">
        <v>2220</v>
      </c>
      <c r="E380" s="574" t="s">
        <v>2222</v>
      </c>
      <c r="F380" s="574" t="s">
        <v>2223</v>
      </c>
      <c r="G380" s="574" t="s">
        <v>2224</v>
      </c>
      <c r="H380" s="574" t="s">
        <v>2225</v>
      </c>
      <c r="I380" s="574" t="s">
        <v>2226</v>
      </c>
      <c r="J380" s="574" t="s">
        <v>2227</v>
      </c>
      <c r="K380" s="574" t="s">
        <v>2228</v>
      </c>
      <c r="L380" s="574" t="s">
        <v>2229</v>
      </c>
      <c r="M380" s="574" t="s">
        <v>2230</v>
      </c>
      <c r="N380" s="574" t="s">
        <v>2231</v>
      </c>
      <c r="O380" s="574" t="s">
        <v>2759</v>
      </c>
      <c r="P380" s="574" t="s">
        <v>2932</v>
      </c>
      <c r="Q380" s="574" t="s">
        <v>2234</v>
      </c>
      <c r="R380" s="574" t="s">
        <v>2225</v>
      </c>
      <c r="S380" s="574" t="s">
        <v>2235</v>
      </c>
      <c r="T380" s="574" t="s">
        <v>2236</v>
      </c>
      <c r="U380" s="574" t="s">
        <v>3275</v>
      </c>
      <c r="V380" s="574" t="s">
        <v>2238</v>
      </c>
      <c r="W380" s="574" t="s">
        <v>2239</v>
      </c>
      <c r="X380" s="574" t="s">
        <v>3276</v>
      </c>
      <c r="Y380" s="575" t="s">
        <v>2586</v>
      </c>
      <c r="Z380" s="575" t="s">
        <v>2586</v>
      </c>
      <c r="AA380" s="574" t="s">
        <v>1693</v>
      </c>
      <c r="AB380" s="574" t="s">
        <v>2319</v>
      </c>
      <c r="AC380" s="574" t="s">
        <v>2320</v>
      </c>
      <c r="AD380" s="574" t="s">
        <v>2321</v>
      </c>
      <c r="AE380" s="574" t="s">
        <v>1446</v>
      </c>
      <c r="AF380" s="574" t="s">
        <v>2321</v>
      </c>
      <c r="AG380" s="576">
        <v>249275</v>
      </c>
    </row>
    <row r="381" spans="1:33" hidden="1" x14ac:dyDescent="0.25">
      <c r="A381" s="574" t="s">
        <v>2219</v>
      </c>
      <c r="B381" s="574" t="s">
        <v>2220</v>
      </c>
      <c r="C381" s="574" t="s">
        <v>2221</v>
      </c>
      <c r="D381" s="574" t="s">
        <v>2220</v>
      </c>
      <c r="E381" s="574" t="s">
        <v>2222</v>
      </c>
      <c r="F381" s="574" t="s">
        <v>2223</v>
      </c>
      <c r="G381" s="574" t="s">
        <v>2224</v>
      </c>
      <c r="H381" s="574" t="s">
        <v>2225</v>
      </c>
      <c r="I381" s="574" t="s">
        <v>2226</v>
      </c>
      <c r="J381" s="574" t="s">
        <v>2227</v>
      </c>
      <c r="K381" s="574" t="s">
        <v>2228</v>
      </c>
      <c r="L381" s="574" t="s">
        <v>2229</v>
      </c>
      <c r="M381" s="574" t="s">
        <v>2230</v>
      </c>
      <c r="N381" s="574" t="s">
        <v>2231</v>
      </c>
      <c r="O381" s="574" t="s">
        <v>2759</v>
      </c>
      <c r="P381" s="574" t="s">
        <v>2932</v>
      </c>
      <c r="Q381" s="574" t="s">
        <v>2234</v>
      </c>
      <c r="R381" s="574" t="s">
        <v>2225</v>
      </c>
      <c r="S381" s="574" t="s">
        <v>2235</v>
      </c>
      <c r="T381" s="574" t="s">
        <v>2236</v>
      </c>
      <c r="U381" s="574" t="s">
        <v>3057</v>
      </c>
      <c r="V381" s="574" t="s">
        <v>2238</v>
      </c>
      <c r="W381" s="574" t="s">
        <v>2239</v>
      </c>
      <c r="X381" s="574" t="s">
        <v>3058</v>
      </c>
      <c r="Y381" s="575" t="s">
        <v>2474</v>
      </c>
      <c r="Z381" s="575" t="s">
        <v>2474</v>
      </c>
      <c r="AA381" s="574" t="s">
        <v>1693</v>
      </c>
      <c r="AB381" s="574" t="s">
        <v>2319</v>
      </c>
      <c r="AC381" s="574" t="s">
        <v>2320</v>
      </c>
      <c r="AD381" s="574" t="s">
        <v>2321</v>
      </c>
      <c r="AE381" s="574" t="s">
        <v>1446</v>
      </c>
      <c r="AF381" s="574" t="s">
        <v>2321</v>
      </c>
      <c r="AG381" s="576">
        <v>249900</v>
      </c>
    </row>
    <row r="382" spans="1:33" hidden="1" x14ac:dyDescent="0.25">
      <c r="A382" s="574" t="s">
        <v>2219</v>
      </c>
      <c r="B382" s="574" t="s">
        <v>2220</v>
      </c>
      <c r="C382" s="574" t="s">
        <v>2221</v>
      </c>
      <c r="D382" s="574" t="s">
        <v>2220</v>
      </c>
      <c r="E382" s="574" t="s">
        <v>2222</v>
      </c>
      <c r="F382" s="574" t="s">
        <v>2223</v>
      </c>
      <c r="G382" s="574" t="s">
        <v>2224</v>
      </c>
      <c r="H382" s="574" t="s">
        <v>2225</v>
      </c>
      <c r="I382" s="574" t="s">
        <v>2226</v>
      </c>
      <c r="J382" s="574" t="s">
        <v>2227</v>
      </c>
      <c r="K382" s="574" t="s">
        <v>2228</v>
      </c>
      <c r="L382" s="574" t="s">
        <v>2229</v>
      </c>
      <c r="M382" s="574" t="s">
        <v>2230</v>
      </c>
      <c r="N382" s="574" t="s">
        <v>2231</v>
      </c>
      <c r="O382" s="574" t="s">
        <v>2759</v>
      </c>
      <c r="P382" s="574" t="s">
        <v>2932</v>
      </c>
      <c r="Q382" s="574" t="s">
        <v>2234</v>
      </c>
      <c r="R382" s="574" t="s">
        <v>2225</v>
      </c>
      <c r="S382" s="574" t="s">
        <v>2235</v>
      </c>
      <c r="T382" s="574" t="s">
        <v>2236</v>
      </c>
      <c r="U382" s="574" t="s">
        <v>3033</v>
      </c>
      <c r="V382" s="574" t="s">
        <v>2238</v>
      </c>
      <c r="W382" s="574" t="s">
        <v>2239</v>
      </c>
      <c r="X382" s="574" t="s">
        <v>3034</v>
      </c>
      <c r="Y382" s="575" t="s">
        <v>2464</v>
      </c>
      <c r="Z382" s="575" t="s">
        <v>2464</v>
      </c>
      <c r="AA382" s="574" t="s">
        <v>1693</v>
      </c>
      <c r="AB382" s="574" t="s">
        <v>2319</v>
      </c>
      <c r="AC382" s="574" t="s">
        <v>2320</v>
      </c>
      <c r="AD382" s="574" t="s">
        <v>2321</v>
      </c>
      <c r="AE382" s="574" t="s">
        <v>1446</v>
      </c>
      <c r="AF382" s="574" t="s">
        <v>2321</v>
      </c>
      <c r="AG382" s="576">
        <v>250348.79999999999</v>
      </c>
    </row>
    <row r="383" spans="1:33" hidden="1" x14ac:dyDescent="0.25">
      <c r="A383" s="574" t="s">
        <v>2219</v>
      </c>
      <c r="B383" s="574" t="s">
        <v>2220</v>
      </c>
      <c r="C383" s="574" t="s">
        <v>2221</v>
      </c>
      <c r="D383" s="574" t="s">
        <v>2220</v>
      </c>
      <c r="E383" s="574" t="s">
        <v>2222</v>
      </c>
      <c r="F383" s="574" t="s">
        <v>2223</v>
      </c>
      <c r="G383" s="574" t="s">
        <v>2224</v>
      </c>
      <c r="H383" s="574" t="s">
        <v>2225</v>
      </c>
      <c r="I383" s="574" t="s">
        <v>2226</v>
      </c>
      <c r="J383" s="574" t="s">
        <v>2227</v>
      </c>
      <c r="K383" s="574" t="s">
        <v>2228</v>
      </c>
      <c r="L383" s="574" t="s">
        <v>2229</v>
      </c>
      <c r="M383" s="574" t="s">
        <v>2230</v>
      </c>
      <c r="N383" s="574" t="s">
        <v>2231</v>
      </c>
      <c r="O383" s="574" t="s">
        <v>2759</v>
      </c>
      <c r="P383" s="574" t="s">
        <v>2932</v>
      </c>
      <c r="Q383" s="574" t="s">
        <v>2234</v>
      </c>
      <c r="R383" s="574" t="s">
        <v>2225</v>
      </c>
      <c r="S383" s="574" t="s">
        <v>2235</v>
      </c>
      <c r="T383" s="574" t="s">
        <v>2236</v>
      </c>
      <c r="U383" s="574" t="s">
        <v>3037</v>
      </c>
      <c r="V383" s="574" t="s">
        <v>2238</v>
      </c>
      <c r="W383" s="574" t="s">
        <v>2239</v>
      </c>
      <c r="X383" s="574" t="s">
        <v>3038</v>
      </c>
      <c r="Y383" s="575" t="s">
        <v>2464</v>
      </c>
      <c r="Z383" s="575" t="s">
        <v>2464</v>
      </c>
      <c r="AA383" s="574" t="s">
        <v>1693</v>
      </c>
      <c r="AB383" s="574" t="s">
        <v>2319</v>
      </c>
      <c r="AC383" s="574" t="s">
        <v>2320</v>
      </c>
      <c r="AD383" s="574" t="s">
        <v>2321</v>
      </c>
      <c r="AE383" s="574" t="s">
        <v>1446</v>
      </c>
      <c r="AF383" s="574" t="s">
        <v>2321</v>
      </c>
      <c r="AG383" s="576">
        <v>253818</v>
      </c>
    </row>
    <row r="384" spans="1:33" hidden="1" x14ac:dyDescent="0.25">
      <c r="A384" s="574" t="s">
        <v>2219</v>
      </c>
      <c r="B384" s="574" t="s">
        <v>2220</v>
      </c>
      <c r="C384" s="574" t="s">
        <v>2221</v>
      </c>
      <c r="D384" s="574" t="s">
        <v>2220</v>
      </c>
      <c r="E384" s="574" t="s">
        <v>2222</v>
      </c>
      <c r="F384" s="574" t="s">
        <v>2223</v>
      </c>
      <c r="G384" s="574" t="s">
        <v>2224</v>
      </c>
      <c r="H384" s="574" t="s">
        <v>2225</v>
      </c>
      <c r="I384" s="574" t="s">
        <v>2226</v>
      </c>
      <c r="J384" s="574" t="s">
        <v>2227</v>
      </c>
      <c r="K384" s="574" t="s">
        <v>2228</v>
      </c>
      <c r="L384" s="574" t="s">
        <v>2229</v>
      </c>
      <c r="M384" s="574" t="s">
        <v>2230</v>
      </c>
      <c r="N384" s="574" t="s">
        <v>2231</v>
      </c>
      <c r="O384" s="574" t="s">
        <v>2759</v>
      </c>
      <c r="P384" s="574" t="s">
        <v>2932</v>
      </c>
      <c r="Q384" s="574" t="s">
        <v>2234</v>
      </c>
      <c r="R384" s="574" t="s">
        <v>2225</v>
      </c>
      <c r="S384" s="574" t="s">
        <v>2235</v>
      </c>
      <c r="T384" s="574" t="s">
        <v>2236</v>
      </c>
      <c r="U384" s="574" t="s">
        <v>3277</v>
      </c>
      <c r="V384" s="574" t="s">
        <v>2238</v>
      </c>
      <c r="W384" s="574" t="s">
        <v>2239</v>
      </c>
      <c r="X384" s="574" t="s">
        <v>3278</v>
      </c>
      <c r="Y384" s="575" t="s">
        <v>3279</v>
      </c>
      <c r="Z384" s="575" t="s">
        <v>3279</v>
      </c>
      <c r="AA384" s="574" t="s">
        <v>1693</v>
      </c>
      <c r="AB384" s="574" t="s">
        <v>2319</v>
      </c>
      <c r="AC384" s="574" t="s">
        <v>2320</v>
      </c>
      <c r="AD384" s="574" t="s">
        <v>2321</v>
      </c>
      <c r="AE384" s="574" t="s">
        <v>1446</v>
      </c>
      <c r="AF384" s="574" t="s">
        <v>2321</v>
      </c>
      <c r="AG384" s="576">
        <v>257250</v>
      </c>
    </row>
    <row r="385" spans="1:33" hidden="1" x14ac:dyDescent="0.25">
      <c r="A385" s="574" t="s">
        <v>2219</v>
      </c>
      <c r="B385" s="574" t="s">
        <v>2220</v>
      </c>
      <c r="C385" s="574" t="s">
        <v>2221</v>
      </c>
      <c r="D385" s="574" t="s">
        <v>2220</v>
      </c>
      <c r="E385" s="574" t="s">
        <v>2222</v>
      </c>
      <c r="F385" s="574" t="s">
        <v>2223</v>
      </c>
      <c r="G385" s="574" t="s">
        <v>2224</v>
      </c>
      <c r="H385" s="574" t="s">
        <v>2225</v>
      </c>
      <c r="I385" s="574" t="s">
        <v>2226</v>
      </c>
      <c r="J385" s="574" t="s">
        <v>2227</v>
      </c>
      <c r="K385" s="574" t="s">
        <v>2228</v>
      </c>
      <c r="L385" s="574" t="s">
        <v>2229</v>
      </c>
      <c r="M385" s="574" t="s">
        <v>2230</v>
      </c>
      <c r="N385" s="574" t="s">
        <v>2231</v>
      </c>
      <c r="O385" s="574" t="s">
        <v>2759</v>
      </c>
      <c r="P385" s="574" t="s">
        <v>2932</v>
      </c>
      <c r="Q385" s="574" t="s">
        <v>2234</v>
      </c>
      <c r="R385" s="574" t="s">
        <v>2225</v>
      </c>
      <c r="S385" s="574" t="s">
        <v>2235</v>
      </c>
      <c r="T385" s="574" t="s">
        <v>2236</v>
      </c>
      <c r="U385" s="574" t="s">
        <v>3168</v>
      </c>
      <c r="V385" s="574" t="s">
        <v>2238</v>
      </c>
      <c r="W385" s="574" t="s">
        <v>2239</v>
      </c>
      <c r="X385" s="574" t="s">
        <v>3169</v>
      </c>
      <c r="Y385" s="575" t="s">
        <v>2675</v>
      </c>
      <c r="Z385" s="575" t="s">
        <v>2675</v>
      </c>
      <c r="AA385" s="574" t="s">
        <v>1693</v>
      </c>
      <c r="AB385" s="574" t="s">
        <v>2319</v>
      </c>
      <c r="AC385" s="574" t="s">
        <v>2320</v>
      </c>
      <c r="AD385" s="574" t="s">
        <v>2321</v>
      </c>
      <c r="AE385" s="574" t="s">
        <v>1446</v>
      </c>
      <c r="AF385" s="574" t="s">
        <v>2321</v>
      </c>
      <c r="AG385" s="576">
        <v>283200</v>
      </c>
    </row>
    <row r="386" spans="1:33" hidden="1" x14ac:dyDescent="0.25">
      <c r="A386" s="574" t="s">
        <v>2219</v>
      </c>
      <c r="B386" s="574" t="s">
        <v>2220</v>
      </c>
      <c r="C386" s="574" t="s">
        <v>2221</v>
      </c>
      <c r="D386" s="574" t="s">
        <v>2220</v>
      </c>
      <c r="E386" s="574" t="s">
        <v>2222</v>
      </c>
      <c r="F386" s="574" t="s">
        <v>2223</v>
      </c>
      <c r="G386" s="574" t="s">
        <v>2224</v>
      </c>
      <c r="H386" s="574" t="s">
        <v>2225</v>
      </c>
      <c r="I386" s="574" t="s">
        <v>2226</v>
      </c>
      <c r="J386" s="574" t="s">
        <v>2227</v>
      </c>
      <c r="K386" s="574" t="s">
        <v>2228</v>
      </c>
      <c r="L386" s="574" t="s">
        <v>2229</v>
      </c>
      <c r="M386" s="574" t="s">
        <v>2230</v>
      </c>
      <c r="N386" s="574" t="s">
        <v>2231</v>
      </c>
      <c r="O386" s="574" t="s">
        <v>2759</v>
      </c>
      <c r="P386" s="574" t="s">
        <v>2932</v>
      </c>
      <c r="Q386" s="574" t="s">
        <v>2234</v>
      </c>
      <c r="R386" s="574" t="s">
        <v>2225</v>
      </c>
      <c r="S386" s="574" t="s">
        <v>2235</v>
      </c>
      <c r="T386" s="574" t="s">
        <v>2236</v>
      </c>
      <c r="U386" s="574" t="s">
        <v>3213</v>
      </c>
      <c r="V386" s="574" t="s">
        <v>2238</v>
      </c>
      <c r="W386" s="574" t="s">
        <v>2239</v>
      </c>
      <c r="X386" s="574" t="s">
        <v>3214</v>
      </c>
      <c r="Y386" s="575" t="s">
        <v>2565</v>
      </c>
      <c r="Z386" s="575" t="s">
        <v>2565</v>
      </c>
      <c r="AA386" s="574" t="s">
        <v>1693</v>
      </c>
      <c r="AB386" s="574" t="s">
        <v>2319</v>
      </c>
      <c r="AC386" s="574" t="s">
        <v>2320</v>
      </c>
      <c r="AD386" s="574" t="s">
        <v>2321</v>
      </c>
      <c r="AE386" s="574" t="s">
        <v>1446</v>
      </c>
      <c r="AF386" s="574" t="s">
        <v>2321</v>
      </c>
      <c r="AG386" s="576">
        <v>346330</v>
      </c>
    </row>
    <row r="387" spans="1:33" hidden="1" x14ac:dyDescent="0.25">
      <c r="A387" s="574" t="s">
        <v>2219</v>
      </c>
      <c r="B387" s="574" t="s">
        <v>2220</v>
      </c>
      <c r="C387" s="574" t="s">
        <v>2221</v>
      </c>
      <c r="D387" s="574" t="s">
        <v>2220</v>
      </c>
      <c r="E387" s="574" t="s">
        <v>2222</v>
      </c>
      <c r="F387" s="574" t="s">
        <v>2223</v>
      </c>
      <c r="G387" s="574" t="s">
        <v>2224</v>
      </c>
      <c r="H387" s="574" t="s">
        <v>2225</v>
      </c>
      <c r="I387" s="574" t="s">
        <v>2226</v>
      </c>
      <c r="J387" s="574" t="s">
        <v>2227</v>
      </c>
      <c r="K387" s="574" t="s">
        <v>2228</v>
      </c>
      <c r="L387" s="574" t="s">
        <v>2229</v>
      </c>
      <c r="M387" s="574" t="s">
        <v>2230</v>
      </c>
      <c r="N387" s="574" t="s">
        <v>2231</v>
      </c>
      <c r="O387" s="574" t="s">
        <v>2759</v>
      </c>
      <c r="P387" s="574" t="s">
        <v>2932</v>
      </c>
      <c r="Q387" s="574" t="s">
        <v>2234</v>
      </c>
      <c r="R387" s="574" t="s">
        <v>2225</v>
      </c>
      <c r="S387" s="574" t="s">
        <v>2235</v>
      </c>
      <c r="T387" s="574" t="s">
        <v>2236</v>
      </c>
      <c r="U387" s="574" t="s">
        <v>3199</v>
      </c>
      <c r="V387" s="574" t="s">
        <v>2238</v>
      </c>
      <c r="W387" s="574" t="s">
        <v>2239</v>
      </c>
      <c r="X387" s="574" t="s">
        <v>3200</v>
      </c>
      <c r="Y387" s="575" t="s">
        <v>2562</v>
      </c>
      <c r="Z387" s="575" t="s">
        <v>2562</v>
      </c>
      <c r="AA387" s="574" t="s">
        <v>1693</v>
      </c>
      <c r="AB387" s="574" t="s">
        <v>2319</v>
      </c>
      <c r="AC387" s="574" t="s">
        <v>2402</v>
      </c>
      <c r="AD387" s="574" t="s">
        <v>2403</v>
      </c>
      <c r="AE387" s="574" t="s">
        <v>1486</v>
      </c>
      <c r="AF387" s="574" t="s">
        <v>2403</v>
      </c>
      <c r="AG387" s="576">
        <v>438724</v>
      </c>
    </row>
    <row r="388" spans="1:33" hidden="1" x14ac:dyDescent="0.25">
      <c r="A388" s="574" t="s">
        <v>2219</v>
      </c>
      <c r="B388" s="574" t="s">
        <v>2220</v>
      </c>
      <c r="C388" s="574" t="s">
        <v>2221</v>
      </c>
      <c r="D388" s="574" t="s">
        <v>2220</v>
      </c>
      <c r="E388" s="574" t="s">
        <v>2222</v>
      </c>
      <c r="F388" s="574" t="s">
        <v>2223</v>
      </c>
      <c r="G388" s="574" t="s">
        <v>2224</v>
      </c>
      <c r="H388" s="574" t="s">
        <v>2225</v>
      </c>
      <c r="I388" s="574" t="s">
        <v>2226</v>
      </c>
      <c r="J388" s="574" t="s">
        <v>2227</v>
      </c>
      <c r="K388" s="574" t="s">
        <v>2228</v>
      </c>
      <c r="L388" s="574" t="s">
        <v>2229</v>
      </c>
      <c r="M388" s="574" t="s">
        <v>2230</v>
      </c>
      <c r="N388" s="574" t="s">
        <v>2231</v>
      </c>
      <c r="O388" s="574" t="s">
        <v>2759</v>
      </c>
      <c r="P388" s="574" t="s">
        <v>2932</v>
      </c>
      <c r="Q388" s="574" t="s">
        <v>2234</v>
      </c>
      <c r="R388" s="574" t="s">
        <v>2225</v>
      </c>
      <c r="S388" s="574" t="s">
        <v>2235</v>
      </c>
      <c r="T388" s="574" t="s">
        <v>2236</v>
      </c>
      <c r="U388" s="574" t="s">
        <v>3265</v>
      </c>
      <c r="V388" s="574" t="s">
        <v>2238</v>
      </c>
      <c r="W388" s="574" t="s">
        <v>2239</v>
      </c>
      <c r="X388" s="574" t="s">
        <v>3266</v>
      </c>
      <c r="Y388" s="575" t="s">
        <v>2586</v>
      </c>
      <c r="Z388" s="575" t="s">
        <v>2586</v>
      </c>
      <c r="AA388" s="574" t="s">
        <v>1693</v>
      </c>
      <c r="AB388" s="574" t="s">
        <v>2319</v>
      </c>
      <c r="AC388" s="574" t="s">
        <v>2320</v>
      </c>
      <c r="AD388" s="574" t="s">
        <v>2321</v>
      </c>
      <c r="AE388" s="574" t="s">
        <v>1446</v>
      </c>
      <c r="AF388" s="574" t="s">
        <v>2321</v>
      </c>
      <c r="AG388" s="576">
        <v>441947.76</v>
      </c>
    </row>
    <row r="389" spans="1:33" hidden="1" x14ac:dyDescent="0.25">
      <c r="A389" s="574" t="s">
        <v>2219</v>
      </c>
      <c r="B389" s="574" t="s">
        <v>2220</v>
      </c>
      <c r="C389" s="574" t="s">
        <v>2221</v>
      </c>
      <c r="D389" s="574" t="s">
        <v>2220</v>
      </c>
      <c r="E389" s="574" t="s">
        <v>2222</v>
      </c>
      <c r="F389" s="574" t="s">
        <v>2223</v>
      </c>
      <c r="G389" s="574" t="s">
        <v>2224</v>
      </c>
      <c r="H389" s="574" t="s">
        <v>2225</v>
      </c>
      <c r="I389" s="574" t="s">
        <v>2226</v>
      </c>
      <c r="J389" s="574" t="s">
        <v>2227</v>
      </c>
      <c r="K389" s="574" t="s">
        <v>2228</v>
      </c>
      <c r="L389" s="574" t="s">
        <v>2229</v>
      </c>
      <c r="M389" s="574" t="s">
        <v>2230</v>
      </c>
      <c r="N389" s="574" t="s">
        <v>2231</v>
      </c>
      <c r="O389" s="574" t="s">
        <v>2759</v>
      </c>
      <c r="P389" s="574" t="s">
        <v>2932</v>
      </c>
      <c r="Q389" s="574" t="s">
        <v>2234</v>
      </c>
      <c r="R389" s="574" t="s">
        <v>2225</v>
      </c>
      <c r="S389" s="574" t="s">
        <v>2235</v>
      </c>
      <c r="T389" s="574" t="s">
        <v>2236</v>
      </c>
      <c r="U389" s="574" t="s">
        <v>3166</v>
      </c>
      <c r="V389" s="574" t="s">
        <v>2238</v>
      </c>
      <c r="W389" s="574" t="s">
        <v>2239</v>
      </c>
      <c r="X389" s="574" t="s">
        <v>3167</v>
      </c>
      <c r="Y389" s="575" t="s">
        <v>2675</v>
      </c>
      <c r="Z389" s="575" t="s">
        <v>2675</v>
      </c>
      <c r="AA389" s="574" t="s">
        <v>1693</v>
      </c>
      <c r="AB389" s="574" t="s">
        <v>2319</v>
      </c>
      <c r="AC389" s="574" t="s">
        <v>2320</v>
      </c>
      <c r="AD389" s="574" t="s">
        <v>2321</v>
      </c>
      <c r="AE389" s="574" t="s">
        <v>1446</v>
      </c>
      <c r="AF389" s="574" t="s">
        <v>2321</v>
      </c>
      <c r="AG389" s="576">
        <v>448800</v>
      </c>
    </row>
    <row r="390" spans="1:33" hidden="1" x14ac:dyDescent="0.25">
      <c r="A390" s="574" t="s">
        <v>2219</v>
      </c>
      <c r="B390" s="574" t="s">
        <v>2220</v>
      </c>
      <c r="C390" s="574" t="s">
        <v>2221</v>
      </c>
      <c r="D390" s="574" t="s">
        <v>2220</v>
      </c>
      <c r="E390" s="574" t="s">
        <v>2222</v>
      </c>
      <c r="F390" s="574" t="s">
        <v>2223</v>
      </c>
      <c r="G390" s="574" t="s">
        <v>2224</v>
      </c>
      <c r="H390" s="574" t="s">
        <v>2225</v>
      </c>
      <c r="I390" s="574" t="s">
        <v>2226</v>
      </c>
      <c r="J390" s="574" t="s">
        <v>2227</v>
      </c>
      <c r="K390" s="574" t="s">
        <v>2228</v>
      </c>
      <c r="L390" s="574" t="s">
        <v>2229</v>
      </c>
      <c r="M390" s="574" t="s">
        <v>2230</v>
      </c>
      <c r="N390" s="574" t="s">
        <v>2231</v>
      </c>
      <c r="O390" s="574" t="s">
        <v>2759</v>
      </c>
      <c r="P390" s="574" t="s">
        <v>2932</v>
      </c>
      <c r="Q390" s="574" t="s">
        <v>2234</v>
      </c>
      <c r="R390" s="574" t="s">
        <v>2225</v>
      </c>
      <c r="S390" s="574" t="s">
        <v>2235</v>
      </c>
      <c r="T390" s="574" t="s">
        <v>2236</v>
      </c>
      <c r="U390" s="574" t="s">
        <v>2499</v>
      </c>
      <c r="V390" s="574" t="s">
        <v>2238</v>
      </c>
      <c r="W390" s="574" t="s">
        <v>2239</v>
      </c>
      <c r="X390" s="574" t="s">
        <v>2500</v>
      </c>
      <c r="Y390" s="575" t="s">
        <v>2501</v>
      </c>
      <c r="Z390" s="575" t="s">
        <v>2501</v>
      </c>
      <c r="AA390" s="574" t="s">
        <v>1693</v>
      </c>
      <c r="AB390" s="574" t="s">
        <v>2319</v>
      </c>
      <c r="AC390" s="574" t="s">
        <v>2962</v>
      </c>
      <c r="AD390" s="574" t="s">
        <v>126</v>
      </c>
      <c r="AE390" s="574" t="s">
        <v>1522</v>
      </c>
      <c r="AF390" s="574" t="s">
        <v>126</v>
      </c>
      <c r="AG390" s="576">
        <v>462538.76</v>
      </c>
    </row>
    <row r="391" spans="1:33" hidden="1" x14ac:dyDescent="0.25">
      <c r="A391" s="574" t="s">
        <v>2219</v>
      </c>
      <c r="B391" s="574" t="s">
        <v>2220</v>
      </c>
      <c r="C391" s="574" t="s">
        <v>2221</v>
      </c>
      <c r="D391" s="574" t="s">
        <v>2220</v>
      </c>
      <c r="E391" s="574" t="s">
        <v>2222</v>
      </c>
      <c r="F391" s="574" t="s">
        <v>2223</v>
      </c>
      <c r="G391" s="574" t="s">
        <v>2224</v>
      </c>
      <c r="H391" s="574" t="s">
        <v>2225</v>
      </c>
      <c r="I391" s="574" t="s">
        <v>2226</v>
      </c>
      <c r="J391" s="574" t="s">
        <v>2227</v>
      </c>
      <c r="K391" s="574" t="s">
        <v>2228</v>
      </c>
      <c r="L391" s="574" t="s">
        <v>2229</v>
      </c>
      <c r="M391" s="574" t="s">
        <v>2230</v>
      </c>
      <c r="N391" s="574" t="s">
        <v>2231</v>
      </c>
      <c r="O391" s="574" t="s">
        <v>2232</v>
      </c>
      <c r="P391" s="574" t="s">
        <v>2233</v>
      </c>
      <c r="Q391" s="574" t="s">
        <v>2234</v>
      </c>
      <c r="R391" s="574" t="s">
        <v>2225</v>
      </c>
      <c r="S391" s="574" t="s">
        <v>2235</v>
      </c>
      <c r="T391" s="574" t="s">
        <v>2236</v>
      </c>
      <c r="U391" s="574" t="s">
        <v>2537</v>
      </c>
      <c r="V391" s="574" t="s">
        <v>2238</v>
      </c>
      <c r="W391" s="574" t="s">
        <v>2239</v>
      </c>
      <c r="X391" s="574" t="s">
        <v>2538</v>
      </c>
      <c r="Y391" s="575" t="s">
        <v>2531</v>
      </c>
      <c r="Z391" s="575" t="s">
        <v>2531</v>
      </c>
      <c r="AA391" s="574" t="s">
        <v>1693</v>
      </c>
      <c r="AB391" s="574" t="s">
        <v>2319</v>
      </c>
      <c r="AC391" s="574" t="s">
        <v>2402</v>
      </c>
      <c r="AD391" s="574" t="s">
        <v>2403</v>
      </c>
      <c r="AE391" s="574" t="s">
        <v>1486</v>
      </c>
      <c r="AF391" s="574" t="s">
        <v>2403</v>
      </c>
      <c r="AG391" s="576">
        <v>531590</v>
      </c>
    </row>
    <row r="392" spans="1:33" hidden="1" x14ac:dyDescent="0.25">
      <c r="A392" s="574" t="s">
        <v>2219</v>
      </c>
      <c r="B392" s="574" t="s">
        <v>2220</v>
      </c>
      <c r="C392" s="574" t="s">
        <v>2221</v>
      </c>
      <c r="D392" s="574" t="s">
        <v>2220</v>
      </c>
      <c r="E392" s="574" t="s">
        <v>2222</v>
      </c>
      <c r="F392" s="574" t="s">
        <v>2223</v>
      </c>
      <c r="G392" s="574" t="s">
        <v>2224</v>
      </c>
      <c r="H392" s="574" t="s">
        <v>2225</v>
      </c>
      <c r="I392" s="574" t="s">
        <v>2226</v>
      </c>
      <c r="J392" s="574" t="s">
        <v>2227</v>
      </c>
      <c r="K392" s="574" t="s">
        <v>2228</v>
      </c>
      <c r="L392" s="574" t="s">
        <v>2229</v>
      </c>
      <c r="M392" s="574" t="s">
        <v>2230</v>
      </c>
      <c r="N392" s="574" t="s">
        <v>2231</v>
      </c>
      <c r="O392" s="574" t="s">
        <v>2759</v>
      </c>
      <c r="P392" s="574" t="s">
        <v>2932</v>
      </c>
      <c r="Q392" s="574" t="s">
        <v>2234</v>
      </c>
      <c r="R392" s="574" t="s">
        <v>2225</v>
      </c>
      <c r="S392" s="574" t="s">
        <v>2235</v>
      </c>
      <c r="T392" s="574" t="s">
        <v>2236</v>
      </c>
      <c r="U392" s="574" t="s">
        <v>3209</v>
      </c>
      <c r="V392" s="574" t="s">
        <v>2238</v>
      </c>
      <c r="W392" s="574" t="s">
        <v>2239</v>
      </c>
      <c r="X392" s="574" t="s">
        <v>3210</v>
      </c>
      <c r="Y392" s="575" t="s">
        <v>2565</v>
      </c>
      <c r="Z392" s="575" t="s">
        <v>2565</v>
      </c>
      <c r="AA392" s="574" t="s">
        <v>1693</v>
      </c>
      <c r="AB392" s="574" t="s">
        <v>2319</v>
      </c>
      <c r="AC392" s="574" t="s">
        <v>2320</v>
      </c>
      <c r="AD392" s="574" t="s">
        <v>2321</v>
      </c>
      <c r="AE392" s="574" t="s">
        <v>1446</v>
      </c>
      <c r="AF392" s="574" t="s">
        <v>2321</v>
      </c>
      <c r="AG392" s="576">
        <v>566400</v>
      </c>
    </row>
    <row r="393" spans="1:33" hidden="1" x14ac:dyDescent="0.25">
      <c r="A393" s="574" t="s">
        <v>2219</v>
      </c>
      <c r="B393" s="574" t="s">
        <v>2220</v>
      </c>
      <c r="C393" s="574" t="s">
        <v>2221</v>
      </c>
      <c r="D393" s="574" t="s">
        <v>2220</v>
      </c>
      <c r="E393" s="574" t="s">
        <v>2222</v>
      </c>
      <c r="F393" s="574" t="s">
        <v>2223</v>
      </c>
      <c r="G393" s="574" t="s">
        <v>2224</v>
      </c>
      <c r="H393" s="574" t="s">
        <v>2225</v>
      </c>
      <c r="I393" s="574" t="s">
        <v>2226</v>
      </c>
      <c r="J393" s="574" t="s">
        <v>2227</v>
      </c>
      <c r="K393" s="574" t="s">
        <v>2228</v>
      </c>
      <c r="L393" s="574" t="s">
        <v>2229</v>
      </c>
      <c r="M393" s="574" t="s">
        <v>2230</v>
      </c>
      <c r="N393" s="574" t="s">
        <v>2231</v>
      </c>
      <c r="O393" s="574" t="s">
        <v>2759</v>
      </c>
      <c r="P393" s="574" t="s">
        <v>2932</v>
      </c>
      <c r="Q393" s="574" t="s">
        <v>2234</v>
      </c>
      <c r="R393" s="574" t="s">
        <v>2225</v>
      </c>
      <c r="S393" s="574" t="s">
        <v>2235</v>
      </c>
      <c r="T393" s="574" t="s">
        <v>2236</v>
      </c>
      <c r="U393" s="574" t="s">
        <v>3025</v>
      </c>
      <c r="V393" s="574" t="s">
        <v>2238</v>
      </c>
      <c r="W393" s="574" t="s">
        <v>2239</v>
      </c>
      <c r="X393" s="574" t="s">
        <v>3026</v>
      </c>
      <c r="Y393" s="575" t="s">
        <v>2457</v>
      </c>
      <c r="Z393" s="575" t="s">
        <v>2457</v>
      </c>
      <c r="AA393" s="574" t="s">
        <v>1693</v>
      </c>
      <c r="AB393" s="574" t="s">
        <v>2319</v>
      </c>
      <c r="AC393" s="574" t="s">
        <v>2320</v>
      </c>
      <c r="AD393" s="574" t="s">
        <v>2321</v>
      </c>
      <c r="AE393" s="574" t="s">
        <v>1446</v>
      </c>
      <c r="AF393" s="574" t="s">
        <v>2321</v>
      </c>
      <c r="AG393" s="576">
        <v>570648</v>
      </c>
    </row>
    <row r="394" spans="1:33" hidden="1" x14ac:dyDescent="0.25">
      <c r="A394" s="574" t="s">
        <v>2219</v>
      </c>
      <c r="B394" s="574" t="s">
        <v>2220</v>
      </c>
      <c r="C394" s="574" t="s">
        <v>2221</v>
      </c>
      <c r="D394" s="574" t="s">
        <v>2220</v>
      </c>
      <c r="E394" s="574" t="s">
        <v>2222</v>
      </c>
      <c r="F394" s="574" t="s">
        <v>2223</v>
      </c>
      <c r="G394" s="574" t="s">
        <v>2224</v>
      </c>
      <c r="H394" s="574" t="s">
        <v>2225</v>
      </c>
      <c r="I394" s="574" t="s">
        <v>2226</v>
      </c>
      <c r="J394" s="574" t="s">
        <v>2227</v>
      </c>
      <c r="K394" s="574" t="s">
        <v>2228</v>
      </c>
      <c r="L394" s="574" t="s">
        <v>2229</v>
      </c>
      <c r="M394" s="574" t="s">
        <v>2230</v>
      </c>
      <c r="N394" s="574" t="s">
        <v>2231</v>
      </c>
      <c r="O394" s="574" t="s">
        <v>2759</v>
      </c>
      <c r="P394" s="574" t="s">
        <v>2932</v>
      </c>
      <c r="Q394" s="574" t="s">
        <v>2234</v>
      </c>
      <c r="R394" s="574" t="s">
        <v>2225</v>
      </c>
      <c r="S394" s="574" t="s">
        <v>2235</v>
      </c>
      <c r="T394" s="574" t="s">
        <v>2236</v>
      </c>
      <c r="U394" s="574" t="s">
        <v>3066</v>
      </c>
      <c r="V394" s="574" t="s">
        <v>2238</v>
      </c>
      <c r="W394" s="574" t="s">
        <v>2239</v>
      </c>
      <c r="X394" s="574" t="s">
        <v>3067</v>
      </c>
      <c r="Y394" s="575" t="s">
        <v>2484</v>
      </c>
      <c r="Z394" s="575" t="s">
        <v>2484</v>
      </c>
      <c r="AA394" s="574" t="s">
        <v>1693</v>
      </c>
      <c r="AB394" s="574" t="s">
        <v>2319</v>
      </c>
      <c r="AC394" s="574" t="s">
        <v>2320</v>
      </c>
      <c r="AD394" s="574" t="s">
        <v>2321</v>
      </c>
      <c r="AE394" s="574" t="s">
        <v>1446</v>
      </c>
      <c r="AF394" s="574" t="s">
        <v>2321</v>
      </c>
      <c r="AG394" s="576">
        <v>843200</v>
      </c>
    </row>
    <row r="395" spans="1:33" hidden="1" x14ac:dyDescent="0.25">
      <c r="A395" s="574" t="s">
        <v>2219</v>
      </c>
      <c r="B395" s="574" t="s">
        <v>2220</v>
      </c>
      <c r="C395" s="574" t="s">
        <v>2221</v>
      </c>
      <c r="D395" s="574" t="s">
        <v>2220</v>
      </c>
      <c r="E395" s="574" t="s">
        <v>2222</v>
      </c>
      <c r="F395" s="574" t="s">
        <v>2223</v>
      </c>
      <c r="G395" s="574" t="s">
        <v>2224</v>
      </c>
      <c r="H395" s="574" t="s">
        <v>2225</v>
      </c>
      <c r="I395" s="574" t="s">
        <v>2226</v>
      </c>
      <c r="J395" s="574" t="s">
        <v>2227</v>
      </c>
      <c r="K395" s="574" t="s">
        <v>2228</v>
      </c>
      <c r="L395" s="574" t="s">
        <v>2229</v>
      </c>
      <c r="M395" s="574" t="s">
        <v>2230</v>
      </c>
      <c r="N395" s="574" t="s">
        <v>2231</v>
      </c>
      <c r="O395" s="574" t="s">
        <v>2759</v>
      </c>
      <c r="P395" s="574" t="s">
        <v>2932</v>
      </c>
      <c r="Q395" s="574" t="s">
        <v>2234</v>
      </c>
      <c r="R395" s="574" t="s">
        <v>2225</v>
      </c>
      <c r="S395" s="574" t="s">
        <v>2235</v>
      </c>
      <c r="T395" s="574" t="s">
        <v>2236</v>
      </c>
      <c r="U395" s="574" t="s">
        <v>3023</v>
      </c>
      <c r="V395" s="574" t="s">
        <v>2238</v>
      </c>
      <c r="W395" s="574" t="s">
        <v>2239</v>
      </c>
      <c r="X395" s="574" t="s">
        <v>3024</v>
      </c>
      <c r="Y395" s="575" t="s">
        <v>2457</v>
      </c>
      <c r="Z395" s="575" t="s">
        <v>2457</v>
      </c>
      <c r="AA395" s="574" t="s">
        <v>1693</v>
      </c>
      <c r="AB395" s="574" t="s">
        <v>2319</v>
      </c>
      <c r="AC395" s="574" t="s">
        <v>2320</v>
      </c>
      <c r="AD395" s="574" t="s">
        <v>2321</v>
      </c>
      <c r="AE395" s="574" t="s">
        <v>1446</v>
      </c>
      <c r="AF395" s="574" t="s">
        <v>2321</v>
      </c>
      <c r="AG395" s="576">
        <v>925120</v>
      </c>
    </row>
    <row r="396" spans="1:33" hidden="1" x14ac:dyDescent="0.25">
      <c r="A396" s="574" t="s">
        <v>2219</v>
      </c>
      <c r="B396" s="574" t="s">
        <v>2220</v>
      </c>
      <c r="C396" s="574" t="s">
        <v>2221</v>
      </c>
      <c r="D396" s="574" t="s">
        <v>2220</v>
      </c>
      <c r="E396" s="574" t="s">
        <v>2222</v>
      </c>
      <c r="F396" s="574" t="s">
        <v>2223</v>
      </c>
      <c r="G396" s="574" t="s">
        <v>2224</v>
      </c>
      <c r="H396" s="574" t="s">
        <v>2225</v>
      </c>
      <c r="I396" s="574" t="s">
        <v>2226</v>
      </c>
      <c r="J396" s="574" t="s">
        <v>2227</v>
      </c>
      <c r="K396" s="574" t="s">
        <v>2228</v>
      </c>
      <c r="L396" s="574" t="s">
        <v>2229</v>
      </c>
      <c r="M396" s="574" t="s">
        <v>2230</v>
      </c>
      <c r="N396" s="574" t="s">
        <v>2231</v>
      </c>
      <c r="O396" s="574" t="s">
        <v>2232</v>
      </c>
      <c r="P396" s="574" t="s">
        <v>2233</v>
      </c>
      <c r="Q396" s="574" t="s">
        <v>2234</v>
      </c>
      <c r="R396" s="574" t="s">
        <v>2225</v>
      </c>
      <c r="S396" s="574" t="s">
        <v>2235</v>
      </c>
      <c r="T396" s="574" t="s">
        <v>2236</v>
      </c>
      <c r="U396" s="574" t="s">
        <v>2566</v>
      </c>
      <c r="V396" s="574" t="s">
        <v>2238</v>
      </c>
      <c r="W396" s="574" t="s">
        <v>2239</v>
      </c>
      <c r="X396" s="574" t="s">
        <v>2567</v>
      </c>
      <c r="Y396" s="575" t="s">
        <v>2568</v>
      </c>
      <c r="Z396" s="575" t="s">
        <v>2568</v>
      </c>
      <c r="AA396" s="574" t="s">
        <v>1693</v>
      </c>
      <c r="AB396" s="574" t="s">
        <v>2319</v>
      </c>
      <c r="AC396" s="574" t="s">
        <v>2320</v>
      </c>
      <c r="AD396" s="574" t="s">
        <v>2321</v>
      </c>
      <c r="AE396" s="574" t="s">
        <v>1446</v>
      </c>
      <c r="AF396" s="574" t="s">
        <v>2321</v>
      </c>
      <c r="AG396" s="576">
        <v>1267200</v>
      </c>
    </row>
    <row r="397" spans="1:33" hidden="1" x14ac:dyDescent="0.25">
      <c r="A397" s="574" t="s">
        <v>2219</v>
      </c>
      <c r="B397" s="574" t="s">
        <v>2220</v>
      </c>
      <c r="C397" s="574" t="s">
        <v>2221</v>
      </c>
      <c r="D397" s="574" t="s">
        <v>2220</v>
      </c>
      <c r="E397" s="574" t="s">
        <v>2222</v>
      </c>
      <c r="F397" s="574" t="s">
        <v>2223</v>
      </c>
      <c r="G397" s="574" t="s">
        <v>2224</v>
      </c>
      <c r="H397" s="574" t="s">
        <v>2225</v>
      </c>
      <c r="I397" s="574" t="s">
        <v>2226</v>
      </c>
      <c r="J397" s="574" t="s">
        <v>2227</v>
      </c>
      <c r="K397" s="574" t="s">
        <v>2228</v>
      </c>
      <c r="L397" s="574" t="s">
        <v>2229</v>
      </c>
      <c r="M397" s="574" t="s">
        <v>2230</v>
      </c>
      <c r="N397" s="574" t="s">
        <v>2231</v>
      </c>
      <c r="O397" s="574" t="s">
        <v>2759</v>
      </c>
      <c r="P397" s="574" t="s">
        <v>2932</v>
      </c>
      <c r="Q397" s="574" t="s">
        <v>2234</v>
      </c>
      <c r="R397" s="574" t="s">
        <v>2225</v>
      </c>
      <c r="S397" s="574" t="s">
        <v>2235</v>
      </c>
      <c r="T397" s="574" t="s">
        <v>2236</v>
      </c>
      <c r="U397" s="574" t="s">
        <v>3294</v>
      </c>
      <c r="V397" s="574" t="s">
        <v>2238</v>
      </c>
      <c r="W397" s="574" t="s">
        <v>2239</v>
      </c>
      <c r="X397" s="574" t="s">
        <v>3295</v>
      </c>
      <c r="Y397" s="575" t="s">
        <v>2599</v>
      </c>
      <c r="Z397" s="575" t="s">
        <v>2599</v>
      </c>
      <c r="AA397" s="574" t="s">
        <v>1693</v>
      </c>
      <c r="AB397" s="574" t="s">
        <v>2319</v>
      </c>
      <c r="AC397" s="574" t="s">
        <v>2320</v>
      </c>
      <c r="AD397" s="574" t="s">
        <v>2321</v>
      </c>
      <c r="AE397" s="574" t="s">
        <v>1446</v>
      </c>
      <c r="AF397" s="574" t="s">
        <v>2321</v>
      </c>
      <c r="AG397" s="576">
        <v>1267200</v>
      </c>
    </row>
    <row r="398" spans="1:33" hidden="1" x14ac:dyDescent="0.25">
      <c r="A398" s="574" t="s">
        <v>2219</v>
      </c>
      <c r="B398" s="574" t="s">
        <v>2220</v>
      </c>
      <c r="C398" s="574" t="s">
        <v>2221</v>
      </c>
      <c r="D398" s="574" t="s">
        <v>2220</v>
      </c>
      <c r="E398" s="574" t="s">
        <v>2222</v>
      </c>
      <c r="F398" s="574" t="s">
        <v>2223</v>
      </c>
      <c r="G398" s="574" t="s">
        <v>2224</v>
      </c>
      <c r="H398" s="574" t="s">
        <v>2225</v>
      </c>
      <c r="I398" s="574" t="s">
        <v>2226</v>
      </c>
      <c r="J398" s="574" t="s">
        <v>2227</v>
      </c>
      <c r="K398" s="574" t="s">
        <v>2228</v>
      </c>
      <c r="L398" s="574" t="s">
        <v>2229</v>
      </c>
      <c r="M398" s="574" t="s">
        <v>2230</v>
      </c>
      <c r="N398" s="574" t="s">
        <v>2231</v>
      </c>
      <c r="O398" s="574" t="s">
        <v>2232</v>
      </c>
      <c r="P398" s="574" t="s">
        <v>2233</v>
      </c>
      <c r="Q398" s="574" t="s">
        <v>2234</v>
      </c>
      <c r="R398" s="574" t="s">
        <v>2225</v>
      </c>
      <c r="S398" s="574" t="s">
        <v>2235</v>
      </c>
      <c r="T398" s="574" t="s">
        <v>2236</v>
      </c>
      <c r="U398" s="574" t="s">
        <v>2518</v>
      </c>
      <c r="V398" s="574" t="s">
        <v>2238</v>
      </c>
      <c r="W398" s="574" t="s">
        <v>2239</v>
      </c>
      <c r="X398" s="574" t="s">
        <v>2519</v>
      </c>
      <c r="Y398" s="575" t="s">
        <v>2517</v>
      </c>
      <c r="Z398" s="575" t="s">
        <v>2517</v>
      </c>
      <c r="AA398" s="574" t="s">
        <v>1693</v>
      </c>
      <c r="AB398" s="574" t="s">
        <v>2319</v>
      </c>
      <c r="AC398" s="574" t="s">
        <v>2402</v>
      </c>
      <c r="AD398" s="574" t="s">
        <v>2403</v>
      </c>
      <c r="AE398" s="574" t="s">
        <v>1486</v>
      </c>
      <c r="AF398" s="574" t="s">
        <v>2403</v>
      </c>
      <c r="AG398" s="576">
        <v>1353342</v>
      </c>
    </row>
    <row r="399" spans="1:33" hidden="1" x14ac:dyDescent="0.25">
      <c r="A399" s="574" t="s">
        <v>2219</v>
      </c>
      <c r="B399" s="574" t="s">
        <v>2220</v>
      </c>
      <c r="C399" s="574" t="s">
        <v>2221</v>
      </c>
      <c r="D399" s="574" t="s">
        <v>2220</v>
      </c>
      <c r="E399" s="574" t="s">
        <v>2222</v>
      </c>
      <c r="F399" s="574" t="s">
        <v>2223</v>
      </c>
      <c r="G399" s="574" t="s">
        <v>2224</v>
      </c>
      <c r="H399" s="574" t="s">
        <v>2225</v>
      </c>
      <c r="I399" s="574" t="s">
        <v>2226</v>
      </c>
      <c r="J399" s="574" t="s">
        <v>2227</v>
      </c>
      <c r="K399" s="574" t="s">
        <v>2228</v>
      </c>
      <c r="L399" s="574" t="s">
        <v>2229</v>
      </c>
      <c r="M399" s="574" t="s">
        <v>2230</v>
      </c>
      <c r="N399" s="574" t="s">
        <v>2231</v>
      </c>
      <c r="O399" s="574" t="s">
        <v>2759</v>
      </c>
      <c r="P399" s="574" t="s">
        <v>2932</v>
      </c>
      <c r="Q399" s="574" t="s">
        <v>2234</v>
      </c>
      <c r="R399" s="574" t="s">
        <v>2225</v>
      </c>
      <c r="S399" s="574" t="s">
        <v>2235</v>
      </c>
      <c r="T399" s="574" t="s">
        <v>2236</v>
      </c>
      <c r="U399" s="574" t="s">
        <v>2998</v>
      </c>
      <c r="V399" s="574" t="s">
        <v>2238</v>
      </c>
      <c r="W399" s="574" t="s">
        <v>2239</v>
      </c>
      <c r="X399" s="574" t="s">
        <v>2999</v>
      </c>
      <c r="Y399" s="575" t="s">
        <v>2429</v>
      </c>
      <c r="Z399" s="575" t="s">
        <v>2429</v>
      </c>
      <c r="AA399" s="574" t="s">
        <v>1693</v>
      </c>
      <c r="AB399" s="574" t="s">
        <v>2319</v>
      </c>
      <c r="AC399" s="574" t="s">
        <v>2320</v>
      </c>
      <c r="AD399" s="574" t="s">
        <v>2321</v>
      </c>
      <c r="AE399" s="574" t="s">
        <v>1446</v>
      </c>
      <c r="AF399" s="574" t="s">
        <v>2321</v>
      </c>
      <c r="AG399" s="576">
        <v>1652000</v>
      </c>
    </row>
    <row r="400" spans="1:33" x14ac:dyDescent="0.25">
      <c r="A400" s="574" t="s">
        <v>2219</v>
      </c>
      <c r="B400" s="574" t="s">
        <v>2220</v>
      </c>
      <c r="C400" s="574" t="s">
        <v>2221</v>
      </c>
      <c r="D400" s="574" t="s">
        <v>2220</v>
      </c>
      <c r="E400" s="574" t="s">
        <v>2222</v>
      </c>
      <c r="F400" s="574" t="s">
        <v>2223</v>
      </c>
      <c r="G400" s="574" t="s">
        <v>2224</v>
      </c>
      <c r="H400" s="574" t="s">
        <v>2225</v>
      </c>
      <c r="I400" s="574" t="s">
        <v>2226</v>
      </c>
      <c r="J400" s="574" t="s">
        <v>2227</v>
      </c>
      <c r="K400" s="574" t="s">
        <v>2228</v>
      </c>
      <c r="L400" s="574" t="s">
        <v>2229</v>
      </c>
      <c r="M400" s="574" t="s">
        <v>2230</v>
      </c>
      <c r="N400" s="574" t="s">
        <v>2231</v>
      </c>
      <c r="O400" s="574" t="s">
        <v>2232</v>
      </c>
      <c r="P400" s="574" t="s">
        <v>2233</v>
      </c>
      <c r="Q400" s="574" t="s">
        <v>2234</v>
      </c>
      <c r="R400" s="574" t="s">
        <v>2225</v>
      </c>
      <c r="S400" s="574" t="s">
        <v>2235</v>
      </c>
      <c r="T400" s="574" t="s">
        <v>2236</v>
      </c>
      <c r="U400" s="574" t="s">
        <v>2547</v>
      </c>
      <c r="V400" s="574" t="s">
        <v>2238</v>
      </c>
      <c r="W400" s="574" t="s">
        <v>2239</v>
      </c>
      <c r="X400" s="574" t="s">
        <v>2548</v>
      </c>
      <c r="Y400" s="575" t="s">
        <v>2543</v>
      </c>
      <c r="Z400" s="575" t="s">
        <v>2543</v>
      </c>
      <c r="AA400" s="574" t="s">
        <v>1694</v>
      </c>
      <c r="AB400" s="574" t="s">
        <v>2314</v>
      </c>
      <c r="AC400" s="574" t="s">
        <v>2418</v>
      </c>
      <c r="AD400" s="574" t="s">
        <v>2419</v>
      </c>
      <c r="AE400" s="574" t="s">
        <v>2420</v>
      </c>
      <c r="AF400" s="574" t="s">
        <v>2421</v>
      </c>
      <c r="AG400" s="576">
        <v>16620.3</v>
      </c>
    </row>
    <row r="401" spans="1:33" x14ac:dyDescent="0.25">
      <c r="A401" s="574" t="s">
        <v>2219</v>
      </c>
      <c r="B401" s="574" t="s">
        <v>2220</v>
      </c>
      <c r="C401" s="574" t="s">
        <v>2221</v>
      </c>
      <c r="D401" s="574" t="s">
        <v>2220</v>
      </c>
      <c r="E401" s="574" t="s">
        <v>2222</v>
      </c>
      <c r="F401" s="574" t="s">
        <v>2223</v>
      </c>
      <c r="G401" s="574" t="s">
        <v>2224</v>
      </c>
      <c r="H401" s="574" t="s">
        <v>2225</v>
      </c>
      <c r="I401" s="574" t="s">
        <v>2226</v>
      </c>
      <c r="J401" s="574" t="s">
        <v>2227</v>
      </c>
      <c r="K401" s="574" t="s">
        <v>2228</v>
      </c>
      <c r="L401" s="574" t="s">
        <v>2229</v>
      </c>
      <c r="M401" s="574" t="s">
        <v>2230</v>
      </c>
      <c r="N401" s="574" t="s">
        <v>2231</v>
      </c>
      <c r="O401" s="574" t="s">
        <v>2232</v>
      </c>
      <c r="P401" s="574" t="s">
        <v>2233</v>
      </c>
      <c r="Q401" s="574" t="s">
        <v>2234</v>
      </c>
      <c r="R401" s="574" t="s">
        <v>2225</v>
      </c>
      <c r="S401" s="574" t="s">
        <v>2235</v>
      </c>
      <c r="T401" s="574" t="s">
        <v>2236</v>
      </c>
      <c r="U401" s="574" t="s">
        <v>2450</v>
      </c>
      <c r="V401" s="574" t="s">
        <v>2238</v>
      </c>
      <c r="W401" s="574" t="s">
        <v>2239</v>
      </c>
      <c r="X401" s="574" t="s">
        <v>2451</v>
      </c>
      <c r="Y401" s="575" t="s">
        <v>2429</v>
      </c>
      <c r="Z401" s="575" t="s">
        <v>2429</v>
      </c>
      <c r="AA401" s="574" t="s">
        <v>1694</v>
      </c>
      <c r="AB401" s="574" t="s">
        <v>2314</v>
      </c>
      <c r="AC401" s="574" t="s">
        <v>2398</v>
      </c>
      <c r="AD401" s="574" t="s">
        <v>2399</v>
      </c>
      <c r="AE401" s="574" t="s">
        <v>1431</v>
      </c>
      <c r="AF401" s="574" t="s">
        <v>2399</v>
      </c>
      <c r="AG401" s="576">
        <v>20650</v>
      </c>
    </row>
    <row r="402" spans="1:33" x14ac:dyDescent="0.25">
      <c r="A402" s="574" t="s">
        <v>2219</v>
      </c>
      <c r="B402" s="574" t="s">
        <v>2220</v>
      </c>
      <c r="C402" s="574" t="s">
        <v>2221</v>
      </c>
      <c r="D402" s="574" t="s">
        <v>2220</v>
      </c>
      <c r="E402" s="574" t="s">
        <v>2222</v>
      </c>
      <c r="F402" s="574" t="s">
        <v>2223</v>
      </c>
      <c r="G402" s="574" t="s">
        <v>2224</v>
      </c>
      <c r="H402" s="574" t="s">
        <v>2225</v>
      </c>
      <c r="I402" s="574" t="s">
        <v>2226</v>
      </c>
      <c r="J402" s="574" t="s">
        <v>2227</v>
      </c>
      <c r="K402" s="574" t="s">
        <v>2228</v>
      </c>
      <c r="L402" s="574" t="s">
        <v>2229</v>
      </c>
      <c r="M402" s="574" t="s">
        <v>2230</v>
      </c>
      <c r="N402" s="574" t="s">
        <v>2231</v>
      </c>
      <c r="O402" s="574" t="s">
        <v>2232</v>
      </c>
      <c r="P402" s="574" t="s">
        <v>2233</v>
      </c>
      <c r="Q402" s="574" t="s">
        <v>2234</v>
      </c>
      <c r="R402" s="574" t="s">
        <v>2225</v>
      </c>
      <c r="S402" s="574" t="s">
        <v>2235</v>
      </c>
      <c r="T402" s="574" t="s">
        <v>2236</v>
      </c>
      <c r="U402" s="574" t="s">
        <v>2646</v>
      </c>
      <c r="V402" s="574" t="s">
        <v>2238</v>
      </c>
      <c r="W402" s="574" t="s">
        <v>2239</v>
      </c>
      <c r="X402" s="574" t="s">
        <v>2647</v>
      </c>
      <c r="Y402" s="575" t="s">
        <v>2641</v>
      </c>
      <c r="Z402" s="575" t="s">
        <v>2641</v>
      </c>
      <c r="AA402" s="574" t="s">
        <v>1694</v>
      </c>
      <c r="AB402" s="574" t="s">
        <v>2314</v>
      </c>
      <c r="AC402" s="574" t="s">
        <v>2315</v>
      </c>
      <c r="AD402" s="574" t="s">
        <v>2316</v>
      </c>
      <c r="AE402" s="574" t="s">
        <v>1470</v>
      </c>
      <c r="AF402" s="574" t="s">
        <v>2316</v>
      </c>
      <c r="AG402" s="576">
        <v>49721.73</v>
      </c>
    </row>
    <row r="403" spans="1:33" x14ac:dyDescent="0.25">
      <c r="A403" s="574" t="s">
        <v>2219</v>
      </c>
      <c r="B403" s="574" t="s">
        <v>2220</v>
      </c>
      <c r="C403" s="574" t="s">
        <v>2221</v>
      </c>
      <c r="D403" s="574" t="s">
        <v>2220</v>
      </c>
      <c r="E403" s="574" t="s">
        <v>2222</v>
      </c>
      <c r="F403" s="574" t="s">
        <v>2223</v>
      </c>
      <c r="G403" s="574" t="s">
        <v>2224</v>
      </c>
      <c r="H403" s="574" t="s">
        <v>2225</v>
      </c>
      <c r="I403" s="574" t="s">
        <v>2226</v>
      </c>
      <c r="J403" s="574" t="s">
        <v>2227</v>
      </c>
      <c r="K403" s="574" t="s">
        <v>2228</v>
      </c>
      <c r="L403" s="574" t="s">
        <v>2229</v>
      </c>
      <c r="M403" s="574" t="s">
        <v>2230</v>
      </c>
      <c r="N403" s="574" t="s">
        <v>2231</v>
      </c>
      <c r="O403" s="574" t="s">
        <v>2232</v>
      </c>
      <c r="P403" s="574" t="s">
        <v>2233</v>
      </c>
      <c r="Q403" s="574" t="s">
        <v>2234</v>
      </c>
      <c r="R403" s="574" t="s">
        <v>2225</v>
      </c>
      <c r="S403" s="574" t="s">
        <v>2235</v>
      </c>
      <c r="T403" s="574" t="s">
        <v>2236</v>
      </c>
      <c r="U403" s="574" t="s">
        <v>2396</v>
      </c>
      <c r="V403" s="574" t="s">
        <v>2238</v>
      </c>
      <c r="W403" s="574" t="s">
        <v>2239</v>
      </c>
      <c r="X403" s="574" t="s">
        <v>2397</v>
      </c>
      <c r="Y403" s="575" t="s">
        <v>2372</v>
      </c>
      <c r="Z403" s="575" t="s">
        <v>2372</v>
      </c>
      <c r="AA403" s="574" t="s">
        <v>1694</v>
      </c>
      <c r="AB403" s="574" t="s">
        <v>2314</v>
      </c>
      <c r="AC403" s="574" t="s">
        <v>2398</v>
      </c>
      <c r="AD403" s="574" t="s">
        <v>2399</v>
      </c>
      <c r="AE403" s="574" t="s">
        <v>1431</v>
      </c>
      <c r="AF403" s="574" t="s">
        <v>2399</v>
      </c>
      <c r="AG403" s="576">
        <v>61950</v>
      </c>
    </row>
    <row r="404" spans="1:33" x14ac:dyDescent="0.25">
      <c r="A404" s="574" t="s">
        <v>2219</v>
      </c>
      <c r="B404" s="574" t="s">
        <v>2220</v>
      </c>
      <c r="C404" s="574" t="s">
        <v>2221</v>
      </c>
      <c r="D404" s="574" t="s">
        <v>2220</v>
      </c>
      <c r="E404" s="574" t="s">
        <v>2222</v>
      </c>
      <c r="F404" s="574" t="s">
        <v>2223</v>
      </c>
      <c r="G404" s="574" t="s">
        <v>2224</v>
      </c>
      <c r="H404" s="574" t="s">
        <v>2225</v>
      </c>
      <c r="I404" s="574" t="s">
        <v>2226</v>
      </c>
      <c r="J404" s="574" t="s">
        <v>2227</v>
      </c>
      <c r="K404" s="574" t="s">
        <v>2228</v>
      </c>
      <c r="L404" s="574" t="s">
        <v>2229</v>
      </c>
      <c r="M404" s="574" t="s">
        <v>2230</v>
      </c>
      <c r="N404" s="574" t="s">
        <v>2231</v>
      </c>
      <c r="O404" s="574" t="s">
        <v>2232</v>
      </c>
      <c r="P404" s="574" t="s">
        <v>2233</v>
      </c>
      <c r="Q404" s="574" t="s">
        <v>2234</v>
      </c>
      <c r="R404" s="574" t="s">
        <v>2225</v>
      </c>
      <c r="S404" s="574" t="s">
        <v>2235</v>
      </c>
      <c r="T404" s="574" t="s">
        <v>2236</v>
      </c>
      <c r="U404" s="574" t="s">
        <v>2452</v>
      </c>
      <c r="V404" s="574" t="s">
        <v>2238</v>
      </c>
      <c r="W404" s="574" t="s">
        <v>2239</v>
      </c>
      <c r="X404" s="574" t="s">
        <v>2453</v>
      </c>
      <c r="Y404" s="575" t="s">
        <v>2454</v>
      </c>
      <c r="Z404" s="575" t="s">
        <v>2454</v>
      </c>
      <c r="AA404" s="574" t="s">
        <v>1694</v>
      </c>
      <c r="AB404" s="574" t="s">
        <v>2314</v>
      </c>
      <c r="AC404" s="574" t="s">
        <v>2315</v>
      </c>
      <c r="AD404" s="574" t="s">
        <v>2316</v>
      </c>
      <c r="AE404" s="574" t="s">
        <v>1470</v>
      </c>
      <c r="AF404" s="574" t="s">
        <v>2316</v>
      </c>
      <c r="AG404" s="576">
        <v>80719.08</v>
      </c>
    </row>
    <row r="405" spans="1:33" x14ac:dyDescent="0.25">
      <c r="A405" s="574" t="s">
        <v>2219</v>
      </c>
      <c r="B405" s="574" t="s">
        <v>2220</v>
      </c>
      <c r="C405" s="574" t="s">
        <v>2221</v>
      </c>
      <c r="D405" s="574" t="s">
        <v>2220</v>
      </c>
      <c r="E405" s="574" t="s">
        <v>2222</v>
      </c>
      <c r="F405" s="574" t="s">
        <v>2223</v>
      </c>
      <c r="G405" s="574" t="s">
        <v>2224</v>
      </c>
      <c r="H405" s="574" t="s">
        <v>2225</v>
      </c>
      <c r="I405" s="574" t="s">
        <v>2226</v>
      </c>
      <c r="J405" s="574" t="s">
        <v>2227</v>
      </c>
      <c r="K405" s="574" t="s">
        <v>2228</v>
      </c>
      <c r="L405" s="574" t="s">
        <v>2229</v>
      </c>
      <c r="M405" s="574" t="s">
        <v>2230</v>
      </c>
      <c r="N405" s="574" t="s">
        <v>2231</v>
      </c>
      <c r="O405" s="574" t="s">
        <v>2232</v>
      </c>
      <c r="P405" s="574" t="s">
        <v>2233</v>
      </c>
      <c r="Q405" s="574" t="s">
        <v>2234</v>
      </c>
      <c r="R405" s="574" t="s">
        <v>2225</v>
      </c>
      <c r="S405" s="574" t="s">
        <v>2235</v>
      </c>
      <c r="T405" s="574" t="s">
        <v>2236</v>
      </c>
      <c r="U405" s="574" t="s">
        <v>2547</v>
      </c>
      <c r="V405" s="574" t="s">
        <v>2238</v>
      </c>
      <c r="W405" s="574" t="s">
        <v>2239</v>
      </c>
      <c r="X405" s="574" t="s">
        <v>2548</v>
      </c>
      <c r="Y405" s="575" t="s">
        <v>2543</v>
      </c>
      <c r="Z405" s="575" t="s">
        <v>2543</v>
      </c>
      <c r="AA405" s="574" t="s">
        <v>1694</v>
      </c>
      <c r="AB405" s="574" t="s">
        <v>2314</v>
      </c>
      <c r="AC405" s="574" t="s">
        <v>2398</v>
      </c>
      <c r="AD405" s="574" t="s">
        <v>2399</v>
      </c>
      <c r="AE405" s="574" t="s">
        <v>1431</v>
      </c>
      <c r="AF405" s="574" t="s">
        <v>2399</v>
      </c>
      <c r="AG405" s="576">
        <v>92004.6</v>
      </c>
    </row>
    <row r="406" spans="1:33" x14ac:dyDescent="0.25">
      <c r="A406" s="574" t="s">
        <v>2219</v>
      </c>
      <c r="B406" s="574" t="s">
        <v>2220</v>
      </c>
      <c r="C406" s="574" t="s">
        <v>2221</v>
      </c>
      <c r="D406" s="574" t="s">
        <v>2220</v>
      </c>
      <c r="E406" s="574" t="s">
        <v>2222</v>
      </c>
      <c r="F406" s="574" t="s">
        <v>2223</v>
      </c>
      <c r="G406" s="574" t="s">
        <v>2224</v>
      </c>
      <c r="H406" s="574" t="s">
        <v>2225</v>
      </c>
      <c r="I406" s="574" t="s">
        <v>2226</v>
      </c>
      <c r="J406" s="574" t="s">
        <v>2227</v>
      </c>
      <c r="K406" s="574" t="s">
        <v>2228</v>
      </c>
      <c r="L406" s="574" t="s">
        <v>2229</v>
      </c>
      <c r="M406" s="574" t="s">
        <v>2230</v>
      </c>
      <c r="N406" s="574" t="s">
        <v>2231</v>
      </c>
      <c r="O406" s="574" t="s">
        <v>2232</v>
      </c>
      <c r="P406" s="574" t="s">
        <v>2233</v>
      </c>
      <c r="Q406" s="574" t="s">
        <v>2234</v>
      </c>
      <c r="R406" s="574" t="s">
        <v>2225</v>
      </c>
      <c r="S406" s="574" t="s">
        <v>2235</v>
      </c>
      <c r="T406" s="574" t="s">
        <v>2236</v>
      </c>
      <c r="U406" s="574" t="s">
        <v>2526</v>
      </c>
      <c r="V406" s="574" t="s">
        <v>2238</v>
      </c>
      <c r="W406" s="574" t="s">
        <v>2239</v>
      </c>
      <c r="X406" s="574" t="s">
        <v>2527</v>
      </c>
      <c r="Y406" s="575" t="s">
        <v>2528</v>
      </c>
      <c r="Z406" s="575" t="s">
        <v>2528</v>
      </c>
      <c r="AA406" s="574" t="s">
        <v>1694</v>
      </c>
      <c r="AB406" s="574" t="s">
        <v>2314</v>
      </c>
      <c r="AC406" s="574" t="s">
        <v>2315</v>
      </c>
      <c r="AD406" s="574" t="s">
        <v>2316</v>
      </c>
      <c r="AE406" s="574" t="s">
        <v>1470</v>
      </c>
      <c r="AF406" s="574" t="s">
        <v>2316</v>
      </c>
      <c r="AG406" s="576">
        <v>94400</v>
      </c>
    </row>
    <row r="407" spans="1:33" x14ac:dyDescent="0.25">
      <c r="A407" s="574" t="s">
        <v>2219</v>
      </c>
      <c r="B407" s="574" t="s">
        <v>2220</v>
      </c>
      <c r="C407" s="574" t="s">
        <v>2221</v>
      </c>
      <c r="D407" s="574" t="s">
        <v>2220</v>
      </c>
      <c r="E407" s="574" t="s">
        <v>2222</v>
      </c>
      <c r="F407" s="574" t="s">
        <v>2223</v>
      </c>
      <c r="G407" s="574" t="s">
        <v>2224</v>
      </c>
      <c r="H407" s="574" t="s">
        <v>2225</v>
      </c>
      <c r="I407" s="574" t="s">
        <v>2226</v>
      </c>
      <c r="J407" s="574" t="s">
        <v>2227</v>
      </c>
      <c r="K407" s="574" t="s">
        <v>2228</v>
      </c>
      <c r="L407" s="574" t="s">
        <v>2229</v>
      </c>
      <c r="M407" s="574" t="s">
        <v>2230</v>
      </c>
      <c r="N407" s="574" t="s">
        <v>2231</v>
      </c>
      <c r="O407" s="574" t="s">
        <v>2232</v>
      </c>
      <c r="P407" s="574" t="s">
        <v>2233</v>
      </c>
      <c r="Q407" s="574" t="s">
        <v>2234</v>
      </c>
      <c r="R407" s="574" t="s">
        <v>2225</v>
      </c>
      <c r="S407" s="574" t="s">
        <v>2235</v>
      </c>
      <c r="T407" s="574" t="s">
        <v>2236</v>
      </c>
      <c r="U407" s="574" t="s">
        <v>2416</v>
      </c>
      <c r="V407" s="574" t="s">
        <v>2238</v>
      </c>
      <c r="W407" s="574" t="s">
        <v>2239</v>
      </c>
      <c r="X407" s="574" t="s">
        <v>2417</v>
      </c>
      <c r="Y407" s="575" t="s">
        <v>2415</v>
      </c>
      <c r="Z407" s="575" t="s">
        <v>2415</v>
      </c>
      <c r="AA407" s="574" t="s">
        <v>1694</v>
      </c>
      <c r="AB407" s="574" t="s">
        <v>2314</v>
      </c>
      <c r="AC407" s="574" t="s">
        <v>2418</v>
      </c>
      <c r="AD407" s="574" t="s">
        <v>2419</v>
      </c>
      <c r="AE407" s="574" t="s">
        <v>2420</v>
      </c>
      <c r="AF407" s="574" t="s">
        <v>2421</v>
      </c>
      <c r="AG407" s="576">
        <v>102070</v>
      </c>
    </row>
    <row r="408" spans="1:33" x14ac:dyDescent="0.25">
      <c r="A408" s="574" t="s">
        <v>2219</v>
      </c>
      <c r="B408" s="574" t="s">
        <v>2220</v>
      </c>
      <c r="C408" s="574" t="s">
        <v>2221</v>
      </c>
      <c r="D408" s="574" t="s">
        <v>2220</v>
      </c>
      <c r="E408" s="574" t="s">
        <v>2222</v>
      </c>
      <c r="F408" s="574" t="s">
        <v>2223</v>
      </c>
      <c r="G408" s="574" t="s">
        <v>2224</v>
      </c>
      <c r="H408" s="574" t="s">
        <v>2225</v>
      </c>
      <c r="I408" s="574" t="s">
        <v>3638</v>
      </c>
      <c r="J408" s="574" t="s">
        <v>3639</v>
      </c>
      <c r="K408" s="574" t="s">
        <v>2228</v>
      </c>
      <c r="L408" s="574" t="s">
        <v>2229</v>
      </c>
      <c r="M408" s="574" t="s">
        <v>2230</v>
      </c>
      <c r="N408" s="574" t="s">
        <v>2231</v>
      </c>
      <c r="O408" s="574" t="s">
        <v>2232</v>
      </c>
      <c r="P408" s="574" t="s">
        <v>2233</v>
      </c>
      <c r="Q408" s="574" t="s">
        <v>2234</v>
      </c>
      <c r="R408" s="574" t="s">
        <v>2225</v>
      </c>
      <c r="S408" s="574" t="s">
        <v>2235</v>
      </c>
      <c r="T408" s="574" t="s">
        <v>2236</v>
      </c>
      <c r="U408" s="574" t="s">
        <v>2646</v>
      </c>
      <c r="V408" s="574" t="s">
        <v>2238</v>
      </c>
      <c r="W408" s="574" t="s">
        <v>2239</v>
      </c>
      <c r="X408" s="574" t="s">
        <v>2647</v>
      </c>
      <c r="Y408" s="575" t="s">
        <v>2641</v>
      </c>
      <c r="Z408" s="575" t="s">
        <v>2641</v>
      </c>
      <c r="AA408" s="574" t="s">
        <v>1694</v>
      </c>
      <c r="AB408" s="574" t="s">
        <v>2314</v>
      </c>
      <c r="AC408" s="574" t="s">
        <v>3657</v>
      </c>
      <c r="AD408" s="574" t="s">
        <v>3658</v>
      </c>
      <c r="AE408" s="574" t="s">
        <v>3659</v>
      </c>
      <c r="AF408" s="574" t="s">
        <v>3658</v>
      </c>
      <c r="AG408" s="576">
        <v>124872.68</v>
      </c>
    </row>
    <row r="409" spans="1:33" x14ac:dyDescent="0.25">
      <c r="A409" s="574" t="s">
        <v>2219</v>
      </c>
      <c r="B409" s="574" t="s">
        <v>2220</v>
      </c>
      <c r="C409" s="574" t="s">
        <v>2221</v>
      </c>
      <c r="D409" s="574" t="s">
        <v>2220</v>
      </c>
      <c r="E409" s="574" t="s">
        <v>2222</v>
      </c>
      <c r="F409" s="574" t="s">
        <v>2223</v>
      </c>
      <c r="G409" s="574" t="s">
        <v>2224</v>
      </c>
      <c r="H409" s="574" t="s">
        <v>2225</v>
      </c>
      <c r="I409" s="574" t="s">
        <v>2226</v>
      </c>
      <c r="J409" s="574" t="s">
        <v>2227</v>
      </c>
      <c r="K409" s="574" t="s">
        <v>2228</v>
      </c>
      <c r="L409" s="574" t="s">
        <v>2229</v>
      </c>
      <c r="M409" s="574" t="s">
        <v>2230</v>
      </c>
      <c r="N409" s="574" t="s">
        <v>2231</v>
      </c>
      <c r="O409" s="574" t="s">
        <v>2232</v>
      </c>
      <c r="P409" s="574" t="s">
        <v>2233</v>
      </c>
      <c r="Q409" s="574" t="s">
        <v>2234</v>
      </c>
      <c r="R409" s="574" t="s">
        <v>2225</v>
      </c>
      <c r="S409" s="574" t="s">
        <v>2235</v>
      </c>
      <c r="T409" s="574" t="s">
        <v>2236</v>
      </c>
      <c r="U409" s="574" t="s">
        <v>2547</v>
      </c>
      <c r="V409" s="574" t="s">
        <v>2238</v>
      </c>
      <c r="W409" s="574" t="s">
        <v>2239</v>
      </c>
      <c r="X409" s="574" t="s">
        <v>2548</v>
      </c>
      <c r="Y409" s="575" t="s">
        <v>2543</v>
      </c>
      <c r="Z409" s="575" t="s">
        <v>2543</v>
      </c>
      <c r="AA409" s="574" t="s">
        <v>1694</v>
      </c>
      <c r="AB409" s="574" t="s">
        <v>2314</v>
      </c>
      <c r="AC409" s="574" t="s">
        <v>2315</v>
      </c>
      <c r="AD409" s="574" t="s">
        <v>2316</v>
      </c>
      <c r="AE409" s="574" t="s">
        <v>1470</v>
      </c>
      <c r="AF409" s="574" t="s">
        <v>2316</v>
      </c>
      <c r="AG409" s="576">
        <v>126000.4</v>
      </c>
    </row>
    <row r="410" spans="1:33" x14ac:dyDescent="0.25">
      <c r="A410" s="574" t="s">
        <v>2219</v>
      </c>
      <c r="B410" s="574" t="s">
        <v>2220</v>
      </c>
      <c r="C410" s="574" t="s">
        <v>2221</v>
      </c>
      <c r="D410" s="574" t="s">
        <v>2220</v>
      </c>
      <c r="E410" s="574" t="s">
        <v>2222</v>
      </c>
      <c r="F410" s="574" t="s">
        <v>2223</v>
      </c>
      <c r="G410" s="574" t="s">
        <v>2224</v>
      </c>
      <c r="H410" s="574" t="s">
        <v>2225</v>
      </c>
      <c r="I410" s="574" t="s">
        <v>2226</v>
      </c>
      <c r="J410" s="574" t="s">
        <v>2227</v>
      </c>
      <c r="K410" s="574" t="s">
        <v>2228</v>
      </c>
      <c r="L410" s="574" t="s">
        <v>2229</v>
      </c>
      <c r="M410" s="574" t="s">
        <v>2230</v>
      </c>
      <c r="N410" s="574" t="s">
        <v>2231</v>
      </c>
      <c r="O410" s="574" t="s">
        <v>2232</v>
      </c>
      <c r="P410" s="574" t="s">
        <v>2233</v>
      </c>
      <c r="Q410" s="574" t="s">
        <v>2234</v>
      </c>
      <c r="R410" s="574" t="s">
        <v>2225</v>
      </c>
      <c r="S410" s="574" t="s">
        <v>2235</v>
      </c>
      <c r="T410" s="574" t="s">
        <v>2236</v>
      </c>
      <c r="U410" s="574" t="s">
        <v>2622</v>
      </c>
      <c r="V410" s="574" t="s">
        <v>2238</v>
      </c>
      <c r="W410" s="574" t="s">
        <v>2239</v>
      </c>
      <c r="X410" s="574" t="s">
        <v>2623</v>
      </c>
      <c r="Y410" s="575" t="s">
        <v>2599</v>
      </c>
      <c r="Z410" s="575" t="s">
        <v>2599</v>
      </c>
      <c r="AA410" s="574" t="s">
        <v>1694</v>
      </c>
      <c r="AB410" s="574" t="s">
        <v>2314</v>
      </c>
      <c r="AC410" s="574" t="s">
        <v>2398</v>
      </c>
      <c r="AD410" s="574" t="s">
        <v>2399</v>
      </c>
      <c r="AE410" s="574" t="s">
        <v>1431</v>
      </c>
      <c r="AF410" s="574" t="s">
        <v>2399</v>
      </c>
      <c r="AG410" s="576">
        <v>149956.29999999999</v>
      </c>
    </row>
    <row r="411" spans="1:33" x14ac:dyDescent="0.25">
      <c r="A411" s="574" t="s">
        <v>2219</v>
      </c>
      <c r="B411" s="574" t="s">
        <v>2220</v>
      </c>
      <c r="C411" s="574" t="s">
        <v>2221</v>
      </c>
      <c r="D411" s="574" t="s">
        <v>2220</v>
      </c>
      <c r="E411" s="574" t="s">
        <v>2222</v>
      </c>
      <c r="F411" s="574" t="s">
        <v>2223</v>
      </c>
      <c r="G411" s="574" t="s">
        <v>2224</v>
      </c>
      <c r="H411" s="574" t="s">
        <v>2225</v>
      </c>
      <c r="I411" s="574" t="s">
        <v>2226</v>
      </c>
      <c r="J411" s="574" t="s">
        <v>2227</v>
      </c>
      <c r="K411" s="574" t="s">
        <v>2228</v>
      </c>
      <c r="L411" s="574" t="s">
        <v>2229</v>
      </c>
      <c r="M411" s="574" t="s">
        <v>2230</v>
      </c>
      <c r="N411" s="574" t="s">
        <v>2231</v>
      </c>
      <c r="O411" s="574" t="s">
        <v>2232</v>
      </c>
      <c r="P411" s="574" t="s">
        <v>2233</v>
      </c>
      <c r="Q411" s="574" t="s">
        <v>2234</v>
      </c>
      <c r="R411" s="574" t="s">
        <v>2225</v>
      </c>
      <c r="S411" s="574" t="s">
        <v>2235</v>
      </c>
      <c r="T411" s="574" t="s">
        <v>2236</v>
      </c>
      <c r="U411" s="574" t="s">
        <v>2594</v>
      </c>
      <c r="V411" s="574" t="s">
        <v>2238</v>
      </c>
      <c r="W411" s="574" t="s">
        <v>2239</v>
      </c>
      <c r="X411" s="574" t="s">
        <v>2595</v>
      </c>
      <c r="Y411" s="575" t="s">
        <v>2596</v>
      </c>
      <c r="Z411" s="575" t="s">
        <v>2596</v>
      </c>
      <c r="AA411" s="574" t="s">
        <v>1694</v>
      </c>
      <c r="AB411" s="574" t="s">
        <v>2314</v>
      </c>
      <c r="AC411" s="574" t="s">
        <v>2385</v>
      </c>
      <c r="AD411" s="574" t="s">
        <v>2386</v>
      </c>
      <c r="AE411" s="574" t="s">
        <v>2387</v>
      </c>
      <c r="AF411" s="574" t="s">
        <v>2386</v>
      </c>
      <c r="AG411" s="576">
        <v>153282</v>
      </c>
    </row>
    <row r="412" spans="1:33" x14ac:dyDescent="0.25">
      <c r="A412" s="574" t="s">
        <v>2219</v>
      </c>
      <c r="B412" s="574" t="s">
        <v>2220</v>
      </c>
      <c r="C412" s="574" t="s">
        <v>2221</v>
      </c>
      <c r="D412" s="574" t="s">
        <v>2220</v>
      </c>
      <c r="E412" s="574" t="s">
        <v>2222</v>
      </c>
      <c r="F412" s="574" t="s">
        <v>2223</v>
      </c>
      <c r="G412" s="574" t="s">
        <v>2224</v>
      </c>
      <c r="H412" s="574" t="s">
        <v>2225</v>
      </c>
      <c r="I412" s="574" t="s">
        <v>2226</v>
      </c>
      <c r="J412" s="574" t="s">
        <v>2227</v>
      </c>
      <c r="K412" s="574" t="s">
        <v>2228</v>
      </c>
      <c r="L412" s="574" t="s">
        <v>2229</v>
      </c>
      <c r="M412" s="574" t="s">
        <v>2230</v>
      </c>
      <c r="N412" s="574" t="s">
        <v>2231</v>
      </c>
      <c r="O412" s="574" t="s">
        <v>2232</v>
      </c>
      <c r="P412" s="574" t="s">
        <v>2233</v>
      </c>
      <c r="Q412" s="574" t="s">
        <v>2234</v>
      </c>
      <c r="R412" s="574" t="s">
        <v>2225</v>
      </c>
      <c r="S412" s="574" t="s">
        <v>2235</v>
      </c>
      <c r="T412" s="574" t="s">
        <v>2236</v>
      </c>
      <c r="U412" s="574" t="s">
        <v>2482</v>
      </c>
      <c r="V412" s="574" t="s">
        <v>2238</v>
      </c>
      <c r="W412" s="574" t="s">
        <v>2239</v>
      </c>
      <c r="X412" s="574" t="s">
        <v>2483</v>
      </c>
      <c r="Y412" s="575" t="s">
        <v>2484</v>
      </c>
      <c r="Z412" s="575" t="s">
        <v>2484</v>
      </c>
      <c r="AA412" s="574" t="s">
        <v>1694</v>
      </c>
      <c r="AB412" s="574" t="s">
        <v>2314</v>
      </c>
      <c r="AC412" s="574" t="s">
        <v>2315</v>
      </c>
      <c r="AD412" s="574" t="s">
        <v>2316</v>
      </c>
      <c r="AE412" s="574" t="s">
        <v>1470</v>
      </c>
      <c r="AF412" s="574" t="s">
        <v>2316</v>
      </c>
      <c r="AG412" s="576">
        <v>153395.56</v>
      </c>
    </row>
    <row r="413" spans="1:33" x14ac:dyDescent="0.25">
      <c r="A413" s="574" t="s">
        <v>2219</v>
      </c>
      <c r="B413" s="574" t="s">
        <v>2220</v>
      </c>
      <c r="C413" s="574" t="s">
        <v>2221</v>
      </c>
      <c r="D413" s="574" t="s">
        <v>2220</v>
      </c>
      <c r="E413" s="574" t="s">
        <v>2222</v>
      </c>
      <c r="F413" s="574" t="s">
        <v>2223</v>
      </c>
      <c r="G413" s="574" t="s">
        <v>2224</v>
      </c>
      <c r="H413" s="574" t="s">
        <v>2225</v>
      </c>
      <c r="I413" s="574" t="s">
        <v>2226</v>
      </c>
      <c r="J413" s="574" t="s">
        <v>2227</v>
      </c>
      <c r="K413" s="574" t="s">
        <v>2228</v>
      </c>
      <c r="L413" s="574" t="s">
        <v>2229</v>
      </c>
      <c r="M413" s="574" t="s">
        <v>2230</v>
      </c>
      <c r="N413" s="574" t="s">
        <v>2231</v>
      </c>
      <c r="O413" s="574" t="s">
        <v>2232</v>
      </c>
      <c r="P413" s="574" t="s">
        <v>2233</v>
      </c>
      <c r="Q413" s="574" t="s">
        <v>2234</v>
      </c>
      <c r="R413" s="574" t="s">
        <v>2225</v>
      </c>
      <c r="S413" s="574" t="s">
        <v>2235</v>
      </c>
      <c r="T413" s="574" t="s">
        <v>2236</v>
      </c>
      <c r="U413" s="574" t="s">
        <v>2425</v>
      </c>
      <c r="V413" s="574" t="s">
        <v>2238</v>
      </c>
      <c r="W413" s="574" t="s">
        <v>2239</v>
      </c>
      <c r="X413" s="574" t="s">
        <v>2426</v>
      </c>
      <c r="Y413" s="575" t="s">
        <v>2424</v>
      </c>
      <c r="Z413" s="575" t="s">
        <v>2424</v>
      </c>
      <c r="AA413" s="574" t="s">
        <v>1694</v>
      </c>
      <c r="AB413" s="574" t="s">
        <v>2314</v>
      </c>
      <c r="AC413" s="574" t="s">
        <v>2315</v>
      </c>
      <c r="AD413" s="574" t="s">
        <v>2316</v>
      </c>
      <c r="AE413" s="574" t="s">
        <v>1470</v>
      </c>
      <c r="AF413" s="574" t="s">
        <v>2316</v>
      </c>
      <c r="AG413" s="576">
        <v>156350</v>
      </c>
    </row>
    <row r="414" spans="1:33" x14ac:dyDescent="0.25">
      <c r="A414" s="574" t="s">
        <v>2219</v>
      </c>
      <c r="B414" s="574" t="s">
        <v>2220</v>
      </c>
      <c r="C414" s="574" t="s">
        <v>2221</v>
      </c>
      <c r="D414" s="574" t="s">
        <v>2220</v>
      </c>
      <c r="E414" s="574" t="s">
        <v>2222</v>
      </c>
      <c r="F414" s="574" t="s">
        <v>2223</v>
      </c>
      <c r="G414" s="574" t="s">
        <v>2224</v>
      </c>
      <c r="H414" s="574" t="s">
        <v>2225</v>
      </c>
      <c r="I414" s="574" t="s">
        <v>2226</v>
      </c>
      <c r="J414" s="574" t="s">
        <v>2227</v>
      </c>
      <c r="K414" s="574" t="s">
        <v>2228</v>
      </c>
      <c r="L414" s="574" t="s">
        <v>2229</v>
      </c>
      <c r="M414" s="574" t="s">
        <v>2230</v>
      </c>
      <c r="N414" s="574" t="s">
        <v>2231</v>
      </c>
      <c r="O414" s="574" t="s">
        <v>2232</v>
      </c>
      <c r="P414" s="574" t="s">
        <v>2233</v>
      </c>
      <c r="Q414" s="574" t="s">
        <v>2234</v>
      </c>
      <c r="R414" s="574" t="s">
        <v>2225</v>
      </c>
      <c r="S414" s="574" t="s">
        <v>2235</v>
      </c>
      <c r="T414" s="574" t="s">
        <v>2236</v>
      </c>
      <c r="U414" s="574" t="s">
        <v>2508</v>
      </c>
      <c r="V414" s="574" t="s">
        <v>2238</v>
      </c>
      <c r="W414" s="574" t="s">
        <v>2239</v>
      </c>
      <c r="X414" s="574" t="s">
        <v>2509</v>
      </c>
      <c r="Y414" s="575" t="s">
        <v>2507</v>
      </c>
      <c r="Z414" s="575" t="s">
        <v>2507</v>
      </c>
      <c r="AA414" s="574" t="s">
        <v>1694</v>
      </c>
      <c r="AB414" s="574" t="s">
        <v>2314</v>
      </c>
      <c r="AC414" s="574" t="s">
        <v>2418</v>
      </c>
      <c r="AD414" s="574" t="s">
        <v>2419</v>
      </c>
      <c r="AE414" s="574" t="s">
        <v>2420</v>
      </c>
      <c r="AF414" s="574" t="s">
        <v>2421</v>
      </c>
      <c r="AG414" s="576">
        <v>182267.51999999999</v>
      </c>
    </row>
    <row r="415" spans="1:33" x14ac:dyDescent="0.25">
      <c r="A415" s="574" t="s">
        <v>2219</v>
      </c>
      <c r="B415" s="574" t="s">
        <v>2220</v>
      </c>
      <c r="C415" s="574" t="s">
        <v>2221</v>
      </c>
      <c r="D415" s="574" t="s">
        <v>2220</v>
      </c>
      <c r="E415" s="574" t="s">
        <v>2222</v>
      </c>
      <c r="F415" s="574" t="s">
        <v>2223</v>
      </c>
      <c r="G415" s="574" t="s">
        <v>2224</v>
      </c>
      <c r="H415" s="574" t="s">
        <v>2225</v>
      </c>
      <c r="I415" s="574" t="s">
        <v>2226</v>
      </c>
      <c r="J415" s="574" t="s">
        <v>2227</v>
      </c>
      <c r="K415" s="574" t="s">
        <v>2228</v>
      </c>
      <c r="L415" s="574" t="s">
        <v>2229</v>
      </c>
      <c r="M415" s="574" t="s">
        <v>2230</v>
      </c>
      <c r="N415" s="574" t="s">
        <v>2231</v>
      </c>
      <c r="O415" s="574" t="s">
        <v>2232</v>
      </c>
      <c r="P415" s="574" t="s">
        <v>2233</v>
      </c>
      <c r="Q415" s="574" t="s">
        <v>2234</v>
      </c>
      <c r="R415" s="574" t="s">
        <v>2225</v>
      </c>
      <c r="S415" s="574" t="s">
        <v>2235</v>
      </c>
      <c r="T415" s="574" t="s">
        <v>2236</v>
      </c>
      <c r="U415" s="574" t="s">
        <v>2312</v>
      </c>
      <c r="V415" s="574" t="s">
        <v>2238</v>
      </c>
      <c r="W415" s="574" t="s">
        <v>2239</v>
      </c>
      <c r="X415" s="574" t="s">
        <v>2313</v>
      </c>
      <c r="Y415" s="575" t="s">
        <v>2306</v>
      </c>
      <c r="Z415" s="575" t="s">
        <v>2306</v>
      </c>
      <c r="AA415" s="574" t="s">
        <v>1694</v>
      </c>
      <c r="AB415" s="574" t="s">
        <v>2314</v>
      </c>
      <c r="AC415" s="574" t="s">
        <v>2315</v>
      </c>
      <c r="AD415" s="574" t="s">
        <v>2316</v>
      </c>
      <c r="AE415" s="574" t="s">
        <v>1470</v>
      </c>
      <c r="AF415" s="574" t="s">
        <v>2316</v>
      </c>
      <c r="AG415" s="576">
        <v>182900</v>
      </c>
    </row>
    <row r="416" spans="1:33" x14ac:dyDescent="0.25">
      <c r="A416" s="574" t="s">
        <v>2219</v>
      </c>
      <c r="B416" s="574" t="s">
        <v>2220</v>
      </c>
      <c r="C416" s="574" t="s">
        <v>2221</v>
      </c>
      <c r="D416" s="574" t="s">
        <v>2220</v>
      </c>
      <c r="E416" s="574" t="s">
        <v>2222</v>
      </c>
      <c r="F416" s="574" t="s">
        <v>2223</v>
      </c>
      <c r="G416" s="574" t="s">
        <v>2224</v>
      </c>
      <c r="H416" s="574" t="s">
        <v>2225</v>
      </c>
      <c r="I416" s="574" t="s">
        <v>2226</v>
      </c>
      <c r="J416" s="574" t="s">
        <v>2227</v>
      </c>
      <c r="K416" s="574" t="s">
        <v>2228</v>
      </c>
      <c r="L416" s="574" t="s">
        <v>2229</v>
      </c>
      <c r="M416" s="574" t="s">
        <v>2230</v>
      </c>
      <c r="N416" s="574" t="s">
        <v>2231</v>
      </c>
      <c r="O416" s="574" t="s">
        <v>2232</v>
      </c>
      <c r="P416" s="574" t="s">
        <v>2233</v>
      </c>
      <c r="Q416" s="574" t="s">
        <v>2234</v>
      </c>
      <c r="R416" s="574" t="s">
        <v>2225</v>
      </c>
      <c r="S416" s="574" t="s">
        <v>2235</v>
      </c>
      <c r="T416" s="574" t="s">
        <v>2236</v>
      </c>
      <c r="U416" s="574" t="s">
        <v>2383</v>
      </c>
      <c r="V416" s="574" t="s">
        <v>2238</v>
      </c>
      <c r="W416" s="574" t="s">
        <v>2239</v>
      </c>
      <c r="X416" s="574" t="s">
        <v>2384</v>
      </c>
      <c r="Y416" s="575" t="s">
        <v>2372</v>
      </c>
      <c r="Z416" s="575" t="s">
        <v>2372</v>
      </c>
      <c r="AA416" s="574" t="s">
        <v>1694</v>
      </c>
      <c r="AB416" s="574" t="s">
        <v>2314</v>
      </c>
      <c r="AC416" s="574" t="s">
        <v>2385</v>
      </c>
      <c r="AD416" s="574" t="s">
        <v>2386</v>
      </c>
      <c r="AE416" s="574" t="s">
        <v>2387</v>
      </c>
      <c r="AF416" s="574" t="s">
        <v>2386</v>
      </c>
      <c r="AG416" s="576">
        <v>219008</v>
      </c>
    </row>
    <row r="417" spans="1:33" x14ac:dyDescent="0.25">
      <c r="A417" s="574" t="s">
        <v>2219</v>
      </c>
      <c r="B417" s="574" t="s">
        <v>2220</v>
      </c>
      <c r="C417" s="574" t="s">
        <v>2221</v>
      </c>
      <c r="D417" s="574" t="s">
        <v>2220</v>
      </c>
      <c r="E417" s="574" t="s">
        <v>2222</v>
      </c>
      <c r="F417" s="574" t="s">
        <v>2223</v>
      </c>
      <c r="G417" s="574" t="s">
        <v>2224</v>
      </c>
      <c r="H417" s="574" t="s">
        <v>2225</v>
      </c>
      <c r="I417" s="574" t="s">
        <v>2226</v>
      </c>
      <c r="J417" s="574" t="s">
        <v>2227</v>
      </c>
      <c r="K417" s="574" t="s">
        <v>2228</v>
      </c>
      <c r="L417" s="574" t="s">
        <v>2229</v>
      </c>
      <c r="M417" s="574" t="s">
        <v>2230</v>
      </c>
      <c r="N417" s="574" t="s">
        <v>2231</v>
      </c>
      <c r="O417" s="574" t="s">
        <v>2232</v>
      </c>
      <c r="P417" s="574" t="s">
        <v>2233</v>
      </c>
      <c r="Q417" s="574" t="s">
        <v>2234</v>
      </c>
      <c r="R417" s="574" t="s">
        <v>2225</v>
      </c>
      <c r="S417" s="574" t="s">
        <v>2235</v>
      </c>
      <c r="T417" s="574" t="s">
        <v>2236</v>
      </c>
      <c r="U417" s="574" t="s">
        <v>2594</v>
      </c>
      <c r="V417" s="574" t="s">
        <v>2238</v>
      </c>
      <c r="W417" s="574" t="s">
        <v>2239</v>
      </c>
      <c r="X417" s="574" t="s">
        <v>2595</v>
      </c>
      <c r="Y417" s="575" t="s">
        <v>2596</v>
      </c>
      <c r="Z417" s="575" t="s">
        <v>2596</v>
      </c>
      <c r="AA417" s="574" t="s">
        <v>1694</v>
      </c>
      <c r="AB417" s="574" t="s">
        <v>2314</v>
      </c>
      <c r="AC417" s="574" t="s">
        <v>2315</v>
      </c>
      <c r="AD417" s="574" t="s">
        <v>2316</v>
      </c>
      <c r="AE417" s="574" t="s">
        <v>1470</v>
      </c>
      <c r="AF417" s="574" t="s">
        <v>2316</v>
      </c>
      <c r="AG417" s="576">
        <v>243906</v>
      </c>
    </row>
    <row r="418" spans="1:33" x14ac:dyDescent="0.25">
      <c r="A418" s="574" t="s">
        <v>2219</v>
      </c>
      <c r="B418" s="574" t="s">
        <v>2220</v>
      </c>
      <c r="C418" s="574" t="s">
        <v>2221</v>
      </c>
      <c r="D418" s="574" t="s">
        <v>2220</v>
      </c>
      <c r="E418" s="574" t="s">
        <v>2222</v>
      </c>
      <c r="F418" s="574" t="s">
        <v>2223</v>
      </c>
      <c r="G418" s="574" t="s">
        <v>2224</v>
      </c>
      <c r="H418" s="574" t="s">
        <v>2225</v>
      </c>
      <c r="I418" s="574" t="s">
        <v>2226</v>
      </c>
      <c r="J418" s="574" t="s">
        <v>2227</v>
      </c>
      <c r="K418" s="574" t="s">
        <v>2228</v>
      </c>
      <c r="L418" s="574" t="s">
        <v>2229</v>
      </c>
      <c r="M418" s="574" t="s">
        <v>2230</v>
      </c>
      <c r="N418" s="574" t="s">
        <v>2231</v>
      </c>
      <c r="O418" s="574" t="s">
        <v>2232</v>
      </c>
      <c r="P418" s="574" t="s">
        <v>2233</v>
      </c>
      <c r="Q418" s="574" t="s">
        <v>2234</v>
      </c>
      <c r="R418" s="574" t="s">
        <v>2225</v>
      </c>
      <c r="S418" s="574" t="s">
        <v>2235</v>
      </c>
      <c r="T418" s="574" t="s">
        <v>2236</v>
      </c>
      <c r="U418" s="574" t="s">
        <v>2416</v>
      </c>
      <c r="V418" s="574" t="s">
        <v>2238</v>
      </c>
      <c r="W418" s="574" t="s">
        <v>2239</v>
      </c>
      <c r="X418" s="574" t="s">
        <v>2417</v>
      </c>
      <c r="Y418" s="575" t="s">
        <v>2415</v>
      </c>
      <c r="Z418" s="575" t="s">
        <v>2415</v>
      </c>
      <c r="AA418" s="574" t="s">
        <v>1694</v>
      </c>
      <c r="AB418" s="574" t="s">
        <v>2314</v>
      </c>
      <c r="AC418" s="574" t="s">
        <v>2315</v>
      </c>
      <c r="AD418" s="574" t="s">
        <v>2316</v>
      </c>
      <c r="AE418" s="574" t="s">
        <v>1470</v>
      </c>
      <c r="AF418" s="574" t="s">
        <v>2316</v>
      </c>
      <c r="AG418" s="576">
        <v>461911</v>
      </c>
    </row>
    <row r="419" spans="1:33" x14ac:dyDescent="0.25">
      <c r="A419" s="574" t="s">
        <v>2219</v>
      </c>
      <c r="B419" s="574" t="s">
        <v>2220</v>
      </c>
      <c r="C419" s="574" t="s">
        <v>2221</v>
      </c>
      <c r="D419" s="574" t="s">
        <v>2220</v>
      </c>
      <c r="E419" s="574" t="s">
        <v>2222</v>
      </c>
      <c r="F419" s="574" t="s">
        <v>2223</v>
      </c>
      <c r="G419" s="574" t="s">
        <v>2224</v>
      </c>
      <c r="H419" s="574" t="s">
        <v>2225</v>
      </c>
      <c r="I419" s="574" t="s">
        <v>2226</v>
      </c>
      <c r="J419" s="574" t="s">
        <v>2227</v>
      </c>
      <c r="K419" s="574" t="s">
        <v>2228</v>
      </c>
      <c r="L419" s="574" t="s">
        <v>2229</v>
      </c>
      <c r="M419" s="574" t="s">
        <v>2230</v>
      </c>
      <c r="N419" s="574" t="s">
        <v>2231</v>
      </c>
      <c r="O419" s="574" t="s">
        <v>2232</v>
      </c>
      <c r="P419" s="574" t="s">
        <v>2233</v>
      </c>
      <c r="Q419" s="574" t="s">
        <v>2234</v>
      </c>
      <c r="R419" s="574" t="s">
        <v>2225</v>
      </c>
      <c r="S419" s="574" t="s">
        <v>2235</v>
      </c>
      <c r="T419" s="574" t="s">
        <v>2236</v>
      </c>
      <c r="U419" s="574" t="s">
        <v>2377</v>
      </c>
      <c r="V419" s="574" t="s">
        <v>2238</v>
      </c>
      <c r="W419" s="574" t="s">
        <v>2239</v>
      </c>
      <c r="X419" s="574" t="s">
        <v>2378</v>
      </c>
      <c r="Y419" s="575" t="s">
        <v>2372</v>
      </c>
      <c r="Z419" s="575" t="s">
        <v>2372</v>
      </c>
      <c r="AA419" s="574" t="s">
        <v>1694</v>
      </c>
      <c r="AB419" s="574" t="s">
        <v>2314</v>
      </c>
      <c r="AC419" s="574" t="s">
        <v>2315</v>
      </c>
      <c r="AD419" s="574" t="s">
        <v>2316</v>
      </c>
      <c r="AE419" s="574" t="s">
        <v>1470</v>
      </c>
      <c r="AF419" s="574" t="s">
        <v>2316</v>
      </c>
      <c r="AG419" s="576">
        <v>632940.19999999995</v>
      </c>
    </row>
    <row r="420" spans="1:33" x14ac:dyDescent="0.25">
      <c r="A420" s="574" t="s">
        <v>2219</v>
      </c>
      <c r="B420" s="574" t="s">
        <v>2220</v>
      </c>
      <c r="C420" s="574" t="s">
        <v>2221</v>
      </c>
      <c r="D420" s="574" t="s">
        <v>2220</v>
      </c>
      <c r="E420" s="574" t="s">
        <v>2222</v>
      </c>
      <c r="F420" s="574" t="s">
        <v>2223</v>
      </c>
      <c r="G420" s="574" t="s">
        <v>2224</v>
      </c>
      <c r="H420" s="574" t="s">
        <v>2225</v>
      </c>
      <c r="I420" s="574" t="s">
        <v>2226</v>
      </c>
      <c r="J420" s="574" t="s">
        <v>2227</v>
      </c>
      <c r="K420" s="574" t="s">
        <v>2228</v>
      </c>
      <c r="L420" s="574" t="s">
        <v>2229</v>
      </c>
      <c r="M420" s="574" t="s">
        <v>2230</v>
      </c>
      <c r="N420" s="574" t="s">
        <v>2231</v>
      </c>
      <c r="O420" s="574" t="s">
        <v>2232</v>
      </c>
      <c r="P420" s="574" t="s">
        <v>2233</v>
      </c>
      <c r="Q420" s="574" t="s">
        <v>2234</v>
      </c>
      <c r="R420" s="574" t="s">
        <v>2225</v>
      </c>
      <c r="S420" s="574" t="s">
        <v>2235</v>
      </c>
      <c r="T420" s="574" t="s">
        <v>2236</v>
      </c>
      <c r="U420" s="574" t="s">
        <v>2549</v>
      </c>
      <c r="V420" s="574" t="s">
        <v>2238</v>
      </c>
      <c r="W420" s="574" t="s">
        <v>2239</v>
      </c>
      <c r="X420" s="574" t="s">
        <v>2550</v>
      </c>
      <c r="Y420" s="575" t="s">
        <v>2543</v>
      </c>
      <c r="Z420" s="575" t="s">
        <v>2543</v>
      </c>
      <c r="AA420" s="574" t="s">
        <v>1695</v>
      </c>
      <c r="AB420" s="574" t="s">
        <v>2337</v>
      </c>
      <c r="AC420" s="574" t="s">
        <v>2544</v>
      </c>
      <c r="AD420" s="574" t="s">
        <v>2545</v>
      </c>
      <c r="AE420" s="574" t="s">
        <v>2546</v>
      </c>
      <c r="AF420" s="574" t="s">
        <v>2545</v>
      </c>
      <c r="AG420" s="576">
        <v>23010</v>
      </c>
    </row>
    <row r="421" spans="1:33" x14ac:dyDescent="0.25">
      <c r="A421" s="574" t="s">
        <v>2219</v>
      </c>
      <c r="B421" s="574" t="s">
        <v>2220</v>
      </c>
      <c r="C421" s="574" t="s">
        <v>2221</v>
      </c>
      <c r="D421" s="574" t="s">
        <v>2220</v>
      </c>
      <c r="E421" s="574" t="s">
        <v>2222</v>
      </c>
      <c r="F421" s="574" t="s">
        <v>2223</v>
      </c>
      <c r="G421" s="574" t="s">
        <v>2224</v>
      </c>
      <c r="H421" s="574" t="s">
        <v>2225</v>
      </c>
      <c r="I421" s="574" t="s">
        <v>2226</v>
      </c>
      <c r="J421" s="574" t="s">
        <v>2227</v>
      </c>
      <c r="K421" s="574" t="s">
        <v>2228</v>
      </c>
      <c r="L421" s="574" t="s">
        <v>2229</v>
      </c>
      <c r="M421" s="574" t="s">
        <v>2230</v>
      </c>
      <c r="N421" s="574" t="s">
        <v>2231</v>
      </c>
      <c r="O421" s="574" t="s">
        <v>2232</v>
      </c>
      <c r="P421" s="574" t="s">
        <v>2233</v>
      </c>
      <c r="Q421" s="574" t="s">
        <v>2234</v>
      </c>
      <c r="R421" s="574" t="s">
        <v>2225</v>
      </c>
      <c r="S421" s="574" t="s">
        <v>2235</v>
      </c>
      <c r="T421" s="574" t="s">
        <v>2236</v>
      </c>
      <c r="U421" s="574" t="s">
        <v>2499</v>
      </c>
      <c r="V421" s="574" t="s">
        <v>2238</v>
      </c>
      <c r="W421" s="574" t="s">
        <v>2239</v>
      </c>
      <c r="X421" s="574" t="s">
        <v>2500</v>
      </c>
      <c r="Y421" s="575" t="s">
        <v>2501</v>
      </c>
      <c r="Z421" s="575" t="s">
        <v>2501</v>
      </c>
      <c r="AA421" s="574" t="s">
        <v>1695</v>
      </c>
      <c r="AB421" s="574" t="s">
        <v>2337</v>
      </c>
      <c r="AC421" s="574" t="s">
        <v>2338</v>
      </c>
      <c r="AD421" s="574" t="s">
        <v>2339</v>
      </c>
      <c r="AE421" s="574" t="s">
        <v>1436</v>
      </c>
      <c r="AF421" s="574" t="s">
        <v>2339</v>
      </c>
      <c r="AG421" s="576">
        <v>32544.400000000001</v>
      </c>
    </row>
    <row r="422" spans="1:33" x14ac:dyDescent="0.25">
      <c r="A422" s="574" t="s">
        <v>2219</v>
      </c>
      <c r="B422" s="574" t="s">
        <v>2220</v>
      </c>
      <c r="C422" s="574" t="s">
        <v>2221</v>
      </c>
      <c r="D422" s="574" t="s">
        <v>2220</v>
      </c>
      <c r="E422" s="574" t="s">
        <v>2222</v>
      </c>
      <c r="F422" s="574" t="s">
        <v>2223</v>
      </c>
      <c r="G422" s="574" t="s">
        <v>2224</v>
      </c>
      <c r="H422" s="574" t="s">
        <v>2225</v>
      </c>
      <c r="I422" s="574" t="s">
        <v>3638</v>
      </c>
      <c r="J422" s="574" t="s">
        <v>3639</v>
      </c>
      <c r="K422" s="574" t="s">
        <v>2228</v>
      </c>
      <c r="L422" s="574" t="s">
        <v>2229</v>
      </c>
      <c r="M422" s="574" t="s">
        <v>2230</v>
      </c>
      <c r="N422" s="574" t="s">
        <v>2231</v>
      </c>
      <c r="O422" s="574" t="s">
        <v>2232</v>
      </c>
      <c r="P422" s="574" t="s">
        <v>2233</v>
      </c>
      <c r="Q422" s="574" t="s">
        <v>2234</v>
      </c>
      <c r="R422" s="574" t="s">
        <v>2225</v>
      </c>
      <c r="S422" s="574" t="s">
        <v>2235</v>
      </c>
      <c r="T422" s="574" t="s">
        <v>2236</v>
      </c>
      <c r="U422" s="574" t="s">
        <v>3644</v>
      </c>
      <c r="V422" s="574" t="s">
        <v>2238</v>
      </c>
      <c r="W422" s="574" t="s">
        <v>2239</v>
      </c>
      <c r="X422" s="574" t="s">
        <v>3645</v>
      </c>
      <c r="Y422" s="575" t="s">
        <v>2491</v>
      </c>
      <c r="Z422" s="575" t="s">
        <v>2491</v>
      </c>
      <c r="AA422" s="574" t="s">
        <v>1695</v>
      </c>
      <c r="AB422" s="574" t="s">
        <v>2337</v>
      </c>
      <c r="AC422" s="574" t="s">
        <v>2338</v>
      </c>
      <c r="AD422" s="574" t="s">
        <v>2339</v>
      </c>
      <c r="AE422" s="574" t="s">
        <v>1436</v>
      </c>
      <c r="AF422" s="574" t="s">
        <v>2339</v>
      </c>
      <c r="AG422" s="576">
        <v>32656.5</v>
      </c>
    </row>
    <row r="423" spans="1:33" x14ac:dyDescent="0.25">
      <c r="A423" s="574" t="s">
        <v>2219</v>
      </c>
      <c r="B423" s="574" t="s">
        <v>2220</v>
      </c>
      <c r="C423" s="574" t="s">
        <v>2221</v>
      </c>
      <c r="D423" s="574" t="s">
        <v>2220</v>
      </c>
      <c r="E423" s="574" t="s">
        <v>2222</v>
      </c>
      <c r="F423" s="574" t="s">
        <v>2223</v>
      </c>
      <c r="G423" s="574" t="s">
        <v>2224</v>
      </c>
      <c r="H423" s="574" t="s">
        <v>2225</v>
      </c>
      <c r="I423" s="574" t="s">
        <v>2226</v>
      </c>
      <c r="J423" s="574" t="s">
        <v>2227</v>
      </c>
      <c r="K423" s="574" t="s">
        <v>2228</v>
      </c>
      <c r="L423" s="574" t="s">
        <v>2229</v>
      </c>
      <c r="M423" s="574" t="s">
        <v>2230</v>
      </c>
      <c r="N423" s="574" t="s">
        <v>2231</v>
      </c>
      <c r="O423" s="574" t="s">
        <v>2232</v>
      </c>
      <c r="P423" s="574" t="s">
        <v>2233</v>
      </c>
      <c r="Q423" s="574" t="s">
        <v>2234</v>
      </c>
      <c r="R423" s="574" t="s">
        <v>2225</v>
      </c>
      <c r="S423" s="574" t="s">
        <v>2235</v>
      </c>
      <c r="T423" s="574" t="s">
        <v>2236</v>
      </c>
      <c r="U423" s="574" t="s">
        <v>2574</v>
      </c>
      <c r="V423" s="574" t="s">
        <v>2238</v>
      </c>
      <c r="W423" s="574" t="s">
        <v>2239</v>
      </c>
      <c r="X423" s="574" t="s">
        <v>2575</v>
      </c>
      <c r="Y423" s="575" t="s">
        <v>2576</v>
      </c>
      <c r="Z423" s="575" t="s">
        <v>2576</v>
      </c>
      <c r="AA423" s="574" t="s">
        <v>1695</v>
      </c>
      <c r="AB423" s="574" t="s">
        <v>2337</v>
      </c>
      <c r="AC423" s="574" t="s">
        <v>2338</v>
      </c>
      <c r="AD423" s="574" t="s">
        <v>2339</v>
      </c>
      <c r="AE423" s="574" t="s">
        <v>1436</v>
      </c>
      <c r="AF423" s="574" t="s">
        <v>2339</v>
      </c>
      <c r="AG423" s="576">
        <v>43891.28</v>
      </c>
    </row>
    <row r="424" spans="1:33" x14ac:dyDescent="0.25">
      <c r="A424" s="574" t="s">
        <v>2219</v>
      </c>
      <c r="B424" s="574" t="s">
        <v>2220</v>
      </c>
      <c r="C424" s="574" t="s">
        <v>2221</v>
      </c>
      <c r="D424" s="574" t="s">
        <v>2220</v>
      </c>
      <c r="E424" s="574" t="s">
        <v>2222</v>
      </c>
      <c r="F424" s="574" t="s">
        <v>2223</v>
      </c>
      <c r="G424" s="574" t="s">
        <v>2224</v>
      </c>
      <c r="H424" s="574" t="s">
        <v>2225</v>
      </c>
      <c r="I424" s="574" t="s">
        <v>2226</v>
      </c>
      <c r="J424" s="574" t="s">
        <v>2227</v>
      </c>
      <c r="K424" s="574" t="s">
        <v>2228</v>
      </c>
      <c r="L424" s="574" t="s">
        <v>2229</v>
      </c>
      <c r="M424" s="574" t="s">
        <v>2230</v>
      </c>
      <c r="N424" s="574" t="s">
        <v>2231</v>
      </c>
      <c r="O424" s="574" t="s">
        <v>2232</v>
      </c>
      <c r="P424" s="574" t="s">
        <v>2233</v>
      </c>
      <c r="Q424" s="574" t="s">
        <v>2234</v>
      </c>
      <c r="R424" s="574" t="s">
        <v>2225</v>
      </c>
      <c r="S424" s="574" t="s">
        <v>2235</v>
      </c>
      <c r="T424" s="574" t="s">
        <v>2236</v>
      </c>
      <c r="U424" s="574" t="s">
        <v>2541</v>
      </c>
      <c r="V424" s="574" t="s">
        <v>2238</v>
      </c>
      <c r="W424" s="574" t="s">
        <v>2239</v>
      </c>
      <c r="X424" s="574" t="s">
        <v>2542</v>
      </c>
      <c r="Y424" s="575" t="s">
        <v>2543</v>
      </c>
      <c r="Z424" s="575" t="s">
        <v>2543</v>
      </c>
      <c r="AA424" s="574" t="s">
        <v>1695</v>
      </c>
      <c r="AB424" s="574" t="s">
        <v>2337</v>
      </c>
      <c r="AC424" s="574" t="s">
        <v>2544</v>
      </c>
      <c r="AD424" s="574" t="s">
        <v>2545</v>
      </c>
      <c r="AE424" s="574" t="s">
        <v>2546</v>
      </c>
      <c r="AF424" s="574" t="s">
        <v>2545</v>
      </c>
      <c r="AG424" s="576">
        <v>94341</v>
      </c>
    </row>
    <row r="425" spans="1:33" x14ac:dyDescent="0.25">
      <c r="A425" s="574" t="s">
        <v>2219</v>
      </c>
      <c r="B425" s="574" t="s">
        <v>2220</v>
      </c>
      <c r="C425" s="574" t="s">
        <v>2221</v>
      </c>
      <c r="D425" s="574" t="s">
        <v>2220</v>
      </c>
      <c r="E425" s="574" t="s">
        <v>2222</v>
      </c>
      <c r="F425" s="574" t="s">
        <v>2223</v>
      </c>
      <c r="G425" s="574" t="s">
        <v>2224</v>
      </c>
      <c r="H425" s="574" t="s">
        <v>2225</v>
      </c>
      <c r="I425" s="574" t="s">
        <v>3638</v>
      </c>
      <c r="J425" s="574" t="s">
        <v>3639</v>
      </c>
      <c r="K425" s="574" t="s">
        <v>2228</v>
      </c>
      <c r="L425" s="574" t="s">
        <v>2229</v>
      </c>
      <c r="M425" s="574" t="s">
        <v>2230</v>
      </c>
      <c r="N425" s="574" t="s">
        <v>2231</v>
      </c>
      <c r="O425" s="574" t="s">
        <v>2232</v>
      </c>
      <c r="P425" s="574" t="s">
        <v>2233</v>
      </c>
      <c r="Q425" s="574" t="s">
        <v>2234</v>
      </c>
      <c r="R425" s="574" t="s">
        <v>2225</v>
      </c>
      <c r="S425" s="574" t="s">
        <v>2235</v>
      </c>
      <c r="T425" s="574" t="s">
        <v>2236</v>
      </c>
      <c r="U425" s="574" t="s">
        <v>3655</v>
      </c>
      <c r="V425" s="574" t="s">
        <v>2238</v>
      </c>
      <c r="W425" s="574" t="s">
        <v>2239</v>
      </c>
      <c r="X425" s="574" t="s">
        <v>3656</v>
      </c>
      <c r="Y425" s="575" t="s">
        <v>2576</v>
      </c>
      <c r="Z425" s="575" t="s">
        <v>2576</v>
      </c>
      <c r="AA425" s="574" t="s">
        <v>1695</v>
      </c>
      <c r="AB425" s="574" t="s">
        <v>2337</v>
      </c>
      <c r="AC425" s="574" t="s">
        <v>2338</v>
      </c>
      <c r="AD425" s="574" t="s">
        <v>2339</v>
      </c>
      <c r="AE425" s="574" t="s">
        <v>1436</v>
      </c>
      <c r="AF425" s="574" t="s">
        <v>2339</v>
      </c>
      <c r="AG425" s="576">
        <v>103580.4</v>
      </c>
    </row>
    <row r="426" spans="1:33" x14ac:dyDescent="0.25">
      <c r="A426" s="574" t="s">
        <v>2219</v>
      </c>
      <c r="B426" s="574" t="s">
        <v>2220</v>
      </c>
      <c r="C426" s="574" t="s">
        <v>2221</v>
      </c>
      <c r="D426" s="574" t="s">
        <v>2220</v>
      </c>
      <c r="E426" s="574" t="s">
        <v>2222</v>
      </c>
      <c r="F426" s="574" t="s">
        <v>2223</v>
      </c>
      <c r="G426" s="574" t="s">
        <v>2224</v>
      </c>
      <c r="H426" s="574" t="s">
        <v>2225</v>
      </c>
      <c r="I426" s="574" t="s">
        <v>2226</v>
      </c>
      <c r="J426" s="574" t="s">
        <v>2227</v>
      </c>
      <c r="K426" s="574" t="s">
        <v>2228</v>
      </c>
      <c r="L426" s="574" t="s">
        <v>2229</v>
      </c>
      <c r="M426" s="574" t="s">
        <v>2230</v>
      </c>
      <c r="N426" s="574" t="s">
        <v>2231</v>
      </c>
      <c r="O426" s="574" t="s">
        <v>2232</v>
      </c>
      <c r="P426" s="574" t="s">
        <v>2233</v>
      </c>
      <c r="Q426" s="574" t="s">
        <v>2234</v>
      </c>
      <c r="R426" s="574" t="s">
        <v>2225</v>
      </c>
      <c r="S426" s="574" t="s">
        <v>2235</v>
      </c>
      <c r="T426" s="574" t="s">
        <v>2236</v>
      </c>
      <c r="U426" s="574" t="s">
        <v>2335</v>
      </c>
      <c r="V426" s="574" t="s">
        <v>2238</v>
      </c>
      <c r="W426" s="574" t="s">
        <v>2239</v>
      </c>
      <c r="X426" s="574" t="s">
        <v>2336</v>
      </c>
      <c r="Y426" s="575" t="s">
        <v>2326</v>
      </c>
      <c r="Z426" s="575" t="s">
        <v>2326</v>
      </c>
      <c r="AA426" s="574" t="s">
        <v>1695</v>
      </c>
      <c r="AB426" s="574" t="s">
        <v>2337</v>
      </c>
      <c r="AC426" s="574" t="s">
        <v>2338</v>
      </c>
      <c r="AD426" s="574" t="s">
        <v>2339</v>
      </c>
      <c r="AE426" s="574" t="s">
        <v>1436</v>
      </c>
      <c r="AF426" s="574" t="s">
        <v>2339</v>
      </c>
      <c r="AG426" s="576">
        <v>105480</v>
      </c>
    </row>
    <row r="427" spans="1:33" x14ac:dyDescent="0.25">
      <c r="A427" s="574" t="s">
        <v>2219</v>
      </c>
      <c r="B427" s="574" t="s">
        <v>2220</v>
      </c>
      <c r="C427" s="574" t="s">
        <v>2221</v>
      </c>
      <c r="D427" s="574" t="s">
        <v>2220</v>
      </c>
      <c r="E427" s="574" t="s">
        <v>2222</v>
      </c>
      <c r="F427" s="574" t="s">
        <v>2223</v>
      </c>
      <c r="G427" s="574" t="s">
        <v>2224</v>
      </c>
      <c r="H427" s="574" t="s">
        <v>2225</v>
      </c>
      <c r="I427" s="574" t="s">
        <v>2226</v>
      </c>
      <c r="J427" s="574" t="s">
        <v>2227</v>
      </c>
      <c r="K427" s="574" t="s">
        <v>2228</v>
      </c>
      <c r="L427" s="574" t="s">
        <v>2229</v>
      </c>
      <c r="M427" s="574" t="s">
        <v>2230</v>
      </c>
      <c r="N427" s="574" t="s">
        <v>2231</v>
      </c>
      <c r="O427" s="574" t="s">
        <v>2232</v>
      </c>
      <c r="P427" s="574" t="s">
        <v>2233</v>
      </c>
      <c r="Q427" s="574" t="s">
        <v>2234</v>
      </c>
      <c r="R427" s="574" t="s">
        <v>2225</v>
      </c>
      <c r="S427" s="574" t="s">
        <v>2235</v>
      </c>
      <c r="T427" s="574" t="s">
        <v>2236</v>
      </c>
      <c r="U427" s="574" t="s">
        <v>2556</v>
      </c>
      <c r="V427" s="574" t="s">
        <v>2238</v>
      </c>
      <c r="W427" s="574" t="s">
        <v>2239</v>
      </c>
      <c r="X427" s="574" t="s">
        <v>2557</v>
      </c>
      <c r="Y427" s="575" t="s">
        <v>2553</v>
      </c>
      <c r="Z427" s="575" t="s">
        <v>2553</v>
      </c>
      <c r="AA427" s="574" t="s">
        <v>1695</v>
      </c>
      <c r="AB427" s="574" t="s">
        <v>2337</v>
      </c>
      <c r="AC427" s="574" t="s">
        <v>2338</v>
      </c>
      <c r="AD427" s="574" t="s">
        <v>2339</v>
      </c>
      <c r="AE427" s="574" t="s">
        <v>1436</v>
      </c>
      <c r="AF427" s="574" t="s">
        <v>2339</v>
      </c>
      <c r="AG427" s="576">
        <v>115886.79</v>
      </c>
    </row>
    <row r="428" spans="1:33" x14ac:dyDescent="0.25">
      <c r="A428" s="574" t="s">
        <v>2219</v>
      </c>
      <c r="B428" s="574" t="s">
        <v>2220</v>
      </c>
      <c r="C428" s="574" t="s">
        <v>2221</v>
      </c>
      <c r="D428" s="574" t="s">
        <v>2220</v>
      </c>
      <c r="E428" s="574" t="s">
        <v>2222</v>
      </c>
      <c r="F428" s="574" t="s">
        <v>2223</v>
      </c>
      <c r="G428" s="574" t="s">
        <v>2224</v>
      </c>
      <c r="H428" s="574" t="s">
        <v>2225</v>
      </c>
      <c r="I428" s="574" t="s">
        <v>2226</v>
      </c>
      <c r="J428" s="574" t="s">
        <v>2227</v>
      </c>
      <c r="K428" s="574" t="s">
        <v>2228</v>
      </c>
      <c r="L428" s="574" t="s">
        <v>2229</v>
      </c>
      <c r="M428" s="574" t="s">
        <v>2230</v>
      </c>
      <c r="N428" s="574" t="s">
        <v>2231</v>
      </c>
      <c r="O428" s="574" t="s">
        <v>2232</v>
      </c>
      <c r="P428" s="574" t="s">
        <v>2233</v>
      </c>
      <c r="Q428" s="574" t="s">
        <v>2234</v>
      </c>
      <c r="R428" s="574" t="s">
        <v>2225</v>
      </c>
      <c r="S428" s="574" t="s">
        <v>2235</v>
      </c>
      <c r="T428" s="574" t="s">
        <v>2236</v>
      </c>
      <c r="U428" s="574" t="s">
        <v>2520</v>
      </c>
      <c r="V428" s="574" t="s">
        <v>2238</v>
      </c>
      <c r="W428" s="574" t="s">
        <v>2239</v>
      </c>
      <c r="X428" s="574" t="s">
        <v>2521</v>
      </c>
      <c r="Y428" s="575" t="s">
        <v>2517</v>
      </c>
      <c r="Z428" s="575" t="s">
        <v>2517</v>
      </c>
      <c r="AA428" s="574" t="s">
        <v>1695</v>
      </c>
      <c r="AB428" s="574" t="s">
        <v>2337</v>
      </c>
      <c r="AC428" s="574" t="s">
        <v>2338</v>
      </c>
      <c r="AD428" s="574" t="s">
        <v>2339</v>
      </c>
      <c r="AE428" s="574" t="s">
        <v>1436</v>
      </c>
      <c r="AF428" s="574" t="s">
        <v>2339</v>
      </c>
      <c r="AG428" s="576">
        <v>120836.72</v>
      </c>
    </row>
    <row r="429" spans="1:33" x14ac:dyDescent="0.25">
      <c r="A429" s="574" t="s">
        <v>2219</v>
      </c>
      <c r="B429" s="574" t="s">
        <v>2220</v>
      </c>
      <c r="C429" s="574" t="s">
        <v>2221</v>
      </c>
      <c r="D429" s="574" t="s">
        <v>2220</v>
      </c>
      <c r="E429" s="574" t="s">
        <v>2222</v>
      </c>
      <c r="F429" s="574" t="s">
        <v>2223</v>
      </c>
      <c r="G429" s="574" t="s">
        <v>2224</v>
      </c>
      <c r="H429" s="574" t="s">
        <v>2225</v>
      </c>
      <c r="I429" s="574" t="s">
        <v>3638</v>
      </c>
      <c r="J429" s="574" t="s">
        <v>3639</v>
      </c>
      <c r="K429" s="574" t="s">
        <v>2228</v>
      </c>
      <c r="L429" s="574" t="s">
        <v>2229</v>
      </c>
      <c r="M429" s="574" t="s">
        <v>2230</v>
      </c>
      <c r="N429" s="574" t="s">
        <v>2231</v>
      </c>
      <c r="O429" s="574" t="s">
        <v>2232</v>
      </c>
      <c r="P429" s="574" t="s">
        <v>2233</v>
      </c>
      <c r="Q429" s="574" t="s">
        <v>2234</v>
      </c>
      <c r="R429" s="574" t="s">
        <v>2225</v>
      </c>
      <c r="S429" s="574" t="s">
        <v>2235</v>
      </c>
      <c r="T429" s="574" t="s">
        <v>2236</v>
      </c>
      <c r="U429" s="574" t="s">
        <v>3642</v>
      </c>
      <c r="V429" s="574" t="s">
        <v>2238</v>
      </c>
      <c r="W429" s="574" t="s">
        <v>2239</v>
      </c>
      <c r="X429" s="574" t="s">
        <v>3643</v>
      </c>
      <c r="Y429" s="575" t="s">
        <v>2481</v>
      </c>
      <c r="Z429" s="575" t="s">
        <v>2481</v>
      </c>
      <c r="AA429" s="574" t="s">
        <v>1695</v>
      </c>
      <c r="AB429" s="574" t="s">
        <v>2337</v>
      </c>
      <c r="AC429" s="574" t="s">
        <v>2338</v>
      </c>
      <c r="AD429" s="574" t="s">
        <v>2339</v>
      </c>
      <c r="AE429" s="574" t="s">
        <v>1436</v>
      </c>
      <c r="AF429" s="574" t="s">
        <v>2339</v>
      </c>
      <c r="AG429" s="576">
        <v>177000</v>
      </c>
    </row>
    <row r="430" spans="1:33" x14ac:dyDescent="0.25">
      <c r="A430" s="574" t="s">
        <v>2219</v>
      </c>
      <c r="B430" s="574" t="s">
        <v>2220</v>
      </c>
      <c r="C430" s="574" t="s">
        <v>2221</v>
      </c>
      <c r="D430" s="574" t="s">
        <v>2220</v>
      </c>
      <c r="E430" s="574" t="s">
        <v>2222</v>
      </c>
      <c r="F430" s="574" t="s">
        <v>2223</v>
      </c>
      <c r="G430" s="574" t="s">
        <v>2224</v>
      </c>
      <c r="H430" s="574" t="s">
        <v>2225</v>
      </c>
      <c r="I430" s="574" t="s">
        <v>2226</v>
      </c>
      <c r="J430" s="574" t="s">
        <v>2227</v>
      </c>
      <c r="K430" s="574" t="s">
        <v>2228</v>
      </c>
      <c r="L430" s="574" t="s">
        <v>2229</v>
      </c>
      <c r="M430" s="574" t="s">
        <v>2230</v>
      </c>
      <c r="N430" s="574" t="s">
        <v>2231</v>
      </c>
      <c r="O430" s="574" t="s">
        <v>2232</v>
      </c>
      <c r="P430" s="574" t="s">
        <v>2233</v>
      </c>
      <c r="Q430" s="574" t="s">
        <v>2234</v>
      </c>
      <c r="R430" s="574" t="s">
        <v>2225</v>
      </c>
      <c r="S430" s="574" t="s">
        <v>2235</v>
      </c>
      <c r="T430" s="574" t="s">
        <v>2236</v>
      </c>
      <c r="U430" s="574" t="s">
        <v>2494</v>
      </c>
      <c r="V430" s="574" t="s">
        <v>2238</v>
      </c>
      <c r="W430" s="574" t="s">
        <v>2239</v>
      </c>
      <c r="X430" s="574" t="s">
        <v>2495</v>
      </c>
      <c r="Y430" s="575" t="s">
        <v>2496</v>
      </c>
      <c r="Z430" s="575" t="s">
        <v>2496</v>
      </c>
      <c r="AA430" s="574" t="s">
        <v>1695</v>
      </c>
      <c r="AB430" s="574" t="s">
        <v>2337</v>
      </c>
      <c r="AC430" s="574" t="s">
        <v>2338</v>
      </c>
      <c r="AD430" s="574" t="s">
        <v>2339</v>
      </c>
      <c r="AE430" s="574" t="s">
        <v>1436</v>
      </c>
      <c r="AF430" s="574" t="s">
        <v>2339</v>
      </c>
      <c r="AG430" s="576">
        <v>239693.4</v>
      </c>
    </row>
    <row r="431" spans="1:33" x14ac:dyDescent="0.25">
      <c r="A431" s="574" t="s">
        <v>2219</v>
      </c>
      <c r="B431" s="574" t="s">
        <v>2220</v>
      </c>
      <c r="C431" s="574" t="s">
        <v>2221</v>
      </c>
      <c r="D431" s="574" t="s">
        <v>2220</v>
      </c>
      <c r="E431" s="574" t="s">
        <v>2222</v>
      </c>
      <c r="F431" s="574" t="s">
        <v>2223</v>
      </c>
      <c r="G431" s="574" t="s">
        <v>2224</v>
      </c>
      <c r="H431" s="574" t="s">
        <v>2225</v>
      </c>
      <c r="I431" s="574" t="s">
        <v>2226</v>
      </c>
      <c r="J431" s="574" t="s">
        <v>2227</v>
      </c>
      <c r="K431" s="574" t="s">
        <v>2228</v>
      </c>
      <c r="L431" s="574" t="s">
        <v>2229</v>
      </c>
      <c r="M431" s="574" t="s">
        <v>2230</v>
      </c>
      <c r="N431" s="574" t="s">
        <v>2231</v>
      </c>
      <c r="O431" s="574" t="s">
        <v>2232</v>
      </c>
      <c r="P431" s="574" t="s">
        <v>2233</v>
      </c>
      <c r="Q431" s="574" t="s">
        <v>2234</v>
      </c>
      <c r="R431" s="574" t="s">
        <v>2225</v>
      </c>
      <c r="S431" s="574" t="s">
        <v>2235</v>
      </c>
      <c r="T431" s="574" t="s">
        <v>2236</v>
      </c>
      <c r="U431" s="574" t="s">
        <v>2620</v>
      </c>
      <c r="V431" s="574" t="s">
        <v>2238</v>
      </c>
      <c r="W431" s="574" t="s">
        <v>2239</v>
      </c>
      <c r="X431" s="574" t="s">
        <v>2621</v>
      </c>
      <c r="Y431" s="575" t="s">
        <v>2599</v>
      </c>
      <c r="Z431" s="575" t="s">
        <v>2599</v>
      </c>
      <c r="AA431" s="574" t="s">
        <v>1695</v>
      </c>
      <c r="AB431" s="574" t="s">
        <v>2337</v>
      </c>
      <c r="AC431" s="574" t="s">
        <v>2338</v>
      </c>
      <c r="AD431" s="574" t="s">
        <v>2339</v>
      </c>
      <c r="AE431" s="574" t="s">
        <v>1436</v>
      </c>
      <c r="AF431" s="574" t="s">
        <v>2339</v>
      </c>
      <c r="AG431" s="576">
        <v>306337.44</v>
      </c>
    </row>
    <row r="432" spans="1:33" x14ac:dyDescent="0.25">
      <c r="A432" s="574" t="s">
        <v>2219</v>
      </c>
      <c r="B432" s="574" t="s">
        <v>2220</v>
      </c>
      <c r="C432" s="574" t="s">
        <v>2221</v>
      </c>
      <c r="D432" s="574" t="s">
        <v>2220</v>
      </c>
      <c r="E432" s="574" t="s">
        <v>2222</v>
      </c>
      <c r="F432" s="574" t="s">
        <v>2223</v>
      </c>
      <c r="G432" s="574" t="s">
        <v>2224</v>
      </c>
      <c r="H432" s="574" t="s">
        <v>2225</v>
      </c>
      <c r="I432" s="574" t="s">
        <v>2226</v>
      </c>
      <c r="J432" s="574" t="s">
        <v>2227</v>
      </c>
      <c r="K432" s="574" t="s">
        <v>2228</v>
      </c>
      <c r="L432" s="574" t="s">
        <v>2229</v>
      </c>
      <c r="M432" s="574" t="s">
        <v>2230</v>
      </c>
      <c r="N432" s="574" t="s">
        <v>2231</v>
      </c>
      <c r="O432" s="574" t="s">
        <v>2232</v>
      </c>
      <c r="P432" s="574" t="s">
        <v>2233</v>
      </c>
      <c r="Q432" s="574" t="s">
        <v>2234</v>
      </c>
      <c r="R432" s="574" t="s">
        <v>2225</v>
      </c>
      <c r="S432" s="574" t="s">
        <v>2235</v>
      </c>
      <c r="T432" s="574" t="s">
        <v>2236</v>
      </c>
      <c r="U432" s="574" t="s">
        <v>2505</v>
      </c>
      <c r="V432" s="574" t="s">
        <v>2238</v>
      </c>
      <c r="W432" s="574" t="s">
        <v>2239</v>
      </c>
      <c r="X432" s="574" t="s">
        <v>2506</v>
      </c>
      <c r="Y432" s="575" t="s">
        <v>2507</v>
      </c>
      <c r="Z432" s="575" t="s">
        <v>2507</v>
      </c>
      <c r="AA432" s="574" t="s">
        <v>1695</v>
      </c>
      <c r="AB432" s="574" t="s">
        <v>2337</v>
      </c>
      <c r="AC432" s="574" t="s">
        <v>2338</v>
      </c>
      <c r="AD432" s="574" t="s">
        <v>2339</v>
      </c>
      <c r="AE432" s="574" t="s">
        <v>1436</v>
      </c>
      <c r="AF432" s="574" t="s">
        <v>2339</v>
      </c>
      <c r="AG432" s="576">
        <v>371700</v>
      </c>
    </row>
    <row r="433" spans="1:33" x14ac:dyDescent="0.25">
      <c r="A433" s="574" t="s">
        <v>2219</v>
      </c>
      <c r="B433" s="574" t="s">
        <v>2220</v>
      </c>
      <c r="C433" s="574" t="s">
        <v>2221</v>
      </c>
      <c r="D433" s="574" t="s">
        <v>2220</v>
      </c>
      <c r="E433" s="574" t="s">
        <v>2222</v>
      </c>
      <c r="F433" s="574" t="s">
        <v>2223</v>
      </c>
      <c r="G433" s="574" t="s">
        <v>2224</v>
      </c>
      <c r="H433" s="574" t="s">
        <v>2225</v>
      </c>
      <c r="I433" s="574" t="s">
        <v>2226</v>
      </c>
      <c r="J433" s="574" t="s">
        <v>2227</v>
      </c>
      <c r="K433" s="574" t="s">
        <v>2228</v>
      </c>
      <c r="L433" s="574" t="s">
        <v>2229</v>
      </c>
      <c r="M433" s="574" t="s">
        <v>2230</v>
      </c>
      <c r="N433" s="574" t="s">
        <v>2231</v>
      </c>
      <c r="O433" s="574" t="s">
        <v>2232</v>
      </c>
      <c r="P433" s="574" t="s">
        <v>2233</v>
      </c>
      <c r="Q433" s="574" t="s">
        <v>2234</v>
      </c>
      <c r="R433" s="574" t="s">
        <v>2225</v>
      </c>
      <c r="S433" s="574" t="s">
        <v>2235</v>
      </c>
      <c r="T433" s="574" t="s">
        <v>2236</v>
      </c>
      <c r="U433" s="574" t="s">
        <v>2549</v>
      </c>
      <c r="V433" s="574" t="s">
        <v>2238</v>
      </c>
      <c r="W433" s="574" t="s">
        <v>2239</v>
      </c>
      <c r="X433" s="574" t="s">
        <v>2550</v>
      </c>
      <c r="Y433" s="575" t="s">
        <v>2543</v>
      </c>
      <c r="Z433" s="575" t="s">
        <v>2543</v>
      </c>
      <c r="AA433" s="574" t="s">
        <v>1695</v>
      </c>
      <c r="AB433" s="574" t="s">
        <v>2337</v>
      </c>
      <c r="AC433" s="574" t="s">
        <v>2338</v>
      </c>
      <c r="AD433" s="574" t="s">
        <v>2339</v>
      </c>
      <c r="AE433" s="574" t="s">
        <v>1436</v>
      </c>
      <c r="AF433" s="574" t="s">
        <v>2339</v>
      </c>
      <c r="AG433" s="576">
        <v>454300</v>
      </c>
    </row>
    <row r="434" spans="1:33" x14ac:dyDescent="0.25">
      <c r="A434" s="574" t="s">
        <v>2219</v>
      </c>
      <c r="B434" s="574" t="s">
        <v>2220</v>
      </c>
      <c r="C434" s="574" t="s">
        <v>2221</v>
      </c>
      <c r="D434" s="574" t="s">
        <v>2220</v>
      </c>
      <c r="E434" s="574" t="s">
        <v>2222</v>
      </c>
      <c r="F434" s="574" t="s">
        <v>2223</v>
      </c>
      <c r="G434" s="574" t="s">
        <v>2224</v>
      </c>
      <c r="H434" s="574" t="s">
        <v>2225</v>
      </c>
      <c r="I434" s="574" t="s">
        <v>2226</v>
      </c>
      <c r="J434" s="574" t="s">
        <v>2227</v>
      </c>
      <c r="K434" s="574" t="s">
        <v>2228</v>
      </c>
      <c r="L434" s="574" t="s">
        <v>2229</v>
      </c>
      <c r="M434" s="574" t="s">
        <v>2230</v>
      </c>
      <c r="N434" s="574" t="s">
        <v>2231</v>
      </c>
      <c r="O434" s="574" t="s">
        <v>2232</v>
      </c>
      <c r="P434" s="574" t="s">
        <v>2233</v>
      </c>
      <c r="Q434" s="574" t="s">
        <v>2234</v>
      </c>
      <c r="R434" s="574" t="s">
        <v>2225</v>
      </c>
      <c r="S434" s="574" t="s">
        <v>2235</v>
      </c>
      <c r="T434" s="574" t="s">
        <v>2236</v>
      </c>
      <c r="U434" s="574" t="s">
        <v>2448</v>
      </c>
      <c r="V434" s="574" t="s">
        <v>2238</v>
      </c>
      <c r="W434" s="574" t="s">
        <v>2239</v>
      </c>
      <c r="X434" s="574" t="s">
        <v>2449</v>
      </c>
      <c r="Y434" s="575" t="s">
        <v>2429</v>
      </c>
      <c r="Z434" s="575" t="s">
        <v>2429</v>
      </c>
      <c r="AA434" s="574" t="s">
        <v>1695</v>
      </c>
      <c r="AB434" s="574" t="s">
        <v>2337</v>
      </c>
      <c r="AC434" s="574" t="s">
        <v>2338</v>
      </c>
      <c r="AD434" s="574" t="s">
        <v>2339</v>
      </c>
      <c r="AE434" s="574" t="s">
        <v>1436</v>
      </c>
      <c r="AF434" s="574" t="s">
        <v>2339</v>
      </c>
      <c r="AG434" s="576">
        <v>489346</v>
      </c>
    </row>
    <row r="435" spans="1:33" x14ac:dyDescent="0.25">
      <c r="A435" s="574" t="s">
        <v>2219</v>
      </c>
      <c r="B435" s="574" t="s">
        <v>2220</v>
      </c>
      <c r="C435" s="574" t="s">
        <v>2221</v>
      </c>
      <c r="D435" s="574" t="s">
        <v>2220</v>
      </c>
      <c r="E435" s="574" t="s">
        <v>2222</v>
      </c>
      <c r="F435" s="574" t="s">
        <v>2223</v>
      </c>
      <c r="G435" s="574" t="s">
        <v>2224</v>
      </c>
      <c r="H435" s="574" t="s">
        <v>2225</v>
      </c>
      <c r="I435" s="574" t="s">
        <v>2226</v>
      </c>
      <c r="J435" s="574" t="s">
        <v>2227</v>
      </c>
      <c r="K435" s="574" t="s">
        <v>2228</v>
      </c>
      <c r="L435" s="574" t="s">
        <v>2229</v>
      </c>
      <c r="M435" s="574" t="s">
        <v>2230</v>
      </c>
      <c r="N435" s="574" t="s">
        <v>2231</v>
      </c>
      <c r="O435" s="574" t="s">
        <v>2232</v>
      </c>
      <c r="P435" s="574" t="s">
        <v>2233</v>
      </c>
      <c r="Q435" s="574" t="s">
        <v>2234</v>
      </c>
      <c r="R435" s="574" t="s">
        <v>2225</v>
      </c>
      <c r="S435" s="574" t="s">
        <v>2235</v>
      </c>
      <c r="T435" s="574" t="s">
        <v>2236</v>
      </c>
      <c r="U435" s="574" t="s">
        <v>2539</v>
      </c>
      <c r="V435" s="574" t="s">
        <v>2238</v>
      </c>
      <c r="W435" s="574" t="s">
        <v>2239</v>
      </c>
      <c r="X435" s="574" t="s">
        <v>2540</v>
      </c>
      <c r="Y435" s="575" t="s">
        <v>2531</v>
      </c>
      <c r="Z435" s="575" t="s">
        <v>2531</v>
      </c>
      <c r="AA435" s="574" t="s">
        <v>1695</v>
      </c>
      <c r="AB435" s="574" t="s">
        <v>2337</v>
      </c>
      <c r="AC435" s="574" t="s">
        <v>2338</v>
      </c>
      <c r="AD435" s="574" t="s">
        <v>2339</v>
      </c>
      <c r="AE435" s="574" t="s">
        <v>1436</v>
      </c>
      <c r="AF435" s="574" t="s">
        <v>2339</v>
      </c>
      <c r="AG435" s="576">
        <v>609673.18000000005</v>
      </c>
    </row>
    <row r="436" spans="1:33" x14ac:dyDescent="0.25">
      <c r="A436" s="574" t="s">
        <v>2219</v>
      </c>
      <c r="B436" s="574" t="s">
        <v>2220</v>
      </c>
      <c r="C436" s="574" t="s">
        <v>2221</v>
      </c>
      <c r="D436" s="574" t="s">
        <v>2220</v>
      </c>
      <c r="E436" s="574" t="s">
        <v>2222</v>
      </c>
      <c r="F436" s="574" t="s">
        <v>2223</v>
      </c>
      <c r="G436" s="574" t="s">
        <v>2224</v>
      </c>
      <c r="H436" s="574" t="s">
        <v>2225</v>
      </c>
      <c r="I436" s="574" t="s">
        <v>2226</v>
      </c>
      <c r="J436" s="574" t="s">
        <v>2227</v>
      </c>
      <c r="K436" s="574" t="s">
        <v>2228</v>
      </c>
      <c r="L436" s="574" t="s">
        <v>2229</v>
      </c>
      <c r="M436" s="574" t="s">
        <v>2230</v>
      </c>
      <c r="N436" s="574" t="s">
        <v>2231</v>
      </c>
      <c r="O436" s="574" t="s">
        <v>2232</v>
      </c>
      <c r="P436" s="574" t="s">
        <v>2233</v>
      </c>
      <c r="Q436" s="574" t="s">
        <v>2234</v>
      </c>
      <c r="R436" s="574" t="s">
        <v>2225</v>
      </c>
      <c r="S436" s="574" t="s">
        <v>2235</v>
      </c>
      <c r="T436" s="574" t="s">
        <v>2236</v>
      </c>
      <c r="U436" s="574" t="s">
        <v>2502</v>
      </c>
      <c r="V436" s="574" t="s">
        <v>2238</v>
      </c>
      <c r="W436" s="574" t="s">
        <v>2239</v>
      </c>
      <c r="X436" s="574" t="s">
        <v>2503</v>
      </c>
      <c r="Y436" s="575" t="s">
        <v>2504</v>
      </c>
      <c r="Z436" s="575" t="s">
        <v>2504</v>
      </c>
      <c r="AA436" s="574" t="s">
        <v>1695</v>
      </c>
      <c r="AB436" s="574" t="s">
        <v>2337</v>
      </c>
      <c r="AC436" s="574" t="s">
        <v>2338</v>
      </c>
      <c r="AD436" s="574" t="s">
        <v>2339</v>
      </c>
      <c r="AE436" s="574" t="s">
        <v>1436</v>
      </c>
      <c r="AF436" s="574" t="s">
        <v>2339</v>
      </c>
      <c r="AG436" s="576">
        <v>929250</v>
      </c>
    </row>
    <row r="437" spans="1:33" x14ac:dyDescent="0.25">
      <c r="A437" s="574" t="s">
        <v>2219</v>
      </c>
      <c r="B437" s="574" t="s">
        <v>2220</v>
      </c>
      <c r="C437" s="574" t="s">
        <v>2221</v>
      </c>
      <c r="D437" s="574" t="s">
        <v>2220</v>
      </c>
      <c r="E437" s="574" t="s">
        <v>2222</v>
      </c>
      <c r="F437" s="574" t="s">
        <v>2223</v>
      </c>
      <c r="G437" s="574" t="s">
        <v>2224</v>
      </c>
      <c r="H437" s="574" t="s">
        <v>2225</v>
      </c>
      <c r="I437" s="574" t="s">
        <v>2226</v>
      </c>
      <c r="J437" s="574" t="s">
        <v>2227</v>
      </c>
      <c r="K437" s="574" t="s">
        <v>2228</v>
      </c>
      <c r="L437" s="574" t="s">
        <v>2229</v>
      </c>
      <c r="M437" s="574" t="s">
        <v>2230</v>
      </c>
      <c r="N437" s="574" t="s">
        <v>2231</v>
      </c>
      <c r="O437" s="574" t="s">
        <v>2232</v>
      </c>
      <c r="P437" s="574" t="s">
        <v>2233</v>
      </c>
      <c r="Q437" s="574" t="s">
        <v>2234</v>
      </c>
      <c r="R437" s="574" t="s">
        <v>2225</v>
      </c>
      <c r="S437" s="574" t="s">
        <v>2235</v>
      </c>
      <c r="T437" s="574" t="s">
        <v>2236</v>
      </c>
      <c r="U437" s="574" t="s">
        <v>2589</v>
      </c>
      <c r="V437" s="574" t="s">
        <v>2238</v>
      </c>
      <c r="W437" s="574" t="s">
        <v>2239</v>
      </c>
      <c r="X437" s="574" t="s">
        <v>2590</v>
      </c>
      <c r="Y437" s="575" t="s">
        <v>2586</v>
      </c>
      <c r="Z437" s="575" t="s">
        <v>2586</v>
      </c>
      <c r="AA437" s="574" t="s">
        <v>1695</v>
      </c>
      <c r="AB437" s="574" t="s">
        <v>2337</v>
      </c>
      <c r="AC437" s="574" t="s">
        <v>2544</v>
      </c>
      <c r="AD437" s="574" t="s">
        <v>2545</v>
      </c>
      <c r="AE437" s="574" t="s">
        <v>2546</v>
      </c>
      <c r="AF437" s="574" t="s">
        <v>2545</v>
      </c>
      <c r="AG437" s="576">
        <v>1031320</v>
      </c>
    </row>
    <row r="438" spans="1:33" x14ac:dyDescent="0.25">
      <c r="A438" s="574" t="s">
        <v>2219</v>
      </c>
      <c r="B438" s="574" t="s">
        <v>2220</v>
      </c>
      <c r="C438" s="574" t="s">
        <v>2221</v>
      </c>
      <c r="D438" s="574" t="s">
        <v>2220</v>
      </c>
      <c r="E438" s="574" t="s">
        <v>2222</v>
      </c>
      <c r="F438" s="574" t="s">
        <v>2223</v>
      </c>
      <c r="G438" s="574" t="s">
        <v>2224</v>
      </c>
      <c r="H438" s="574" t="s">
        <v>2225</v>
      </c>
      <c r="I438" s="574" t="s">
        <v>2226</v>
      </c>
      <c r="J438" s="574" t="s">
        <v>2227</v>
      </c>
      <c r="K438" s="574" t="s">
        <v>2228</v>
      </c>
      <c r="L438" s="574" t="s">
        <v>2229</v>
      </c>
      <c r="M438" s="574" t="s">
        <v>2230</v>
      </c>
      <c r="N438" s="574" t="s">
        <v>2231</v>
      </c>
      <c r="O438" s="574" t="s">
        <v>2232</v>
      </c>
      <c r="P438" s="574" t="s">
        <v>2233</v>
      </c>
      <c r="Q438" s="574" t="s">
        <v>2234</v>
      </c>
      <c r="R438" s="574" t="s">
        <v>2225</v>
      </c>
      <c r="S438" s="574" t="s">
        <v>2235</v>
      </c>
      <c r="T438" s="574" t="s">
        <v>2236</v>
      </c>
      <c r="U438" s="574" t="s">
        <v>2446</v>
      </c>
      <c r="V438" s="574" t="s">
        <v>2238</v>
      </c>
      <c r="W438" s="574" t="s">
        <v>2239</v>
      </c>
      <c r="X438" s="574" t="s">
        <v>2447</v>
      </c>
      <c r="Y438" s="575" t="s">
        <v>2429</v>
      </c>
      <c r="Z438" s="575" t="s">
        <v>2429</v>
      </c>
      <c r="AA438" s="574" t="s">
        <v>1695</v>
      </c>
      <c r="AB438" s="574" t="s">
        <v>2337</v>
      </c>
      <c r="AC438" s="574" t="s">
        <v>2338</v>
      </c>
      <c r="AD438" s="574" t="s">
        <v>2339</v>
      </c>
      <c r="AE438" s="574" t="s">
        <v>1436</v>
      </c>
      <c r="AF438" s="574" t="s">
        <v>2339</v>
      </c>
      <c r="AG438" s="576">
        <v>1132800</v>
      </c>
    </row>
    <row r="439" spans="1:33" x14ac:dyDescent="0.25">
      <c r="A439" s="574" t="s">
        <v>2219</v>
      </c>
      <c r="B439" s="574" t="s">
        <v>2220</v>
      </c>
      <c r="C439" s="574" t="s">
        <v>2221</v>
      </c>
      <c r="D439" s="574" t="s">
        <v>2220</v>
      </c>
      <c r="E439" s="574" t="s">
        <v>2222</v>
      </c>
      <c r="F439" s="574" t="s">
        <v>2223</v>
      </c>
      <c r="G439" s="574" t="s">
        <v>2224</v>
      </c>
      <c r="H439" s="574" t="s">
        <v>2225</v>
      </c>
      <c r="I439" s="574" t="s">
        <v>2226</v>
      </c>
      <c r="J439" s="574" t="s">
        <v>2227</v>
      </c>
      <c r="K439" s="574" t="s">
        <v>2228</v>
      </c>
      <c r="L439" s="574" t="s">
        <v>2229</v>
      </c>
      <c r="M439" s="574" t="s">
        <v>2230</v>
      </c>
      <c r="N439" s="574" t="s">
        <v>2231</v>
      </c>
      <c r="O439" s="574" t="s">
        <v>2232</v>
      </c>
      <c r="P439" s="574" t="s">
        <v>2233</v>
      </c>
      <c r="Q439" s="574" t="s">
        <v>2234</v>
      </c>
      <c r="R439" s="574" t="s">
        <v>2225</v>
      </c>
      <c r="S439" s="574" t="s">
        <v>2235</v>
      </c>
      <c r="T439" s="574" t="s">
        <v>2236</v>
      </c>
      <c r="U439" s="574" t="s">
        <v>2440</v>
      </c>
      <c r="V439" s="574" t="s">
        <v>2238</v>
      </c>
      <c r="W439" s="574" t="s">
        <v>2239</v>
      </c>
      <c r="X439" s="574" t="s">
        <v>2441</v>
      </c>
      <c r="Y439" s="575" t="s">
        <v>2429</v>
      </c>
      <c r="Z439" s="575" t="s">
        <v>2429</v>
      </c>
      <c r="AA439" s="574" t="s">
        <v>1695</v>
      </c>
      <c r="AB439" s="574" t="s">
        <v>2337</v>
      </c>
      <c r="AC439" s="574" t="s">
        <v>2338</v>
      </c>
      <c r="AD439" s="574" t="s">
        <v>2339</v>
      </c>
      <c r="AE439" s="574" t="s">
        <v>1436</v>
      </c>
      <c r="AF439" s="574" t="s">
        <v>2339</v>
      </c>
      <c r="AG439" s="576">
        <v>1176714.4099999999</v>
      </c>
    </row>
    <row r="440" spans="1:33" x14ac:dyDescent="0.25">
      <c r="A440" s="574" t="s">
        <v>2219</v>
      </c>
      <c r="B440" s="574" t="s">
        <v>2220</v>
      </c>
      <c r="C440" s="574" t="s">
        <v>2221</v>
      </c>
      <c r="D440" s="574" t="s">
        <v>2220</v>
      </c>
      <c r="E440" s="574" t="s">
        <v>2222</v>
      </c>
      <c r="F440" s="574" t="s">
        <v>2223</v>
      </c>
      <c r="G440" s="574" t="s">
        <v>2224</v>
      </c>
      <c r="H440" s="574" t="s">
        <v>2225</v>
      </c>
      <c r="I440" s="574" t="s">
        <v>2226</v>
      </c>
      <c r="J440" s="574" t="s">
        <v>2227</v>
      </c>
      <c r="K440" s="574" t="s">
        <v>2228</v>
      </c>
      <c r="L440" s="574" t="s">
        <v>2229</v>
      </c>
      <c r="M440" s="574" t="s">
        <v>2230</v>
      </c>
      <c r="N440" s="574" t="s">
        <v>2231</v>
      </c>
      <c r="O440" s="574" t="s">
        <v>2232</v>
      </c>
      <c r="P440" s="574" t="s">
        <v>2233</v>
      </c>
      <c r="Q440" s="574" t="s">
        <v>2234</v>
      </c>
      <c r="R440" s="574" t="s">
        <v>2225</v>
      </c>
      <c r="S440" s="574" t="s">
        <v>2235</v>
      </c>
      <c r="T440" s="574" t="s">
        <v>2236</v>
      </c>
      <c r="U440" s="574" t="s">
        <v>2587</v>
      </c>
      <c r="V440" s="574" t="s">
        <v>2238</v>
      </c>
      <c r="W440" s="574" t="s">
        <v>2239</v>
      </c>
      <c r="X440" s="574" t="s">
        <v>2588</v>
      </c>
      <c r="Y440" s="575" t="s">
        <v>2586</v>
      </c>
      <c r="Z440" s="575" t="s">
        <v>2586</v>
      </c>
      <c r="AA440" s="574" t="s">
        <v>1695</v>
      </c>
      <c r="AB440" s="574" t="s">
        <v>2337</v>
      </c>
      <c r="AC440" s="574" t="s">
        <v>2338</v>
      </c>
      <c r="AD440" s="574" t="s">
        <v>2339</v>
      </c>
      <c r="AE440" s="574" t="s">
        <v>1436</v>
      </c>
      <c r="AF440" s="574" t="s">
        <v>2339</v>
      </c>
      <c r="AG440" s="576">
        <v>1227200</v>
      </c>
    </row>
    <row r="441" spans="1:33" x14ac:dyDescent="0.25">
      <c r="A441" s="574" t="s">
        <v>2219</v>
      </c>
      <c r="B441" s="574" t="s">
        <v>2220</v>
      </c>
      <c r="C441" s="574" t="s">
        <v>2221</v>
      </c>
      <c r="D441" s="574" t="s">
        <v>2220</v>
      </c>
      <c r="E441" s="574" t="s">
        <v>2222</v>
      </c>
      <c r="F441" s="574" t="s">
        <v>2223</v>
      </c>
      <c r="G441" s="574" t="s">
        <v>2224</v>
      </c>
      <c r="H441" s="574" t="s">
        <v>2225</v>
      </c>
      <c r="I441" s="574" t="s">
        <v>3638</v>
      </c>
      <c r="J441" s="574" t="s">
        <v>3639</v>
      </c>
      <c r="K441" s="574" t="s">
        <v>2228</v>
      </c>
      <c r="L441" s="574" t="s">
        <v>2229</v>
      </c>
      <c r="M441" s="574" t="s">
        <v>2230</v>
      </c>
      <c r="N441" s="574" t="s">
        <v>2231</v>
      </c>
      <c r="O441" s="574" t="s">
        <v>2232</v>
      </c>
      <c r="P441" s="574" t="s">
        <v>2233</v>
      </c>
      <c r="Q441" s="574" t="s">
        <v>2234</v>
      </c>
      <c r="R441" s="574" t="s">
        <v>2225</v>
      </c>
      <c r="S441" s="574" t="s">
        <v>2235</v>
      </c>
      <c r="T441" s="574" t="s">
        <v>2236</v>
      </c>
      <c r="U441" s="574" t="s">
        <v>3640</v>
      </c>
      <c r="V441" s="574" t="s">
        <v>2238</v>
      </c>
      <c r="W441" s="574" t="s">
        <v>2239</v>
      </c>
      <c r="X441" s="574" t="s">
        <v>3641</v>
      </c>
      <c r="Y441" s="575" t="s">
        <v>2429</v>
      </c>
      <c r="Z441" s="575" t="s">
        <v>2429</v>
      </c>
      <c r="AA441" s="574" t="s">
        <v>1695</v>
      </c>
      <c r="AB441" s="574" t="s">
        <v>2337</v>
      </c>
      <c r="AC441" s="574" t="s">
        <v>2338</v>
      </c>
      <c r="AD441" s="574" t="s">
        <v>2339</v>
      </c>
      <c r="AE441" s="574" t="s">
        <v>1436</v>
      </c>
      <c r="AF441" s="574" t="s">
        <v>2339</v>
      </c>
      <c r="AG441" s="576">
        <v>1228664.6200000001</v>
      </c>
    </row>
    <row r="442" spans="1:33" x14ac:dyDescent="0.25">
      <c r="A442" s="574" t="s">
        <v>2219</v>
      </c>
      <c r="B442" s="574" t="s">
        <v>2220</v>
      </c>
      <c r="C442" s="574" t="s">
        <v>2221</v>
      </c>
      <c r="D442" s="574" t="s">
        <v>2220</v>
      </c>
      <c r="E442" s="574" t="s">
        <v>2222</v>
      </c>
      <c r="F442" s="574" t="s">
        <v>2223</v>
      </c>
      <c r="G442" s="574" t="s">
        <v>2224</v>
      </c>
      <c r="H442" s="574" t="s">
        <v>2225</v>
      </c>
      <c r="I442" s="574" t="s">
        <v>2226</v>
      </c>
      <c r="J442" s="574" t="s">
        <v>2227</v>
      </c>
      <c r="K442" s="574" t="s">
        <v>2228</v>
      </c>
      <c r="L442" s="574" t="s">
        <v>2229</v>
      </c>
      <c r="M442" s="574" t="s">
        <v>2230</v>
      </c>
      <c r="N442" s="574" t="s">
        <v>2231</v>
      </c>
      <c r="O442" s="574" t="s">
        <v>2232</v>
      </c>
      <c r="P442" s="574" t="s">
        <v>2233</v>
      </c>
      <c r="Q442" s="574" t="s">
        <v>2234</v>
      </c>
      <c r="R442" s="574" t="s">
        <v>2225</v>
      </c>
      <c r="S442" s="574" t="s">
        <v>2235</v>
      </c>
      <c r="T442" s="574" t="s">
        <v>2236</v>
      </c>
      <c r="U442" s="574" t="s">
        <v>2444</v>
      </c>
      <c r="V442" s="574" t="s">
        <v>2238</v>
      </c>
      <c r="W442" s="574" t="s">
        <v>2239</v>
      </c>
      <c r="X442" s="574" t="s">
        <v>2445</v>
      </c>
      <c r="Y442" s="575" t="s">
        <v>2429</v>
      </c>
      <c r="Z442" s="575" t="s">
        <v>2429</v>
      </c>
      <c r="AA442" s="574" t="s">
        <v>1695</v>
      </c>
      <c r="AB442" s="574" t="s">
        <v>2337</v>
      </c>
      <c r="AC442" s="574" t="s">
        <v>2338</v>
      </c>
      <c r="AD442" s="574" t="s">
        <v>2339</v>
      </c>
      <c r="AE442" s="574" t="s">
        <v>1436</v>
      </c>
      <c r="AF442" s="574" t="s">
        <v>2339</v>
      </c>
      <c r="AG442" s="576">
        <v>1230928.8</v>
      </c>
    </row>
    <row r="443" spans="1:33" x14ac:dyDescent="0.25">
      <c r="A443" s="574" t="s">
        <v>2219</v>
      </c>
      <c r="B443" s="574" t="s">
        <v>2220</v>
      </c>
      <c r="C443" s="574" t="s">
        <v>2221</v>
      </c>
      <c r="D443" s="574" t="s">
        <v>2220</v>
      </c>
      <c r="E443" s="574" t="s">
        <v>2222</v>
      </c>
      <c r="F443" s="574" t="s">
        <v>2223</v>
      </c>
      <c r="G443" s="574" t="s">
        <v>2224</v>
      </c>
      <c r="H443" s="574" t="s">
        <v>2225</v>
      </c>
      <c r="I443" s="574" t="s">
        <v>2226</v>
      </c>
      <c r="J443" s="574" t="s">
        <v>2227</v>
      </c>
      <c r="K443" s="574" t="s">
        <v>2228</v>
      </c>
      <c r="L443" s="574" t="s">
        <v>2229</v>
      </c>
      <c r="M443" s="574" t="s">
        <v>2230</v>
      </c>
      <c r="N443" s="574" t="s">
        <v>2231</v>
      </c>
      <c r="O443" s="574" t="s">
        <v>2232</v>
      </c>
      <c r="P443" s="574" t="s">
        <v>2233</v>
      </c>
      <c r="Q443" s="574" t="s">
        <v>2234</v>
      </c>
      <c r="R443" s="574" t="s">
        <v>2225</v>
      </c>
      <c r="S443" s="574" t="s">
        <v>2235</v>
      </c>
      <c r="T443" s="574" t="s">
        <v>2236</v>
      </c>
      <c r="U443" s="574" t="s">
        <v>2580</v>
      </c>
      <c r="V443" s="574" t="s">
        <v>2238</v>
      </c>
      <c r="W443" s="574" t="s">
        <v>2239</v>
      </c>
      <c r="X443" s="574" t="s">
        <v>2581</v>
      </c>
      <c r="Y443" s="575" t="s">
        <v>2579</v>
      </c>
      <c r="Z443" s="575" t="s">
        <v>2579</v>
      </c>
      <c r="AA443" s="574" t="s">
        <v>1695</v>
      </c>
      <c r="AB443" s="574" t="s">
        <v>2337</v>
      </c>
      <c r="AC443" s="574" t="s">
        <v>2544</v>
      </c>
      <c r="AD443" s="574" t="s">
        <v>2545</v>
      </c>
      <c r="AE443" s="574" t="s">
        <v>2546</v>
      </c>
      <c r="AF443" s="574" t="s">
        <v>2545</v>
      </c>
      <c r="AG443" s="576">
        <v>1468274</v>
      </c>
    </row>
    <row r="444" spans="1:33" x14ac:dyDescent="0.25">
      <c r="A444" s="574" t="s">
        <v>2219</v>
      </c>
      <c r="B444" s="574" t="s">
        <v>2220</v>
      </c>
      <c r="C444" s="574" t="s">
        <v>2221</v>
      </c>
      <c r="D444" s="574" t="s">
        <v>2220</v>
      </c>
      <c r="E444" s="574" t="s">
        <v>2222</v>
      </c>
      <c r="F444" s="574" t="s">
        <v>2223</v>
      </c>
      <c r="G444" s="574" t="s">
        <v>2224</v>
      </c>
      <c r="H444" s="574" t="s">
        <v>2225</v>
      </c>
      <c r="I444" s="574" t="s">
        <v>2226</v>
      </c>
      <c r="J444" s="574" t="s">
        <v>2227</v>
      </c>
      <c r="K444" s="574" t="s">
        <v>2228</v>
      </c>
      <c r="L444" s="574" t="s">
        <v>2229</v>
      </c>
      <c r="M444" s="574" t="s">
        <v>2230</v>
      </c>
      <c r="N444" s="574" t="s">
        <v>2231</v>
      </c>
      <c r="O444" s="574" t="s">
        <v>2232</v>
      </c>
      <c r="P444" s="574" t="s">
        <v>2233</v>
      </c>
      <c r="Q444" s="574" t="s">
        <v>2234</v>
      </c>
      <c r="R444" s="574" t="s">
        <v>2225</v>
      </c>
      <c r="S444" s="574" t="s">
        <v>2235</v>
      </c>
      <c r="T444" s="574" t="s">
        <v>2236</v>
      </c>
      <c r="U444" s="574" t="s">
        <v>2554</v>
      </c>
      <c r="V444" s="574" t="s">
        <v>2238</v>
      </c>
      <c r="W444" s="574" t="s">
        <v>2239</v>
      </c>
      <c r="X444" s="574" t="s">
        <v>2555</v>
      </c>
      <c r="Y444" s="575" t="s">
        <v>2553</v>
      </c>
      <c r="Z444" s="575" t="s">
        <v>2553</v>
      </c>
      <c r="AA444" s="574" t="s">
        <v>1696</v>
      </c>
      <c r="AB444" s="574" t="s">
        <v>2404</v>
      </c>
      <c r="AC444" s="574" t="s">
        <v>2405</v>
      </c>
      <c r="AD444" s="574" t="s">
        <v>2406</v>
      </c>
      <c r="AE444" s="574" t="s">
        <v>2407</v>
      </c>
      <c r="AF444" s="574" t="s">
        <v>2406</v>
      </c>
      <c r="AG444" s="576">
        <v>14750</v>
      </c>
    </row>
    <row r="445" spans="1:33" x14ac:dyDescent="0.25">
      <c r="A445" s="574" t="s">
        <v>2219</v>
      </c>
      <c r="B445" s="574" t="s">
        <v>2220</v>
      </c>
      <c r="C445" s="574" t="s">
        <v>2221</v>
      </c>
      <c r="D445" s="574" t="s">
        <v>2220</v>
      </c>
      <c r="E445" s="574" t="s">
        <v>2222</v>
      </c>
      <c r="F445" s="574" t="s">
        <v>2223</v>
      </c>
      <c r="G445" s="574" t="s">
        <v>2224</v>
      </c>
      <c r="H445" s="574" t="s">
        <v>2225</v>
      </c>
      <c r="I445" s="574" t="s">
        <v>2226</v>
      </c>
      <c r="J445" s="574" t="s">
        <v>2227</v>
      </c>
      <c r="K445" s="574" t="s">
        <v>2228</v>
      </c>
      <c r="L445" s="574" t="s">
        <v>2229</v>
      </c>
      <c r="M445" s="574" t="s">
        <v>2230</v>
      </c>
      <c r="N445" s="574" t="s">
        <v>2231</v>
      </c>
      <c r="O445" s="574" t="s">
        <v>2232</v>
      </c>
      <c r="P445" s="574" t="s">
        <v>2233</v>
      </c>
      <c r="Q445" s="574" t="s">
        <v>2234</v>
      </c>
      <c r="R445" s="574" t="s">
        <v>2225</v>
      </c>
      <c r="S445" s="574" t="s">
        <v>2235</v>
      </c>
      <c r="T445" s="574" t="s">
        <v>2236</v>
      </c>
      <c r="U445" s="574" t="s">
        <v>2400</v>
      </c>
      <c r="V445" s="574" t="s">
        <v>2238</v>
      </c>
      <c r="W445" s="574" t="s">
        <v>2239</v>
      </c>
      <c r="X445" s="574" t="s">
        <v>2401</v>
      </c>
      <c r="Y445" s="575" t="s">
        <v>2372</v>
      </c>
      <c r="Z445" s="575" t="s">
        <v>2372</v>
      </c>
      <c r="AA445" s="574" t="s">
        <v>1696</v>
      </c>
      <c r="AB445" s="574" t="s">
        <v>2404</v>
      </c>
      <c r="AC445" s="574" t="s">
        <v>2405</v>
      </c>
      <c r="AD445" s="574" t="s">
        <v>2406</v>
      </c>
      <c r="AE445" s="574" t="s">
        <v>2407</v>
      </c>
      <c r="AF445" s="574" t="s">
        <v>2406</v>
      </c>
      <c r="AG445" s="576">
        <v>64605</v>
      </c>
    </row>
    <row r="446" spans="1:33" x14ac:dyDescent="0.25">
      <c r="A446" s="574" t="s">
        <v>2219</v>
      </c>
      <c r="B446" s="574" t="s">
        <v>2220</v>
      </c>
      <c r="C446" s="574" t="s">
        <v>2221</v>
      </c>
      <c r="D446" s="574" t="s">
        <v>2220</v>
      </c>
      <c r="E446" s="574" t="s">
        <v>2222</v>
      </c>
      <c r="F446" s="574" t="s">
        <v>2223</v>
      </c>
      <c r="G446" s="574" t="s">
        <v>2224</v>
      </c>
      <c r="H446" s="574" t="s">
        <v>2225</v>
      </c>
      <c r="I446" s="574" t="s">
        <v>2226</v>
      </c>
      <c r="J446" s="574" t="s">
        <v>2227</v>
      </c>
      <c r="K446" s="574" t="s">
        <v>2228</v>
      </c>
      <c r="L446" s="574" t="s">
        <v>2229</v>
      </c>
      <c r="M446" s="574" t="s">
        <v>2230</v>
      </c>
      <c r="N446" s="574" t="s">
        <v>2231</v>
      </c>
      <c r="O446" s="574" t="s">
        <v>2232</v>
      </c>
      <c r="P446" s="574" t="s">
        <v>2233</v>
      </c>
      <c r="Q446" s="574" t="s">
        <v>2234</v>
      </c>
      <c r="R446" s="574" t="s">
        <v>2225</v>
      </c>
      <c r="S446" s="574" t="s">
        <v>2235</v>
      </c>
      <c r="T446" s="574" t="s">
        <v>2236</v>
      </c>
      <c r="U446" s="574" t="s">
        <v>2489</v>
      </c>
      <c r="V446" s="574" t="s">
        <v>2238</v>
      </c>
      <c r="W446" s="574" t="s">
        <v>2239</v>
      </c>
      <c r="X446" s="574" t="s">
        <v>2490</v>
      </c>
      <c r="Y446" s="575" t="s">
        <v>2491</v>
      </c>
      <c r="Z446" s="575" t="s">
        <v>2491</v>
      </c>
      <c r="AA446" s="574" t="s">
        <v>1696</v>
      </c>
      <c r="AB446" s="574" t="s">
        <v>2404</v>
      </c>
      <c r="AC446" s="574" t="s">
        <v>2405</v>
      </c>
      <c r="AD446" s="574" t="s">
        <v>2406</v>
      </c>
      <c r="AE446" s="574" t="s">
        <v>2407</v>
      </c>
      <c r="AF446" s="574" t="s">
        <v>2406</v>
      </c>
      <c r="AG446" s="576">
        <v>181720</v>
      </c>
    </row>
    <row r="448" spans="1:33" x14ac:dyDescent="0.25">
      <c r="AG448" s="577">
        <f>SUBTOTAL(9,AG2:AG447)</f>
        <v>16311429.310000002</v>
      </c>
    </row>
    <row r="449" spans="33:33" x14ac:dyDescent="0.25">
      <c r="AG449" s="295" t="e">
        <f>+AG448-#REF!</f>
        <v>#REF!</v>
      </c>
    </row>
    <row r="984" spans="33:33" x14ac:dyDescent="0.25">
      <c r="AG984" s="469" t="e">
        <f>SUBTOTAL(9,AG2:AG983)</f>
        <v>#REF!</v>
      </c>
    </row>
    <row r="985" spans="33:33" x14ac:dyDescent="0.25">
      <c r="AG985" s="469">
        <v>4120195.3000000003</v>
      </c>
    </row>
    <row r="986" spans="33:33" x14ac:dyDescent="0.25">
      <c r="AG986" s="586" t="e">
        <f>+AG984+AG985</f>
        <v>#REF!</v>
      </c>
    </row>
  </sheetData>
  <autoFilter ref="A1:AG446">
    <filterColumn colId="26">
      <filters>
        <filter val="2.6.1"/>
        <filter val="2.6.3"/>
        <filter val="2.6.5"/>
      </filters>
    </filterColumn>
  </autoFilter>
  <sortState ref="A2:AG1071">
    <sortCondition ref="AG2:AG1071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2"/>
  <sheetViews>
    <sheetView view="pageBreakPreview" topLeftCell="A73" zoomScale="96" zoomScaleNormal="145" zoomScaleSheetLayoutView="96" workbookViewId="0">
      <selection activeCell="E73" sqref="E73"/>
    </sheetView>
  </sheetViews>
  <sheetFormatPr baseColWidth="10" defaultColWidth="11.42578125" defaultRowHeight="12.75" x14ac:dyDescent="0.2"/>
  <cols>
    <col min="1" max="1" width="49.28515625" style="168" customWidth="1"/>
    <col min="2" max="2" width="16.5703125" style="168" bestFit="1" customWidth="1"/>
    <col min="3" max="3" width="19.42578125" style="168" customWidth="1"/>
    <col min="4" max="4" width="16.5703125" style="171" bestFit="1" customWidth="1"/>
    <col min="5" max="6" width="16" style="167" bestFit="1" customWidth="1"/>
    <col min="7" max="8" width="14.7109375" style="168" bestFit="1" customWidth="1"/>
    <col min="9" max="16384" width="11.42578125" style="168"/>
  </cols>
  <sheetData>
    <row r="1" spans="1:8" x14ac:dyDescent="0.2">
      <c r="A1" s="926" t="s">
        <v>188</v>
      </c>
      <c r="B1" s="926"/>
      <c r="C1" s="926"/>
      <c r="D1" s="926"/>
    </row>
    <row r="2" spans="1:8" x14ac:dyDescent="0.2">
      <c r="A2" s="926" t="s">
        <v>218</v>
      </c>
      <c r="B2" s="926"/>
      <c r="C2" s="926"/>
      <c r="D2" s="926"/>
    </row>
    <row r="3" spans="1:8" s="8" customFormat="1" ht="15.75" x14ac:dyDescent="0.25">
      <c r="A3" s="925" t="s">
        <v>4284</v>
      </c>
      <c r="B3" s="925"/>
      <c r="C3" s="925"/>
      <c r="D3" s="925"/>
      <c r="F3" s="11"/>
    </row>
    <row r="4" spans="1:8" x14ac:dyDescent="0.2">
      <c r="A4" s="927" t="s">
        <v>28</v>
      </c>
      <c r="B4" s="927"/>
      <c r="C4" s="927"/>
      <c r="D4" s="927"/>
      <c r="E4" s="168"/>
    </row>
    <row r="5" spans="1:8" x14ac:dyDescent="0.2">
      <c r="A5" s="927"/>
      <c r="B5" s="927"/>
      <c r="C5" s="927"/>
      <c r="D5" s="927"/>
    </row>
    <row r="6" spans="1:8" s="244" customFormat="1" x14ac:dyDescent="0.2">
      <c r="A6" s="244" t="s">
        <v>83</v>
      </c>
      <c r="D6" s="213"/>
      <c r="E6" s="280"/>
      <c r="F6" s="280"/>
    </row>
    <row r="7" spans="1:8" x14ac:dyDescent="0.2">
      <c r="A7" s="168" t="s">
        <v>4286</v>
      </c>
    </row>
    <row r="8" spans="1:8" x14ac:dyDescent="0.2">
      <c r="A8" s="168" t="s">
        <v>89</v>
      </c>
      <c r="C8" s="594">
        <v>2025</v>
      </c>
      <c r="D8" s="656"/>
    </row>
    <row r="9" spans="1:8" x14ac:dyDescent="0.2">
      <c r="A9" s="168" t="s">
        <v>153</v>
      </c>
      <c r="C9" s="622">
        <f>+'CONCILIACION '!G44</f>
        <v>1731116.63</v>
      </c>
      <c r="D9" s="665"/>
    </row>
    <row r="10" spans="1:8" x14ac:dyDescent="0.2">
      <c r="A10" s="168" t="s">
        <v>154</v>
      </c>
      <c r="C10" s="622">
        <v>0</v>
      </c>
      <c r="D10" s="665"/>
    </row>
    <row r="11" spans="1:8" x14ac:dyDescent="0.2">
      <c r="A11" s="168" t="s">
        <v>3767</v>
      </c>
      <c r="C11" s="622">
        <f>+B14+B15</f>
        <v>302193721.15999997</v>
      </c>
      <c r="D11" s="665"/>
      <c r="E11" s="623"/>
      <c r="F11" s="651"/>
      <c r="G11" s="624"/>
      <c r="H11" s="276"/>
    </row>
    <row r="12" spans="1:8" ht="13.5" thickBot="1" x14ac:dyDescent="0.25">
      <c r="C12" s="269">
        <f>SUM(C8:C11)</f>
        <v>303926862.78999996</v>
      </c>
      <c r="D12" s="667"/>
      <c r="E12" s="623"/>
      <c r="F12" s="651"/>
      <c r="G12" s="624"/>
      <c r="H12" s="276"/>
    </row>
    <row r="13" spans="1:8" ht="13.5" thickTop="1" x14ac:dyDescent="0.2">
      <c r="C13" s="622"/>
      <c r="D13" s="665"/>
      <c r="E13" s="651"/>
      <c r="F13" s="651"/>
      <c r="G13" s="624"/>
      <c r="H13" s="276"/>
    </row>
    <row r="14" spans="1:8" x14ac:dyDescent="0.2">
      <c r="A14" s="168" t="s">
        <v>3774</v>
      </c>
      <c r="B14" s="622">
        <v>300950743.63</v>
      </c>
      <c r="C14" s="624"/>
      <c r="D14" s="666"/>
      <c r="E14" s="623"/>
      <c r="F14" s="651" t="s">
        <v>427</v>
      </c>
      <c r="G14" s="624"/>
    </row>
    <row r="15" spans="1:8" x14ac:dyDescent="0.2">
      <c r="A15" s="168" t="s">
        <v>3775</v>
      </c>
      <c r="B15" s="674">
        <v>1242977.53</v>
      </c>
      <c r="C15" s="624"/>
      <c r="D15" s="666"/>
      <c r="E15" s="651"/>
      <c r="F15" s="651"/>
      <c r="G15" s="624"/>
    </row>
    <row r="16" spans="1:8" x14ac:dyDescent="0.2">
      <c r="B16" s="673">
        <f>SUM(B14:B15)</f>
        <v>302193721.15999997</v>
      </c>
      <c r="C16" s="624"/>
      <c r="D16" s="666"/>
      <c r="E16" s="623"/>
      <c r="F16" s="651"/>
      <c r="G16" s="624"/>
    </row>
    <row r="17" spans="1:7" x14ac:dyDescent="0.2">
      <c r="A17" s="594" t="s">
        <v>157</v>
      </c>
      <c r="B17" s="594"/>
    </row>
    <row r="18" spans="1:7" x14ac:dyDescent="0.2">
      <c r="A18" s="168" t="s">
        <v>75</v>
      </c>
    </row>
    <row r="19" spans="1:7" s="244" customFormat="1" x14ac:dyDescent="0.2">
      <c r="A19" s="244" t="s">
        <v>192</v>
      </c>
      <c r="D19" s="213"/>
      <c r="E19" s="167"/>
      <c r="F19" s="167"/>
      <c r="G19" s="168"/>
    </row>
    <row r="20" spans="1:7" x14ac:dyDescent="0.2">
      <c r="A20" s="168" t="s">
        <v>4287</v>
      </c>
      <c r="E20" s="280"/>
      <c r="F20" s="280"/>
      <c r="G20" s="244"/>
    </row>
    <row r="21" spans="1:7" x14ac:dyDescent="0.2">
      <c r="A21" s="244" t="s">
        <v>88</v>
      </c>
      <c r="B21" s="244"/>
      <c r="C21" s="594">
        <v>2024</v>
      </c>
      <c r="D21" s="656"/>
    </row>
    <row r="22" spans="1:7" x14ac:dyDescent="0.2">
      <c r="A22" s="168" t="s">
        <v>155</v>
      </c>
      <c r="C22" s="270">
        <f>+CXC!B159</f>
        <v>18208481.668999989</v>
      </c>
      <c r="D22" s="625"/>
    </row>
    <row r="23" spans="1:7" x14ac:dyDescent="0.2">
      <c r="A23" s="168" t="s">
        <v>156</v>
      </c>
      <c r="C23" s="270">
        <v>63940333.700000003</v>
      </c>
      <c r="D23" s="625"/>
    </row>
    <row r="24" spans="1:7" ht="13.5" thickBot="1" x14ac:dyDescent="0.25">
      <c r="A24" s="594" t="s">
        <v>157</v>
      </c>
      <c r="B24" s="594"/>
      <c r="C24" s="269">
        <f>SUM(C22:C23)</f>
        <v>82148815.368999988</v>
      </c>
      <c r="D24" s="667"/>
    </row>
    <row r="25" spans="1:7" s="244" customFormat="1" ht="13.5" thickTop="1" x14ac:dyDescent="0.2">
      <c r="A25" s="244" t="s">
        <v>193</v>
      </c>
      <c r="D25" s="213"/>
      <c r="E25" s="167"/>
      <c r="F25" s="167"/>
      <c r="G25" s="168"/>
    </row>
    <row r="26" spans="1:7" x14ac:dyDescent="0.2">
      <c r="A26" s="168" t="s">
        <v>4288</v>
      </c>
    </row>
    <row r="27" spans="1:7" x14ac:dyDescent="0.2">
      <c r="A27" s="168" t="s">
        <v>88</v>
      </c>
      <c r="C27" s="594">
        <v>2024</v>
      </c>
      <c r="D27" s="656"/>
    </row>
    <row r="28" spans="1:7" x14ac:dyDescent="0.2">
      <c r="A28" s="168" t="s">
        <v>158</v>
      </c>
      <c r="C28" s="270">
        <v>7385934.7999999998</v>
      </c>
      <c r="D28" s="625"/>
    </row>
    <row r="29" spans="1:7" x14ac:dyDescent="0.2">
      <c r="A29" s="168" t="s">
        <v>159</v>
      </c>
      <c r="C29" s="270">
        <f>48965927.92+27706430.1</f>
        <v>76672358.020000011</v>
      </c>
      <c r="D29" s="625"/>
    </row>
    <row r="30" spans="1:7" x14ac:dyDescent="0.2">
      <c r="A30" s="168" t="s">
        <v>160</v>
      </c>
      <c r="C30" s="625">
        <v>7545437.25</v>
      </c>
      <c r="D30" s="625"/>
    </row>
    <row r="31" spans="1:7" x14ac:dyDescent="0.2">
      <c r="A31" s="168" t="s">
        <v>161</v>
      </c>
      <c r="C31" s="626">
        <v>822695.3</v>
      </c>
      <c r="D31" s="626"/>
    </row>
    <row r="32" spans="1:7" ht="13.5" thickBot="1" x14ac:dyDescent="0.25">
      <c r="A32" s="594" t="s">
        <v>157</v>
      </c>
      <c r="B32" s="594"/>
      <c r="C32" s="277">
        <f>SUM(C28:C31)</f>
        <v>92426425.370000005</v>
      </c>
      <c r="D32" s="582"/>
    </row>
    <row r="33" spans="1:4" ht="13.5" thickTop="1" x14ac:dyDescent="0.2"/>
    <row r="34" spans="1:4" x14ac:dyDescent="0.2">
      <c r="A34" s="244" t="s">
        <v>195</v>
      </c>
      <c r="B34" s="244"/>
    </row>
    <row r="35" spans="1:4" x14ac:dyDescent="0.2">
      <c r="A35" s="168" t="s">
        <v>4289</v>
      </c>
    </row>
    <row r="36" spans="1:4" x14ac:dyDescent="0.2">
      <c r="A36" s="168" t="s">
        <v>88</v>
      </c>
      <c r="C36" s="594">
        <v>2024</v>
      </c>
      <c r="D36" s="656"/>
    </row>
    <row r="37" spans="1:4" x14ac:dyDescent="0.2">
      <c r="A37" s="627" t="s">
        <v>3760</v>
      </c>
      <c r="B37" s="627"/>
      <c r="C37" s="270">
        <f>+'CUENTAS POR PAGAR'!N105</f>
        <v>21432969.339999996</v>
      </c>
      <c r="D37" s="625"/>
    </row>
    <row r="38" spans="1:4" ht="13.5" thickBot="1" x14ac:dyDescent="0.25">
      <c r="A38" s="594" t="s">
        <v>157</v>
      </c>
      <c r="B38" s="594"/>
      <c r="C38" s="269">
        <f>SUM(C37:C37)</f>
        <v>21432969.339999996</v>
      </c>
      <c r="D38" s="667"/>
    </row>
    <row r="39" spans="1:4" ht="13.5" thickTop="1" x14ac:dyDescent="0.2"/>
    <row r="40" spans="1:4" x14ac:dyDescent="0.2">
      <c r="A40" s="244" t="s">
        <v>196</v>
      </c>
      <c r="B40" s="244"/>
    </row>
    <row r="41" spans="1:4" x14ac:dyDescent="0.2">
      <c r="A41" s="168" t="s">
        <v>4290</v>
      </c>
    </row>
    <row r="42" spans="1:4" x14ac:dyDescent="0.2">
      <c r="A42" s="168" t="s">
        <v>88</v>
      </c>
      <c r="C42" s="594">
        <v>2024</v>
      </c>
      <c r="D42" s="656"/>
    </row>
    <row r="43" spans="1:4" x14ac:dyDescent="0.2">
      <c r="A43" s="168" t="s">
        <v>162</v>
      </c>
      <c r="C43" s="270">
        <f>11389866.86+276884.63+183994.68</f>
        <v>11850746.17</v>
      </c>
      <c r="D43" s="625"/>
    </row>
    <row r="44" spans="1:4" x14ac:dyDescent="0.2">
      <c r="A44" s="168" t="s">
        <v>163</v>
      </c>
      <c r="C44" s="270">
        <f>292785.08+2964.29</f>
        <v>295749.37</v>
      </c>
      <c r="D44" s="625"/>
    </row>
    <row r="45" spans="1:4" x14ac:dyDescent="0.2">
      <c r="A45" s="168" t="s">
        <v>1409</v>
      </c>
      <c r="C45" s="167">
        <f>17550+26678.57</f>
        <v>44228.57</v>
      </c>
      <c r="D45" s="183"/>
    </row>
    <row r="46" spans="1:4" ht="13.5" thickBot="1" x14ac:dyDescent="0.25">
      <c r="A46" s="594" t="s">
        <v>157</v>
      </c>
      <c r="B46" s="594"/>
      <c r="C46" s="277">
        <f>SUM(C43:C45)</f>
        <v>12190724.109999999</v>
      </c>
      <c r="D46" s="582"/>
    </row>
    <row r="47" spans="1:4" ht="13.5" thickTop="1" x14ac:dyDescent="0.2">
      <c r="A47" s="244" t="s">
        <v>197</v>
      </c>
      <c r="B47" s="244"/>
    </row>
    <row r="48" spans="1:4" x14ac:dyDescent="0.2">
      <c r="A48" s="168" t="s">
        <v>4291</v>
      </c>
    </row>
    <row r="49" spans="1:4" x14ac:dyDescent="0.2">
      <c r="A49" s="168" t="s">
        <v>88</v>
      </c>
      <c r="C49" s="594">
        <v>2024</v>
      </c>
      <c r="D49" s="656"/>
    </row>
    <row r="50" spans="1:4" x14ac:dyDescent="0.2">
      <c r="A50" s="168" t="s">
        <v>3761</v>
      </c>
      <c r="C50" s="167">
        <f>+obligaciones!E13</f>
        <v>1249691.8050000006</v>
      </c>
      <c r="D50" s="183"/>
    </row>
    <row r="51" spans="1:4" x14ac:dyDescent="0.2">
      <c r="A51" s="168" t="s">
        <v>3762</v>
      </c>
      <c r="C51" s="167">
        <f>+obligaciones!E16</f>
        <v>0</v>
      </c>
      <c r="D51" s="183"/>
    </row>
    <row r="52" spans="1:4" ht="13.5" thickBot="1" x14ac:dyDescent="0.25">
      <c r="A52" s="594" t="s">
        <v>157</v>
      </c>
      <c r="B52" s="594"/>
      <c r="C52" s="493">
        <f>SUM(C49:C51)</f>
        <v>1251715.8050000006</v>
      </c>
      <c r="D52" s="667"/>
    </row>
    <row r="53" spans="1:4" ht="13.5" thickTop="1" x14ac:dyDescent="0.2">
      <c r="A53" s="244" t="s">
        <v>3706</v>
      </c>
      <c r="B53" s="244"/>
    </row>
    <row r="54" spans="1:4" x14ac:dyDescent="0.2">
      <c r="A54" s="168" t="s">
        <v>4292</v>
      </c>
    </row>
    <row r="55" spans="1:4" x14ac:dyDescent="0.2">
      <c r="A55" s="628" t="s">
        <v>219</v>
      </c>
      <c r="B55" s="628"/>
      <c r="C55" s="288">
        <v>2024</v>
      </c>
      <c r="D55" s="668"/>
    </row>
    <row r="56" spans="1:4" x14ac:dyDescent="0.2">
      <c r="A56" s="629" t="s">
        <v>10</v>
      </c>
      <c r="B56" s="629"/>
      <c r="C56" s="630">
        <v>341960581.44</v>
      </c>
      <c r="D56" s="631"/>
    </row>
    <row r="57" spans="1:4" x14ac:dyDescent="0.2">
      <c r="A57" s="629" t="s">
        <v>57</v>
      </c>
      <c r="B57" s="629"/>
      <c r="C57" s="630">
        <f>+'Est. de Rendimiento Fin'!B24</f>
        <v>149702525.16432285</v>
      </c>
      <c r="D57" s="631"/>
    </row>
    <row r="58" spans="1:4" x14ac:dyDescent="0.2">
      <c r="A58" s="629" t="s">
        <v>56</v>
      </c>
      <c r="B58" s="629"/>
      <c r="C58" s="630">
        <f>+'cambio en el patr.'!E11</f>
        <v>-111192335.49000001</v>
      </c>
      <c r="D58" s="631"/>
    </row>
    <row r="59" spans="1:4" x14ac:dyDescent="0.2">
      <c r="A59" s="629" t="s">
        <v>3700</v>
      </c>
      <c r="B59" s="629"/>
      <c r="C59" s="631">
        <f>+'cambio en el patr.'!E13</f>
        <v>228228184.30000001</v>
      </c>
      <c r="D59" s="631"/>
    </row>
    <row r="60" spans="1:4" ht="13.5" thickBot="1" x14ac:dyDescent="0.25">
      <c r="A60" s="244" t="s">
        <v>58</v>
      </c>
      <c r="B60" s="244"/>
      <c r="C60" s="633">
        <f>+C56+C57+C58+C59</f>
        <v>608698955.41432285</v>
      </c>
      <c r="D60" s="267"/>
    </row>
    <row r="61" spans="1:4" ht="13.5" thickTop="1" x14ac:dyDescent="0.2">
      <c r="A61" s="244"/>
      <c r="B61" s="244"/>
      <c r="C61" s="267"/>
      <c r="D61" s="267"/>
    </row>
    <row r="62" spans="1:4" x14ac:dyDescent="0.2">
      <c r="A62" s="244" t="s">
        <v>3704</v>
      </c>
      <c r="B62" s="244"/>
    </row>
    <row r="63" spans="1:4" x14ac:dyDescent="0.2">
      <c r="A63" s="244"/>
      <c r="B63" s="244"/>
    </row>
    <row r="64" spans="1:4" x14ac:dyDescent="0.2">
      <c r="A64" s="168" t="s">
        <v>4293</v>
      </c>
    </row>
    <row r="65" spans="1:4" x14ac:dyDescent="0.2">
      <c r="A65" s="244" t="s">
        <v>88</v>
      </c>
      <c r="B65" s="244"/>
      <c r="C65" s="594">
        <v>2024</v>
      </c>
      <c r="D65" s="656"/>
    </row>
    <row r="66" spans="1:4" x14ac:dyDescent="0.2">
      <c r="A66" s="244" t="s">
        <v>3763</v>
      </c>
      <c r="B66" s="244"/>
      <c r="C66" s="594"/>
      <c r="D66" s="656"/>
    </row>
    <row r="67" spans="1:4" x14ac:dyDescent="0.2">
      <c r="A67" s="593" t="s">
        <v>3711</v>
      </c>
      <c r="B67" s="593"/>
      <c r="C67" s="270">
        <f>+INGRESOS!E24+'INGRESOS FEBRERO'!E25+'INGRESOS MARZO'!E37+INGRESOS!E32</f>
        <v>24062966.799999997</v>
      </c>
      <c r="D67" s="625"/>
    </row>
    <row r="68" spans="1:4" x14ac:dyDescent="0.2">
      <c r="A68" s="584" t="s">
        <v>3696</v>
      </c>
      <c r="B68" s="584"/>
      <c r="C68" s="585">
        <f>+C67</f>
        <v>24062966.799999997</v>
      </c>
      <c r="D68" s="271"/>
    </row>
    <row r="69" spans="1:4" x14ac:dyDescent="0.2">
      <c r="A69" s="584"/>
      <c r="B69" s="584"/>
      <c r="C69" s="585"/>
      <c r="D69" s="271"/>
    </row>
    <row r="70" spans="1:4" x14ac:dyDescent="0.2">
      <c r="A70" s="244" t="s">
        <v>3772</v>
      </c>
      <c r="B70" s="244"/>
      <c r="C70" s="585"/>
      <c r="D70" s="271"/>
    </row>
    <row r="71" spans="1:4" x14ac:dyDescent="0.2">
      <c r="A71" s="168" t="s">
        <v>3768</v>
      </c>
      <c r="C71" s="270">
        <v>505753111.52999997</v>
      </c>
      <c r="D71" s="625"/>
    </row>
    <row r="72" spans="1:4" x14ac:dyDescent="0.2">
      <c r="A72" s="244" t="s">
        <v>3769</v>
      </c>
      <c r="B72" s="244"/>
      <c r="C72" s="585">
        <f>SUM(C71:C71)</f>
        <v>505753111.52999997</v>
      </c>
      <c r="D72" s="271"/>
    </row>
    <row r="73" spans="1:4" x14ac:dyDescent="0.2">
      <c r="A73" s="244"/>
      <c r="B73" s="244"/>
      <c r="C73" s="585"/>
      <c r="D73" s="271"/>
    </row>
    <row r="74" spans="1:4" x14ac:dyDescent="0.2">
      <c r="A74" s="244" t="s">
        <v>3770</v>
      </c>
      <c r="B74" s="244"/>
      <c r="C74" s="585"/>
      <c r="D74" s="271"/>
    </row>
    <row r="75" spans="1:4" x14ac:dyDescent="0.2">
      <c r="A75" s="168" t="s">
        <v>3771</v>
      </c>
      <c r="C75" s="270">
        <f>+INGRESOS!E29+'INGRESOS FEBRERO'!E31+'INGRESOS MARZO'!E44+INGRESOS!E39</f>
        <v>1182489.4300000002</v>
      </c>
      <c r="D75" s="625"/>
    </row>
    <row r="76" spans="1:4" x14ac:dyDescent="0.2">
      <c r="A76" s="244" t="s">
        <v>3697</v>
      </c>
      <c r="B76" s="244"/>
      <c r="C76" s="585">
        <f>+C75</f>
        <v>1182489.4300000002</v>
      </c>
      <c r="D76" s="271"/>
    </row>
    <row r="77" spans="1:4" x14ac:dyDescent="0.2">
      <c r="A77" s="244"/>
      <c r="B77" s="244"/>
      <c r="C77" s="585"/>
      <c r="D77" s="271"/>
    </row>
    <row r="78" spans="1:4" x14ac:dyDescent="0.2">
      <c r="A78" s="244" t="s">
        <v>3765</v>
      </c>
      <c r="B78" s="244"/>
      <c r="C78" s="585"/>
      <c r="D78" s="271"/>
    </row>
    <row r="79" spans="1:4" x14ac:dyDescent="0.2">
      <c r="A79" s="168" t="s">
        <v>179</v>
      </c>
      <c r="C79" s="270">
        <v>0</v>
      </c>
      <c r="D79" s="625"/>
    </row>
    <row r="80" spans="1:4" x14ac:dyDescent="0.2">
      <c r="A80" s="244" t="s">
        <v>3764</v>
      </c>
      <c r="B80" s="244"/>
      <c r="C80" s="585">
        <f>+C79</f>
        <v>0</v>
      </c>
      <c r="D80" s="271"/>
    </row>
    <row r="81" spans="1:5" ht="16.5" thickBot="1" x14ac:dyDescent="0.3">
      <c r="A81" s="594" t="s">
        <v>157</v>
      </c>
      <c r="B81" s="594"/>
      <c r="C81" s="278">
        <f>+C67+C71+C75</f>
        <v>530998567.75999999</v>
      </c>
      <c r="D81" s="271"/>
      <c r="E81" s="11"/>
    </row>
    <row r="82" spans="1:5" ht="16.5" thickTop="1" x14ac:dyDescent="0.25">
      <c r="A82" s="594"/>
      <c r="B82" s="594"/>
      <c r="C82" s="271"/>
      <c r="D82" s="271"/>
      <c r="E82" s="11"/>
    </row>
    <row r="83" spans="1:5" x14ac:dyDescent="0.2">
      <c r="A83" s="244" t="s">
        <v>3705</v>
      </c>
      <c r="B83" s="244"/>
    </row>
    <row r="84" spans="1:5" x14ac:dyDescent="0.2">
      <c r="A84" s="168" t="s">
        <v>4294</v>
      </c>
    </row>
    <row r="85" spans="1:5" x14ac:dyDescent="0.2">
      <c r="A85" s="553" t="s">
        <v>91</v>
      </c>
      <c r="B85" s="594"/>
      <c r="C85" s="594">
        <v>2024</v>
      </c>
      <c r="D85" s="656"/>
    </row>
    <row r="86" spans="1:5" x14ac:dyDescent="0.2">
      <c r="A86" s="168" t="s">
        <v>92</v>
      </c>
      <c r="C86" s="270">
        <f>159434491.35+53482455.21-1107531.03-181111.08+3384964.48</f>
        <v>215013268.92999998</v>
      </c>
      <c r="D86" s="625"/>
    </row>
    <row r="87" spans="1:5" x14ac:dyDescent="0.2">
      <c r="A87" s="593" t="s">
        <v>95</v>
      </c>
      <c r="B87" s="593"/>
      <c r="C87" s="270">
        <f>11529203.67+3870432.33</f>
        <v>15399636</v>
      </c>
      <c r="D87" s="625"/>
    </row>
    <row r="88" spans="1:5" x14ac:dyDescent="0.2">
      <c r="A88" s="593" t="s">
        <v>96</v>
      </c>
      <c r="B88" s="593"/>
      <c r="C88" s="270">
        <f>11545459.36+3875889.48</f>
        <v>15421348.84</v>
      </c>
      <c r="D88" s="625"/>
    </row>
    <row r="89" spans="1:5" x14ac:dyDescent="0.2">
      <c r="A89" s="593" t="s">
        <v>97</v>
      </c>
      <c r="B89" s="593"/>
      <c r="C89" s="270">
        <f>1946469.26+653772.07</f>
        <v>2600241.33</v>
      </c>
      <c r="D89" s="625"/>
    </row>
    <row r="90" spans="1:5" x14ac:dyDescent="0.2">
      <c r="A90" s="593" t="s">
        <v>181</v>
      </c>
      <c r="B90" s="593"/>
      <c r="C90" s="270">
        <f>317753.09+1107531.03</f>
        <v>1425284.12</v>
      </c>
      <c r="D90" s="625"/>
    </row>
    <row r="91" spans="1:5" x14ac:dyDescent="0.2">
      <c r="A91" s="593" t="s">
        <v>182</v>
      </c>
      <c r="B91" s="593"/>
      <c r="C91" s="270">
        <f>1333120.15+92400</f>
        <v>1425520.15</v>
      </c>
      <c r="D91" s="625"/>
    </row>
    <row r="92" spans="1:5" x14ac:dyDescent="0.2">
      <c r="A92" s="593" t="s">
        <v>174</v>
      </c>
      <c r="B92" s="593"/>
      <c r="C92" s="270">
        <f>5231553.59</f>
        <v>5231553.59</v>
      </c>
      <c r="D92" s="625"/>
    </row>
    <row r="93" spans="1:5" x14ac:dyDescent="0.2">
      <c r="A93" s="593" t="s">
        <v>3739</v>
      </c>
      <c r="B93" s="593"/>
      <c r="C93" s="270">
        <v>0</v>
      </c>
      <c r="D93" s="625"/>
    </row>
    <row r="94" spans="1:5" x14ac:dyDescent="0.2">
      <c r="A94" s="593" t="s">
        <v>3740</v>
      </c>
      <c r="B94" s="593"/>
      <c r="C94" s="270">
        <f>203792289.27-191338050.47+1377353.19</f>
        <v>13831591.990000011</v>
      </c>
      <c r="D94" s="625"/>
    </row>
    <row r="95" spans="1:5" ht="13.5" thickBot="1" x14ac:dyDescent="0.25">
      <c r="A95" s="594" t="s">
        <v>157</v>
      </c>
      <c r="B95" s="594"/>
      <c r="C95" s="277">
        <f>SUM(C86:C94)</f>
        <v>270348444.95000005</v>
      </c>
      <c r="D95" s="582">
        <f>+C95-270348444.95</f>
        <v>0</v>
      </c>
    </row>
    <row r="96" spans="1:5" ht="13.5" thickTop="1" x14ac:dyDescent="0.2"/>
    <row r="97" spans="1:8" x14ac:dyDescent="0.2">
      <c r="A97" s="244" t="s">
        <v>3712</v>
      </c>
      <c r="B97" s="244"/>
      <c r="C97" s="279"/>
      <c r="D97" s="242"/>
    </row>
    <row r="98" spans="1:8" x14ac:dyDescent="0.2">
      <c r="A98" s="244" t="s">
        <v>4295</v>
      </c>
      <c r="B98" s="244"/>
      <c r="C98" s="279"/>
      <c r="D98" s="242"/>
    </row>
    <row r="99" spans="1:8" x14ac:dyDescent="0.2">
      <c r="A99" s="168" t="s">
        <v>3710</v>
      </c>
      <c r="C99" s="279">
        <f>287786.7+624573</f>
        <v>912359.7</v>
      </c>
      <c r="D99" s="242"/>
    </row>
    <row r="100" spans="1:8" ht="13.5" thickBot="1" x14ac:dyDescent="0.25">
      <c r="A100" s="553" t="s">
        <v>157</v>
      </c>
      <c r="B100" s="553"/>
      <c r="C100" s="277">
        <f>SUM(C99)</f>
        <v>912359.7</v>
      </c>
      <c r="D100" s="582"/>
    </row>
    <row r="101" spans="1:8" ht="13.5" thickTop="1" x14ac:dyDescent="0.2">
      <c r="A101" s="594"/>
      <c r="B101" s="594"/>
      <c r="C101" s="582"/>
      <c r="D101" s="582"/>
    </row>
    <row r="102" spans="1:8" x14ac:dyDescent="0.2">
      <c r="A102" s="244" t="s">
        <v>3713</v>
      </c>
      <c r="B102" s="244"/>
    </row>
    <row r="103" spans="1:8" x14ac:dyDescent="0.2">
      <c r="A103" s="168" t="s">
        <v>4296</v>
      </c>
    </row>
    <row r="104" spans="1:8" x14ac:dyDescent="0.2">
      <c r="A104" s="594" t="s">
        <v>88</v>
      </c>
      <c r="B104" s="594"/>
      <c r="C104" s="594">
        <v>2024</v>
      </c>
      <c r="D104" s="656"/>
    </row>
    <row r="105" spans="1:8" x14ac:dyDescent="0.2">
      <c r="C105" s="275"/>
      <c r="D105" s="669"/>
    </row>
    <row r="106" spans="1:8" x14ac:dyDescent="0.2">
      <c r="A106" s="168" t="s">
        <v>164</v>
      </c>
      <c r="C106" s="632">
        <f>5214653.04+907365</f>
        <v>6122018.04</v>
      </c>
      <c r="D106" s="626"/>
      <c r="H106" s="167"/>
    </row>
    <row r="107" spans="1:8" x14ac:dyDescent="0.2">
      <c r="A107" s="168" t="s">
        <v>183</v>
      </c>
      <c r="C107" s="632">
        <f>61630.73+1562980.47</f>
        <v>1624611.2</v>
      </c>
      <c r="D107" s="626"/>
      <c r="H107" s="167"/>
    </row>
    <row r="108" spans="1:8" x14ac:dyDescent="0.2">
      <c r="A108" s="168" t="s">
        <v>165</v>
      </c>
      <c r="C108" s="632">
        <f>2078074.84+1707766.21</f>
        <v>3785841.05</v>
      </c>
      <c r="D108" s="626"/>
      <c r="E108" s="658"/>
      <c r="H108" s="167"/>
    </row>
    <row r="109" spans="1:8" x14ac:dyDescent="0.2">
      <c r="A109" s="168" t="s">
        <v>166</v>
      </c>
      <c r="C109" s="632">
        <f>2454417.07+506546.35+351015.88</f>
        <v>3311979.3</v>
      </c>
      <c r="D109" s="626"/>
      <c r="E109" s="658"/>
      <c r="H109" s="167"/>
    </row>
    <row r="110" spans="1:8" ht="25.5" x14ac:dyDescent="0.2">
      <c r="A110" s="672" t="s">
        <v>3766</v>
      </c>
      <c r="C110" s="632">
        <f>11355336.6+9323811.55+19674791.99+6441109+2985728.89</f>
        <v>49780778.030000001</v>
      </c>
      <c r="D110" s="626"/>
      <c r="E110" s="658"/>
      <c r="H110" s="167"/>
    </row>
    <row r="111" spans="1:8" x14ac:dyDescent="0.2">
      <c r="A111" s="168" t="s">
        <v>167</v>
      </c>
      <c r="C111" s="632">
        <f>22957907.64-19674791.99+8906360.83-4500.8</f>
        <v>12184975.680000002</v>
      </c>
      <c r="D111" s="626"/>
      <c r="E111" s="658"/>
      <c r="H111" s="167"/>
    </row>
    <row r="112" spans="1:8" ht="13.5" thickBot="1" x14ac:dyDescent="0.25">
      <c r="A112" s="594" t="s">
        <v>157</v>
      </c>
      <c r="B112" s="594"/>
      <c r="C112" s="278">
        <f>SUM(C106:C111)</f>
        <v>76810203.300000012</v>
      </c>
      <c r="D112" s="271"/>
      <c r="H112" s="167"/>
    </row>
    <row r="113" spans="1:8" ht="13.5" thickTop="1" x14ac:dyDescent="0.2">
      <c r="A113" s="244" t="s">
        <v>3707</v>
      </c>
      <c r="B113" s="244"/>
      <c r="C113" s="275"/>
      <c r="D113" s="1072"/>
      <c r="H113" s="167"/>
    </row>
    <row r="114" spans="1:8" x14ac:dyDescent="0.2">
      <c r="A114" s="168" t="s">
        <v>4297</v>
      </c>
      <c r="C114" s="596"/>
      <c r="D114" s="670"/>
    </row>
    <row r="115" spans="1:8" x14ac:dyDescent="0.2">
      <c r="A115" s="168" t="s">
        <v>90</v>
      </c>
      <c r="C115" s="594">
        <v>2024</v>
      </c>
      <c r="D115" s="656"/>
    </row>
    <row r="116" spans="1:8" x14ac:dyDescent="0.2">
      <c r="C116" s="275"/>
      <c r="D116" s="669"/>
    </row>
    <row r="117" spans="1:8" x14ac:dyDescent="0.2">
      <c r="A117" s="168" t="s">
        <v>191</v>
      </c>
      <c r="C117" s="270"/>
      <c r="D117" s="625"/>
    </row>
    <row r="118" spans="1:8" x14ac:dyDescent="0.2">
      <c r="A118" s="168" t="s">
        <v>3699</v>
      </c>
      <c r="C118" s="270">
        <f>+'NOTA 10'!E11</f>
        <v>11067416.093350695</v>
      </c>
      <c r="D118" s="625"/>
    </row>
    <row r="119" spans="1:8" x14ac:dyDescent="0.2">
      <c r="A119" s="168" t="s">
        <v>3698</v>
      </c>
      <c r="C119" s="270">
        <f>+'NOTA 10'!F11</f>
        <v>3075322.7223263886</v>
      </c>
      <c r="D119" s="625"/>
    </row>
    <row r="120" spans="1:8" ht="13.5" thickBot="1" x14ac:dyDescent="0.25">
      <c r="A120" s="594" t="s">
        <v>157</v>
      </c>
      <c r="B120" s="594"/>
      <c r="C120" s="277">
        <f>SUM(C118:C119)</f>
        <v>14142738.815677084</v>
      </c>
      <c r="D120" s="582"/>
    </row>
    <row r="121" spans="1:8" ht="13.5" thickTop="1" x14ac:dyDescent="0.2">
      <c r="A121" s="244" t="s">
        <v>3708</v>
      </c>
      <c r="B121" s="244"/>
    </row>
    <row r="122" spans="1:8" x14ac:dyDescent="0.2">
      <c r="A122" s="244" t="s">
        <v>4298</v>
      </c>
      <c r="B122" s="244"/>
    </row>
    <row r="123" spans="1:8" x14ac:dyDescent="0.2">
      <c r="A123" s="244" t="s">
        <v>88</v>
      </c>
      <c r="B123" s="244"/>
      <c r="C123" s="594">
        <v>2024</v>
      </c>
      <c r="D123" s="656"/>
    </row>
    <row r="124" spans="1:8" x14ac:dyDescent="0.2">
      <c r="C124" s="275"/>
      <c r="D124" s="669"/>
    </row>
    <row r="125" spans="1:8" x14ac:dyDescent="0.2">
      <c r="A125" s="168" t="s">
        <v>169</v>
      </c>
      <c r="C125" s="279">
        <f>4361586.22+346143.3</f>
        <v>4707729.5199999996</v>
      </c>
      <c r="D125" s="242"/>
      <c r="E125" s="168"/>
      <c r="H125" s="621"/>
    </row>
    <row r="126" spans="1:8" x14ac:dyDescent="0.2">
      <c r="A126" s="168" t="s">
        <v>3741</v>
      </c>
      <c r="C126" s="279">
        <v>324206.83</v>
      </c>
      <c r="D126" s="242"/>
      <c r="E126" s="168"/>
      <c r="H126" s="621"/>
    </row>
    <row r="127" spans="1:8" x14ac:dyDescent="0.2">
      <c r="A127" s="168" t="s">
        <v>170</v>
      </c>
      <c r="C127" s="279">
        <v>56000</v>
      </c>
      <c r="D127" s="242"/>
      <c r="E127" s="168"/>
      <c r="H127" s="621"/>
    </row>
    <row r="128" spans="1:8" x14ac:dyDescent="0.2">
      <c r="A128" s="168" t="s">
        <v>171</v>
      </c>
      <c r="C128" s="279">
        <f>519625.16+379519.78</f>
        <v>899144.94</v>
      </c>
      <c r="D128" s="242"/>
      <c r="E128" s="168"/>
      <c r="H128" s="621"/>
    </row>
    <row r="129" spans="1:8" x14ac:dyDescent="0.2">
      <c r="A129" s="168" t="s">
        <v>3742</v>
      </c>
      <c r="C129" s="279"/>
      <c r="D129" s="242"/>
      <c r="E129" s="168"/>
      <c r="H129" s="621"/>
    </row>
    <row r="130" spans="1:8" x14ac:dyDescent="0.2">
      <c r="A130" s="168" t="s">
        <v>172</v>
      </c>
      <c r="C130" s="279">
        <f>11031283.87+199877.53</f>
        <v>11231161.399999999</v>
      </c>
      <c r="D130" s="242"/>
      <c r="E130" s="168"/>
      <c r="H130" s="621"/>
    </row>
    <row r="131" spans="1:8" x14ac:dyDescent="0.2">
      <c r="A131" s="168" t="s">
        <v>173</v>
      </c>
      <c r="C131" s="279">
        <f>1322346.66-32860.66+541706.48-17193.48</f>
        <v>1813999</v>
      </c>
      <c r="D131" s="242"/>
      <c r="E131" s="168"/>
      <c r="H131" s="621"/>
    </row>
    <row r="132" spans="1:8" x14ac:dyDescent="0.2">
      <c r="A132" s="168" t="s">
        <v>184</v>
      </c>
      <c r="C132" s="279"/>
      <c r="D132" s="242"/>
    </row>
    <row r="133" spans="1:8" ht="13.5" thickBot="1" x14ac:dyDescent="0.25">
      <c r="A133" s="553" t="s">
        <v>157</v>
      </c>
      <c r="B133" s="553"/>
      <c r="C133" s="277">
        <f>SUM(C125:C132)</f>
        <v>19032241.689999998</v>
      </c>
      <c r="D133" s="582"/>
    </row>
    <row r="134" spans="1:8" ht="13.5" thickTop="1" x14ac:dyDescent="0.2">
      <c r="A134" s="594"/>
      <c r="B134" s="594"/>
      <c r="C134" s="582"/>
      <c r="D134" s="582"/>
    </row>
    <row r="135" spans="1:8" x14ac:dyDescent="0.2">
      <c r="A135" s="594"/>
      <c r="B135" s="594"/>
      <c r="C135" s="582"/>
      <c r="D135" s="582"/>
    </row>
    <row r="136" spans="1:8" x14ac:dyDescent="0.2">
      <c r="A136" s="244" t="s">
        <v>3709</v>
      </c>
      <c r="B136" s="244"/>
    </row>
    <row r="137" spans="1:8" x14ac:dyDescent="0.2">
      <c r="A137" s="168" t="s">
        <v>4299</v>
      </c>
    </row>
    <row r="138" spans="1:8" x14ac:dyDescent="0.2">
      <c r="A138" s="168" t="s">
        <v>88</v>
      </c>
      <c r="C138" s="594">
        <v>2024</v>
      </c>
      <c r="D138" s="656"/>
    </row>
    <row r="139" spans="1:8" x14ac:dyDescent="0.2">
      <c r="A139" s="168" t="s">
        <v>168</v>
      </c>
      <c r="C139" s="270">
        <f>32860.66+17193.48</f>
        <v>50054.14</v>
      </c>
      <c r="D139" s="625"/>
    </row>
    <row r="140" spans="1:8" ht="13.5" thickBot="1" x14ac:dyDescent="0.25">
      <c r="A140" s="594" t="s">
        <v>157</v>
      </c>
      <c r="B140" s="594"/>
      <c r="C140" s="277">
        <f>SUM(C139)</f>
        <v>50054.14</v>
      </c>
      <c r="D140" s="582"/>
    </row>
    <row r="141" spans="1:8" ht="13.5" thickTop="1" x14ac:dyDescent="0.2">
      <c r="C141" s="276"/>
      <c r="D141" s="671"/>
    </row>
    <row r="142" spans="1:8" x14ac:dyDescent="0.2">
      <c r="D142" s="671"/>
    </row>
  </sheetData>
  <mergeCells count="5">
    <mergeCell ref="A3:D3"/>
    <mergeCell ref="A1:D1"/>
    <mergeCell ref="A2:D2"/>
    <mergeCell ref="A5:D5"/>
    <mergeCell ref="A4:D4"/>
  </mergeCells>
  <pageMargins left="0.70866141732283472" right="0.70866141732283472" top="0.74803149606299213" bottom="0.74803149606299213" header="0.31496062992125984" footer="0.31496062992125984"/>
  <pageSetup scale="7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O32"/>
  <sheetViews>
    <sheetView view="pageBreakPreview" zoomScale="95" zoomScaleNormal="100" zoomScaleSheetLayoutView="95" workbookViewId="0">
      <selection activeCell="E7" sqref="E7"/>
    </sheetView>
  </sheetViews>
  <sheetFormatPr baseColWidth="10" defaultColWidth="10.7109375" defaultRowHeight="15" x14ac:dyDescent="0.25"/>
  <cols>
    <col min="1" max="1" width="33.140625" customWidth="1"/>
    <col min="2" max="2" width="0" hidden="1" customWidth="1"/>
    <col min="3" max="3" width="17.42578125" hidden="1" customWidth="1"/>
    <col min="4" max="4" width="0" hidden="1" customWidth="1"/>
    <col min="5" max="5" width="22.5703125" bestFit="1" customWidth="1"/>
    <col min="6" max="6" width="21.140625" customWidth="1"/>
    <col min="7" max="7" width="14.28515625" hidden="1" customWidth="1"/>
    <col min="8" max="8" width="0" hidden="1" customWidth="1"/>
    <col min="9" max="9" width="22.5703125" bestFit="1" customWidth="1"/>
    <col min="10" max="10" width="16.7109375" bestFit="1" customWidth="1"/>
    <col min="11" max="11" width="13.28515625" bestFit="1" customWidth="1"/>
    <col min="12" max="12" width="13.42578125" bestFit="1" customWidth="1"/>
    <col min="13" max="14" width="13.28515625" bestFit="1" customWidth="1"/>
  </cols>
  <sheetData>
    <row r="2" spans="1:15" x14ac:dyDescent="0.25">
      <c r="A2" s="928" t="s">
        <v>4189</v>
      </c>
      <c r="B2" s="928"/>
      <c r="C2" s="928"/>
      <c r="D2" s="928"/>
      <c r="E2" s="928"/>
      <c r="F2" s="928"/>
      <c r="G2" s="928"/>
      <c r="H2" s="928"/>
      <c r="I2" s="928"/>
    </row>
    <row r="4" spans="1:15" s="168" customFormat="1" ht="12.75" x14ac:dyDescent="0.2">
      <c r="A4" s="272" t="s">
        <v>194</v>
      </c>
      <c r="B4" s="273"/>
      <c r="C4" s="273"/>
      <c r="D4" s="273"/>
      <c r="E4" s="279"/>
      <c r="F4" s="273"/>
      <c r="G4" s="273"/>
      <c r="H4" s="273"/>
      <c r="I4" s="273"/>
      <c r="J4" s="167"/>
    </row>
    <row r="5" spans="1:15" s="168" customFormat="1" ht="25.5" x14ac:dyDescent="0.2">
      <c r="A5" s="273"/>
      <c r="B5" s="281" t="s">
        <v>76</v>
      </c>
      <c r="C5" s="281" t="s">
        <v>77</v>
      </c>
      <c r="D5" s="281" t="s">
        <v>85</v>
      </c>
      <c r="E5" s="554" t="s">
        <v>78</v>
      </c>
      <c r="F5" s="282" t="s">
        <v>86</v>
      </c>
      <c r="G5" s="282" t="s">
        <v>84</v>
      </c>
      <c r="H5" s="281" t="s">
        <v>87</v>
      </c>
      <c r="I5" s="281" t="s">
        <v>79</v>
      </c>
      <c r="J5" s="167"/>
      <c r="L5" s="167"/>
      <c r="M5" s="167"/>
      <c r="N5" s="167"/>
    </row>
    <row r="6" spans="1:15" s="168" customFormat="1" ht="12.75" x14ac:dyDescent="0.2">
      <c r="A6" s="283" t="s">
        <v>3776</v>
      </c>
      <c r="B6" s="284">
        <v>0</v>
      </c>
      <c r="C6" s="284">
        <v>0</v>
      </c>
      <c r="D6" s="284">
        <v>0</v>
      </c>
      <c r="E6" s="284">
        <v>125909255.06520833</v>
      </c>
      <c r="F6" s="284">
        <v>36903872.667916663</v>
      </c>
      <c r="G6" s="284">
        <v>0</v>
      </c>
      <c r="H6" s="284">
        <v>0</v>
      </c>
      <c r="I6" s="284">
        <v>162813127.73312497</v>
      </c>
      <c r="J6" s="167"/>
      <c r="L6" s="167"/>
      <c r="M6" s="167"/>
      <c r="N6" s="167"/>
    </row>
    <row r="7" spans="1:15" s="168" customFormat="1" ht="12.75" x14ac:dyDescent="0.2">
      <c r="A7" s="273" t="s">
        <v>3777</v>
      </c>
      <c r="B7" s="284">
        <v>0</v>
      </c>
      <c r="C7" s="284">
        <v>0</v>
      </c>
      <c r="D7" s="284">
        <v>0</v>
      </c>
      <c r="E7" s="284">
        <f>22933910.83+4665041.39</f>
        <v>27598952.219999999</v>
      </c>
      <c r="F7" s="284"/>
      <c r="G7" s="284">
        <v>0</v>
      </c>
      <c r="H7" s="284">
        <v>0</v>
      </c>
      <c r="I7" s="284">
        <f>+E7+F7</f>
        <v>27598952.219999999</v>
      </c>
      <c r="J7" s="167"/>
      <c r="K7" s="167"/>
      <c r="L7" s="167"/>
      <c r="M7" s="167"/>
      <c r="N7" s="167"/>
    </row>
    <row r="8" spans="1:15" s="168" customFormat="1" ht="12.75" x14ac:dyDescent="0.2">
      <c r="A8" s="273" t="s">
        <v>80</v>
      </c>
      <c r="B8" s="285">
        <f t="shared" ref="B8:I8" si="0">SUM(B6:B7)</f>
        <v>0</v>
      </c>
      <c r="C8" s="285">
        <f t="shared" si="0"/>
        <v>0</v>
      </c>
      <c r="D8" s="285">
        <f t="shared" si="0"/>
        <v>0</v>
      </c>
      <c r="E8" s="285">
        <f t="shared" si="0"/>
        <v>153508207.28520834</v>
      </c>
      <c r="F8" s="285">
        <f t="shared" si="0"/>
        <v>36903872.667916663</v>
      </c>
      <c r="G8" s="285">
        <f t="shared" si="0"/>
        <v>0</v>
      </c>
      <c r="H8" s="285">
        <f t="shared" si="0"/>
        <v>0</v>
      </c>
      <c r="I8" s="285">
        <f t="shared" si="0"/>
        <v>190412079.95312497</v>
      </c>
      <c r="J8" s="167"/>
      <c r="L8" s="167"/>
      <c r="M8" s="167"/>
      <c r="N8" s="167"/>
    </row>
    <row r="9" spans="1:15" s="168" customFormat="1" ht="12.75" x14ac:dyDescent="0.2">
      <c r="A9" s="273"/>
      <c r="B9" s="279"/>
      <c r="C9" s="279"/>
      <c r="D9" s="279"/>
      <c r="E9" s="279"/>
      <c r="F9" s="279"/>
      <c r="G9" s="279"/>
      <c r="H9" s="279"/>
      <c r="I9" s="279"/>
      <c r="J9" s="167"/>
      <c r="L9" s="167"/>
      <c r="M9" s="167"/>
      <c r="N9" s="167"/>
      <c r="O9" s="276"/>
    </row>
    <row r="10" spans="1:15" s="168" customFormat="1" ht="12.75" x14ac:dyDescent="0.2">
      <c r="A10" s="283" t="s">
        <v>81</v>
      </c>
      <c r="B10" s="279">
        <v>0</v>
      </c>
      <c r="C10" s="279"/>
      <c r="D10" s="279">
        <v>0</v>
      </c>
      <c r="E10" s="279">
        <v>1926841.28</v>
      </c>
      <c r="F10" s="279">
        <v>9270238.7200000007</v>
      </c>
      <c r="G10" s="279"/>
      <c r="H10" s="279">
        <v>0</v>
      </c>
      <c r="I10" s="279">
        <f>SUM(B10:H10)</f>
        <v>11197080</v>
      </c>
      <c r="J10" s="167"/>
      <c r="L10" s="167"/>
    </row>
    <row r="11" spans="1:15" s="168" customFormat="1" ht="12.75" x14ac:dyDescent="0.2">
      <c r="A11" s="273" t="s">
        <v>82</v>
      </c>
      <c r="B11" s="279">
        <v>0</v>
      </c>
      <c r="C11" s="279">
        <v>0</v>
      </c>
      <c r="D11" s="279">
        <v>0</v>
      </c>
      <c r="E11" s="279">
        <f>+((E7*0.25)/12)+(((E6*0.25)/12)*4)</f>
        <v>11067416.093350695</v>
      </c>
      <c r="F11" s="279">
        <f>+((F7*0.25)/12)+(((F6*0.25)/12)*4)</f>
        <v>3075322.7223263886</v>
      </c>
      <c r="G11" s="279"/>
      <c r="H11" s="279">
        <v>0</v>
      </c>
      <c r="I11" s="279">
        <f>SUM(B11:H11)</f>
        <v>14142738.815677084</v>
      </c>
      <c r="J11" s="167"/>
    </row>
    <row r="12" spans="1:15" s="168" customFormat="1" ht="12.75" x14ac:dyDescent="0.2">
      <c r="A12" s="273" t="s">
        <v>80</v>
      </c>
      <c r="B12" s="279">
        <v>0</v>
      </c>
      <c r="C12" s="279">
        <v>0</v>
      </c>
      <c r="D12" s="279">
        <v>0</v>
      </c>
      <c r="E12" s="279">
        <f>+E10+E11</f>
        <v>12994257.373350695</v>
      </c>
      <c r="F12" s="279">
        <f>+F10+F11</f>
        <v>12345561.442326389</v>
      </c>
      <c r="G12" s="279">
        <f>+G10+G11</f>
        <v>0</v>
      </c>
      <c r="H12" s="279">
        <f>+H10+H11</f>
        <v>0</v>
      </c>
      <c r="I12" s="285">
        <f>SUM(B12:H12)</f>
        <v>25339818.815677084</v>
      </c>
      <c r="J12" s="167"/>
    </row>
    <row r="13" spans="1:15" s="168" customFormat="1" ht="27" customHeight="1" thickBot="1" x14ac:dyDescent="0.25">
      <c r="A13" s="286" t="s">
        <v>1109</v>
      </c>
      <c r="B13" s="287">
        <f>SUM(B8-B12)</f>
        <v>0</v>
      </c>
      <c r="C13" s="287">
        <v>0</v>
      </c>
      <c r="D13" s="287">
        <f>SUM(D8-D12)</f>
        <v>0</v>
      </c>
      <c r="E13" s="287">
        <f>+E8-E12</f>
        <v>140513949.91185766</v>
      </c>
      <c r="F13" s="287">
        <f>+F8-F12</f>
        <v>24558311.225590274</v>
      </c>
      <c r="G13" s="287">
        <f>+G8-G12</f>
        <v>0</v>
      </c>
      <c r="H13" s="287">
        <f>+H8-H12</f>
        <v>0</v>
      </c>
      <c r="I13" s="287">
        <f>SUM(I8-I12)</f>
        <v>165072261.13744789</v>
      </c>
      <c r="J13" s="167"/>
      <c r="K13" s="167"/>
    </row>
    <row r="14" spans="1:15" s="168" customFormat="1" ht="15.75" customHeight="1" thickTop="1" x14ac:dyDescent="0.2">
      <c r="A14" s="929" t="s">
        <v>3778</v>
      </c>
      <c r="B14" s="929"/>
      <c r="C14" s="929"/>
      <c r="D14" s="929"/>
      <c r="E14" s="929"/>
      <c r="F14" s="929"/>
      <c r="G14" s="929"/>
      <c r="H14" s="929"/>
      <c r="I14" s="929"/>
      <c r="J14" s="167"/>
      <c r="K14" s="167"/>
    </row>
    <row r="15" spans="1:15" s="168" customFormat="1" ht="25.5" customHeight="1" x14ac:dyDescent="0.2">
      <c r="A15" s="929"/>
      <c r="B15" s="929"/>
      <c r="C15" s="929"/>
      <c r="D15" s="929"/>
      <c r="E15" s="929"/>
      <c r="F15" s="929"/>
      <c r="G15" s="929"/>
      <c r="H15" s="929"/>
      <c r="I15" s="929"/>
      <c r="J15" s="167"/>
      <c r="K15" s="167"/>
    </row>
    <row r="16" spans="1:15" s="168" customFormat="1" ht="12.75" x14ac:dyDescent="0.2">
      <c r="A16" s="274"/>
      <c r="B16" s="274"/>
      <c r="C16" s="274"/>
      <c r="D16" s="274"/>
      <c r="E16" s="555"/>
      <c r="F16" s="274"/>
      <c r="I16" s="167"/>
      <c r="J16" s="167"/>
    </row>
    <row r="17" spans="1:10" x14ac:dyDescent="0.25">
      <c r="J17" s="469"/>
    </row>
    <row r="18" spans="1:10" x14ac:dyDescent="0.25">
      <c r="J18" s="295"/>
    </row>
    <row r="19" spans="1:10" x14ac:dyDescent="0.25">
      <c r="A19" s="928" t="s">
        <v>3759</v>
      </c>
      <c r="B19" s="928"/>
      <c r="C19" s="928"/>
      <c r="D19" s="928"/>
      <c r="E19" s="928"/>
      <c r="F19" s="928"/>
      <c r="G19" s="928"/>
      <c r="H19" s="928"/>
      <c r="I19" s="928"/>
      <c r="J19" s="295"/>
    </row>
    <row r="20" spans="1:10" x14ac:dyDescent="0.25">
      <c r="A20" s="81"/>
      <c r="B20" s="81"/>
      <c r="C20" s="81"/>
      <c r="D20" s="81"/>
      <c r="E20" s="81"/>
    </row>
    <row r="21" spans="1:10" x14ac:dyDescent="0.25">
      <c r="A21" s="272" t="s">
        <v>194</v>
      </c>
      <c r="B21" s="273"/>
      <c r="C21" s="273"/>
      <c r="D21" s="273"/>
      <c r="E21" s="273"/>
      <c r="F21" s="273"/>
      <c r="G21" s="273"/>
      <c r="H21" s="273"/>
      <c r="I21" s="273"/>
    </row>
    <row r="22" spans="1:10" ht="26.25" x14ac:dyDescent="0.25">
      <c r="A22" s="273"/>
      <c r="B22" s="281" t="s">
        <v>76</v>
      </c>
      <c r="C22" s="281" t="s">
        <v>77</v>
      </c>
      <c r="D22" s="281" t="s">
        <v>85</v>
      </c>
      <c r="E22" s="281" t="s">
        <v>78</v>
      </c>
      <c r="F22" s="282" t="s">
        <v>86</v>
      </c>
      <c r="G22" s="282" t="s">
        <v>84</v>
      </c>
      <c r="H22" s="281" t="s">
        <v>87</v>
      </c>
      <c r="I22" s="281" t="s">
        <v>79</v>
      </c>
    </row>
    <row r="23" spans="1:10" x14ac:dyDescent="0.25">
      <c r="A23" s="283" t="s">
        <v>3755</v>
      </c>
      <c r="B23" s="647">
        <v>1</v>
      </c>
      <c r="C23" s="647">
        <v>1</v>
      </c>
      <c r="D23" s="647">
        <v>1</v>
      </c>
      <c r="E23" s="647">
        <v>1674420</v>
      </c>
      <c r="F23" s="647">
        <f>2314111.33+10581957.22</f>
        <v>12896068.550000001</v>
      </c>
      <c r="G23" s="647">
        <v>1</v>
      </c>
      <c r="H23" s="647">
        <v>1</v>
      </c>
      <c r="I23" s="647">
        <f>+E23+F23</f>
        <v>14570488.550000001</v>
      </c>
    </row>
    <row r="24" spans="1:10" x14ac:dyDescent="0.25">
      <c r="A24" s="273" t="s">
        <v>3756</v>
      </c>
      <c r="B24" s="647">
        <v>0</v>
      </c>
      <c r="C24" s="647">
        <v>0</v>
      </c>
      <c r="D24" s="647">
        <v>0</v>
      </c>
      <c r="E24" s="647">
        <f>14051393.46+207414.5+48246.66+8339698.02</f>
        <v>22646752.640000001</v>
      </c>
      <c r="F24" s="647">
        <f>1893940.93+278000+280495.73+254362.5+286117.79+25804.24+394374.41+550970.21+970062.21+970224+175230+3152252+1444910+138549.7+58382.86+2382305.5+222902+129705.6+88500+170223.01+41300+186585.14+1753288.2+210134.4+172280+493068.19+103908.68+2039018.74+1113624.64+214052</f>
        <v>20194572.679999996</v>
      </c>
      <c r="G24" s="647">
        <v>0</v>
      </c>
      <c r="H24" s="647">
        <v>0</v>
      </c>
      <c r="I24" s="647">
        <f>+E24+F24</f>
        <v>42841325.319999993</v>
      </c>
    </row>
    <row r="25" spans="1:10" x14ac:dyDescent="0.25">
      <c r="A25" s="273" t="s">
        <v>80</v>
      </c>
      <c r="B25" s="648" t="e">
        <f>SUM(B23+B24+#REF!-#REF!-#REF!-#REF!)</f>
        <v>#REF!</v>
      </c>
      <c r="C25" s="648" t="e">
        <f>SUM(C23+C24+#REF!-#REF!-#REF!-#REF!)</f>
        <v>#REF!</v>
      </c>
      <c r="D25" s="648" t="e">
        <f>SUM(D23+D24+#REF!-#REF!-#REF!-#REF!)</f>
        <v>#REF!</v>
      </c>
      <c r="E25" s="648">
        <f>+E23+E24</f>
        <v>24321172.640000001</v>
      </c>
      <c r="F25" s="648">
        <f>+F23+F24</f>
        <v>33090641.229999997</v>
      </c>
      <c r="G25" s="648">
        <f>+G23+G24</f>
        <v>1</v>
      </c>
      <c r="H25" s="648">
        <f>+H23+H24</f>
        <v>1</v>
      </c>
      <c r="I25" s="648">
        <f>+I23+I24</f>
        <v>57411813.86999999</v>
      </c>
    </row>
    <row r="26" spans="1:10" x14ac:dyDescent="0.25">
      <c r="A26" s="273"/>
      <c r="B26" s="621"/>
      <c r="C26" s="621"/>
      <c r="D26" s="621"/>
      <c r="E26" s="621"/>
      <c r="F26" s="621"/>
      <c r="G26" s="621"/>
      <c r="H26" s="621"/>
      <c r="I26" s="621"/>
    </row>
    <row r="27" spans="1:10" x14ac:dyDescent="0.25">
      <c r="A27" s="283" t="s">
        <v>81</v>
      </c>
      <c r="B27" s="621">
        <v>0</v>
      </c>
      <c r="C27" s="621"/>
      <c r="D27" s="621">
        <v>0</v>
      </c>
      <c r="E27" s="621">
        <v>195349</v>
      </c>
      <c r="F27" s="621">
        <v>564252.85</v>
      </c>
      <c r="G27" s="621"/>
      <c r="H27" s="621">
        <v>0</v>
      </c>
      <c r="I27" s="621">
        <f>SUM(B27:H27)</f>
        <v>759601.85</v>
      </c>
    </row>
    <row r="28" spans="1:10" x14ac:dyDescent="0.25">
      <c r="A28" s="273" t="s">
        <v>82</v>
      </c>
      <c r="B28" s="621">
        <v>0</v>
      </c>
      <c r="C28" s="621">
        <v>0</v>
      </c>
      <c r="D28" s="621">
        <v>0</v>
      </c>
      <c r="E28" s="621">
        <f>787877.58+471807.35+471807.35</f>
        <v>1731492.2799999998</v>
      </c>
      <c r="F28" s="621">
        <f>6630044.48+393060.33+1682881.06</f>
        <v>8705985.870000001</v>
      </c>
      <c r="G28" s="621"/>
      <c r="H28" s="621">
        <v>0</v>
      </c>
      <c r="I28" s="621">
        <f>SUM(B28:H28)</f>
        <v>10437478.15</v>
      </c>
    </row>
    <row r="29" spans="1:10" x14ac:dyDescent="0.25">
      <c r="A29" s="273" t="s">
        <v>3757</v>
      </c>
      <c r="B29" s="621">
        <v>0</v>
      </c>
      <c r="C29" s="621">
        <v>0</v>
      </c>
      <c r="D29" s="621">
        <v>0</v>
      </c>
      <c r="E29" s="621"/>
      <c r="F29" s="621">
        <v>0</v>
      </c>
      <c r="G29" s="621">
        <v>0</v>
      </c>
      <c r="H29" s="621">
        <v>0</v>
      </c>
      <c r="I29" s="621">
        <f>SUM(B29:H29)</f>
        <v>0</v>
      </c>
    </row>
    <row r="30" spans="1:10" x14ac:dyDescent="0.25">
      <c r="A30" s="273" t="s">
        <v>80</v>
      </c>
      <c r="B30" s="621">
        <v>0</v>
      </c>
      <c r="C30" s="621">
        <v>0</v>
      </c>
      <c r="D30" s="621">
        <v>0</v>
      </c>
      <c r="E30" s="621">
        <f>+E27+E28</f>
        <v>1926841.2799999998</v>
      </c>
      <c r="F30" s="621">
        <f>+F27+F28</f>
        <v>9270238.7200000007</v>
      </c>
      <c r="G30" s="621">
        <v>0</v>
      </c>
      <c r="H30" s="621">
        <v>0</v>
      </c>
      <c r="I30" s="648">
        <f>SUM(B30:H30)</f>
        <v>11197080</v>
      </c>
    </row>
    <row r="31" spans="1:10" ht="15.75" thickBot="1" x14ac:dyDescent="0.3">
      <c r="A31" s="286" t="s">
        <v>3758</v>
      </c>
      <c r="B31" s="649" t="e">
        <f>SUM(B25-B30)</f>
        <v>#REF!</v>
      </c>
      <c r="C31" s="649" t="e">
        <f>SUM(C25-C27-C28-C29)</f>
        <v>#REF!</v>
      </c>
      <c r="D31" s="649" t="e">
        <f>SUM(D25-D30)</f>
        <v>#REF!</v>
      </c>
      <c r="E31" s="649">
        <f>SUM(E25-E30)</f>
        <v>22394331.359999999</v>
      </c>
      <c r="F31" s="649">
        <f>SUM(F25-F30)</f>
        <v>23820402.509999998</v>
      </c>
      <c r="G31" s="649">
        <f>SUM(G25-G30)</f>
        <v>1</v>
      </c>
      <c r="H31" s="649">
        <f>SUM(H25-H30)</f>
        <v>1</v>
      </c>
      <c r="I31" s="649">
        <f>SUM(I25-I27-I28-I29)</f>
        <v>46214733.86999999</v>
      </c>
    </row>
    <row r="32" spans="1:10" ht="15.75" thickTop="1" x14ac:dyDescent="0.25"/>
  </sheetData>
  <mergeCells count="3">
    <mergeCell ref="A19:I19"/>
    <mergeCell ref="A2:I2"/>
    <mergeCell ref="A14:I15"/>
  </mergeCells>
  <pageMargins left="0.7" right="0.7" top="0.75" bottom="0.75" header="0.3" footer="0.3"/>
  <pageSetup scale="76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10.7109375"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I32"/>
  <sheetViews>
    <sheetView view="pageBreakPreview" topLeftCell="A4" zoomScale="93" zoomScaleNormal="100" zoomScaleSheetLayoutView="93" workbookViewId="0">
      <selection activeCell="D13" sqref="D13"/>
    </sheetView>
  </sheetViews>
  <sheetFormatPr baseColWidth="10" defaultRowHeight="15" x14ac:dyDescent="0.25"/>
  <cols>
    <col min="1" max="1" width="5.42578125" customWidth="1"/>
    <col min="2" max="2" width="61.5703125" customWidth="1"/>
    <col min="3" max="3" width="30.85546875" customWidth="1"/>
    <col min="4" max="4" width="12.5703125" bestFit="1" customWidth="1"/>
    <col min="5" max="5" width="20.85546875" bestFit="1" customWidth="1"/>
    <col min="6" max="6" width="23.28515625" customWidth="1"/>
    <col min="7" max="7" width="15.42578125" customWidth="1"/>
    <col min="8" max="8" width="16.85546875" customWidth="1"/>
    <col min="9" max="9" width="14.85546875" bestFit="1" customWidth="1"/>
  </cols>
  <sheetData>
    <row r="4" spans="2:9" ht="18.75" x14ac:dyDescent="0.3">
      <c r="B4" s="937" t="s">
        <v>1698</v>
      </c>
      <c r="C4" s="937"/>
      <c r="D4" s="937"/>
      <c r="E4" s="937"/>
      <c r="F4" s="937"/>
      <c r="G4" s="937"/>
      <c r="H4" s="937"/>
    </row>
    <row r="5" spans="2:9" ht="18.75" x14ac:dyDescent="0.3">
      <c r="B5" s="937" t="s">
        <v>1699</v>
      </c>
      <c r="C5" s="937"/>
      <c r="D5" s="937"/>
      <c r="E5" s="937"/>
      <c r="F5" s="937"/>
      <c r="G5" s="937"/>
      <c r="H5" s="937"/>
    </row>
    <row r="6" spans="2:9" ht="18.75" x14ac:dyDescent="0.3">
      <c r="B6" s="937" t="s">
        <v>4283</v>
      </c>
      <c r="C6" s="937"/>
      <c r="D6" s="937"/>
      <c r="E6" s="937"/>
      <c r="F6" s="937"/>
      <c r="G6" s="937"/>
      <c r="H6" s="937"/>
    </row>
    <row r="7" spans="2:9" ht="19.5" thickBot="1" x14ac:dyDescent="0.35">
      <c r="B7" s="938" t="s">
        <v>989</v>
      </c>
      <c r="C7" s="938"/>
      <c r="D7" s="938"/>
      <c r="E7" s="938"/>
      <c r="F7" s="938"/>
      <c r="G7" s="938"/>
      <c r="H7" s="938"/>
    </row>
    <row r="8" spans="2:9" ht="15.75" x14ac:dyDescent="0.25">
      <c r="B8" s="473" t="s">
        <v>1700</v>
      </c>
      <c r="C8" s="939" t="s">
        <v>1701</v>
      </c>
      <c r="D8" s="940"/>
      <c r="E8" s="474" t="s">
        <v>1702</v>
      </c>
      <c r="F8" s="475" t="s">
        <v>1703</v>
      </c>
      <c r="G8" s="476" t="s">
        <v>1704</v>
      </c>
      <c r="H8" s="477" t="s">
        <v>1705</v>
      </c>
    </row>
    <row r="9" spans="2:9" ht="15.75" x14ac:dyDescent="0.25">
      <c r="B9" s="930" t="s">
        <v>1671</v>
      </c>
      <c r="C9" s="932" t="s">
        <v>1706</v>
      </c>
      <c r="D9" s="933"/>
      <c r="E9" s="595"/>
      <c r="F9" s="934" t="s">
        <v>1707</v>
      </c>
      <c r="G9" s="935"/>
      <c r="H9" s="936"/>
    </row>
    <row r="10" spans="2:9" ht="31.5" x14ac:dyDescent="0.25">
      <c r="B10" s="931"/>
      <c r="C10" s="595" t="s">
        <v>1708</v>
      </c>
      <c r="D10" s="595" t="s">
        <v>1709</v>
      </c>
      <c r="E10" s="595" t="s">
        <v>1670</v>
      </c>
      <c r="F10" s="478" t="s">
        <v>1710</v>
      </c>
      <c r="G10" s="479" t="s">
        <v>1711</v>
      </c>
      <c r="H10" s="480" t="s">
        <v>1712</v>
      </c>
    </row>
    <row r="11" spans="2:9" x14ac:dyDescent="0.25">
      <c r="B11" s="481" t="s">
        <v>1713</v>
      </c>
      <c r="C11" s="482"/>
      <c r="D11" s="293"/>
      <c r="E11" s="303"/>
      <c r="F11" s="483"/>
      <c r="G11" s="483"/>
      <c r="H11" s="484"/>
    </row>
    <row r="12" spans="2:9" x14ac:dyDescent="0.25">
      <c r="B12" s="481" t="s">
        <v>1714</v>
      </c>
      <c r="C12" s="302">
        <v>44470</v>
      </c>
      <c r="D12" s="302">
        <v>45777</v>
      </c>
      <c r="E12" s="303">
        <f>6455721.37+191917.63+545919.42+146780.59+231604.06+289366.65+335354.64+387110.47+660164.03+254405.37+295100.71+268154.84+476725.77+301006.83+418780.67+471731.75+276884.63+183994.68</f>
        <v>12190724.109999999</v>
      </c>
      <c r="F12" s="483"/>
      <c r="G12" s="483"/>
      <c r="H12" s="484"/>
      <c r="I12" s="290"/>
    </row>
    <row r="13" spans="2:9" x14ac:dyDescent="0.25">
      <c r="B13" s="481" t="s">
        <v>1715</v>
      </c>
      <c r="C13" s="302">
        <v>45505</v>
      </c>
      <c r="D13" s="302">
        <v>45777</v>
      </c>
      <c r="E13" s="472">
        <f>4432093.625+933892.46+332731.24+782528.07-5231553.59</f>
        <v>1249691.8050000006</v>
      </c>
      <c r="F13" s="485"/>
      <c r="G13" s="483"/>
      <c r="H13" s="484"/>
      <c r="I13" s="290"/>
    </row>
    <row r="14" spans="2:9" x14ac:dyDescent="0.25">
      <c r="B14" s="481" t="s">
        <v>1716</v>
      </c>
      <c r="C14" s="293"/>
      <c r="D14" s="293"/>
      <c r="E14" s="472"/>
      <c r="F14" s="483"/>
      <c r="G14" s="483"/>
      <c r="H14" s="484"/>
      <c r="I14" s="290"/>
    </row>
    <row r="15" spans="2:9" x14ac:dyDescent="0.25">
      <c r="B15" s="481" t="s">
        <v>1717</v>
      </c>
      <c r="C15" s="293"/>
      <c r="D15" s="293"/>
      <c r="E15" s="472"/>
      <c r="F15" s="794"/>
      <c r="G15" s="483"/>
      <c r="H15" s="484"/>
    </row>
    <row r="16" spans="2:9" x14ac:dyDescent="0.25">
      <c r="B16" s="481" t="s">
        <v>1718</v>
      </c>
      <c r="C16" s="293"/>
      <c r="D16" s="302"/>
      <c r="E16" s="472"/>
      <c r="F16" s="483"/>
      <c r="G16" s="483"/>
      <c r="H16" s="484"/>
    </row>
    <row r="17" spans="2:8" x14ac:dyDescent="0.25">
      <c r="B17" s="481" t="s">
        <v>1719</v>
      </c>
      <c r="C17" s="293"/>
      <c r="D17" s="293"/>
      <c r="E17" s="472"/>
      <c r="F17" s="483"/>
      <c r="G17" s="483"/>
      <c r="H17" s="484"/>
    </row>
    <row r="18" spans="2:8" x14ac:dyDescent="0.25">
      <c r="B18" s="481" t="s">
        <v>1720</v>
      </c>
      <c r="C18" s="305"/>
      <c r="D18" s="305"/>
      <c r="E18" s="305"/>
      <c r="F18" s="305"/>
      <c r="G18" s="305"/>
      <c r="H18" s="486"/>
    </row>
    <row r="19" spans="2:8" ht="15.75" thickBot="1" x14ac:dyDescent="0.3">
      <c r="B19" s="487" t="s">
        <v>457</v>
      </c>
      <c r="C19" s="488"/>
      <c r="D19" s="488"/>
      <c r="E19" s="489">
        <f>SUM(E12:E18)+E11</f>
        <v>13440415.914999999</v>
      </c>
      <c r="F19" s="489"/>
      <c r="G19" s="489"/>
      <c r="H19" s="490"/>
    </row>
    <row r="21" spans="2:8" ht="15.75" x14ac:dyDescent="0.25">
      <c r="B21" s="8" t="s">
        <v>1721</v>
      </c>
    </row>
    <row r="23" spans="2:8" x14ac:dyDescent="0.25">
      <c r="F23" s="290"/>
    </row>
    <row r="24" spans="2:8" ht="15" hidden="1" customHeight="1" x14ac:dyDescent="0.25"/>
    <row r="25" spans="2:8" ht="15" hidden="1" customHeight="1" x14ac:dyDescent="0.25">
      <c r="B25" s="928" t="s">
        <v>430</v>
      </c>
      <c r="C25" s="928"/>
      <c r="E25" s="928" t="s">
        <v>1722</v>
      </c>
      <c r="F25" s="928"/>
      <c r="G25" s="928"/>
      <c r="H25" s="928"/>
    </row>
    <row r="26" spans="2:8" ht="15" hidden="1" customHeight="1" x14ac:dyDescent="0.25"/>
    <row r="27" spans="2:8" ht="15" hidden="1" customHeight="1" x14ac:dyDescent="0.25"/>
    <row r="28" spans="2:8" ht="15" hidden="1" customHeight="1" x14ac:dyDescent="0.25">
      <c r="B28" s="941"/>
      <c r="C28" s="941"/>
      <c r="E28" s="941"/>
      <c r="F28" s="941"/>
      <c r="G28" s="941"/>
      <c r="H28" s="941"/>
    </row>
    <row r="29" spans="2:8" ht="15" hidden="1" customHeight="1" x14ac:dyDescent="0.25">
      <c r="B29" s="942"/>
      <c r="C29" s="942"/>
      <c r="E29" s="942"/>
      <c r="F29" s="942"/>
    </row>
    <row r="30" spans="2:8" ht="15" hidden="1" customHeight="1" x14ac:dyDescent="0.25"/>
    <row r="31" spans="2:8" ht="15" hidden="1" customHeight="1" x14ac:dyDescent="0.25"/>
    <row r="32" spans="2:8" ht="15" hidden="1" customHeight="1" x14ac:dyDescent="0.25"/>
  </sheetData>
  <mergeCells count="14">
    <mergeCell ref="B25:C25"/>
    <mergeCell ref="B28:C28"/>
    <mergeCell ref="B29:C29"/>
    <mergeCell ref="E29:F29"/>
    <mergeCell ref="E25:H25"/>
    <mergeCell ref="E28:H28"/>
    <mergeCell ref="B9:B10"/>
    <mergeCell ref="C9:D9"/>
    <mergeCell ref="F9:H9"/>
    <mergeCell ref="B4:H4"/>
    <mergeCell ref="B5:H5"/>
    <mergeCell ref="B6:H6"/>
    <mergeCell ref="B7:H7"/>
    <mergeCell ref="C8:D8"/>
  </mergeCells>
  <pageMargins left="0.7" right="0.7" top="0.75" bottom="0.75" header="0.3" footer="0.3"/>
  <pageSetup scale="65" orientation="landscape" r:id="rId1"/>
  <colBreaks count="1" manualBreakCount="1">
    <brk id="8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3"/>
  <sheetViews>
    <sheetView topLeftCell="A138" workbookViewId="0">
      <selection activeCell="C171" sqref="C171"/>
    </sheetView>
  </sheetViews>
  <sheetFormatPr baseColWidth="10" defaultColWidth="9.140625" defaultRowHeight="15" x14ac:dyDescent="0.25"/>
  <cols>
    <col min="1" max="1" width="15.5703125" customWidth="1"/>
    <col min="2" max="2" width="16.5703125" customWidth="1"/>
    <col min="3" max="3" width="21.7109375" customWidth="1"/>
    <col min="5" max="5" width="56.7109375" customWidth="1"/>
    <col min="6" max="6" width="36.28515625" customWidth="1"/>
    <col min="7" max="7" width="15.42578125" customWidth="1"/>
    <col min="8" max="8" width="22.28515625" customWidth="1"/>
  </cols>
  <sheetData>
    <row r="1" spans="1:9" x14ac:dyDescent="0.25">
      <c r="A1" s="928" t="s">
        <v>1411</v>
      </c>
      <c r="B1" s="928"/>
      <c r="C1" s="928"/>
      <c r="D1" s="928"/>
      <c r="E1" s="928"/>
      <c r="F1" s="928"/>
      <c r="G1" s="928"/>
      <c r="H1" s="928"/>
    </row>
    <row r="2" spans="1:9" x14ac:dyDescent="0.25">
      <c r="A2" s="928" t="s">
        <v>1412</v>
      </c>
      <c r="B2" s="928"/>
      <c r="C2" s="928"/>
      <c r="D2" s="928"/>
      <c r="E2" s="928"/>
      <c r="F2" s="928"/>
      <c r="G2" s="928"/>
      <c r="H2" s="928"/>
    </row>
    <row r="3" spans="1:9" x14ac:dyDescent="0.25">
      <c r="A3" s="928" t="s">
        <v>1413</v>
      </c>
      <c r="B3" s="928"/>
      <c r="C3" s="928"/>
      <c r="D3" s="928"/>
      <c r="E3" s="928"/>
      <c r="F3" s="928"/>
      <c r="G3" s="928"/>
      <c r="H3" s="928"/>
    </row>
    <row r="4" spans="1:9" x14ac:dyDescent="0.25">
      <c r="A4" s="941" t="s">
        <v>1414</v>
      </c>
      <c r="B4" s="941"/>
      <c r="C4" s="941"/>
      <c r="D4" s="941"/>
      <c r="E4" s="941"/>
      <c r="F4" s="941"/>
      <c r="G4" s="941"/>
      <c r="H4" s="941"/>
    </row>
    <row r="5" spans="1:9" ht="47.25" x14ac:dyDescent="0.25">
      <c r="A5" s="354" t="s">
        <v>1110</v>
      </c>
      <c r="B5" s="355" t="s">
        <v>1415</v>
      </c>
      <c r="C5" s="356" t="s">
        <v>1416</v>
      </c>
      <c r="D5" s="357" t="s">
        <v>1417</v>
      </c>
      <c r="E5" s="356" t="s">
        <v>1418</v>
      </c>
      <c r="F5" s="356" t="s">
        <v>1419</v>
      </c>
      <c r="G5" s="357" t="s">
        <v>1420</v>
      </c>
      <c r="H5" s="358" t="s">
        <v>1421</v>
      </c>
    </row>
    <row r="6" spans="1:9" ht="30" x14ac:dyDescent="0.25">
      <c r="A6" s="359">
        <v>45383</v>
      </c>
      <c r="B6" s="360" t="s">
        <v>1348</v>
      </c>
      <c r="C6" s="361" t="s">
        <v>1422</v>
      </c>
      <c r="D6" s="362"/>
      <c r="E6" s="363" t="s">
        <v>1423</v>
      </c>
      <c r="F6" s="364">
        <v>73152102</v>
      </c>
      <c r="G6" s="365" t="s">
        <v>1424</v>
      </c>
      <c r="H6" s="366">
        <v>746173</v>
      </c>
      <c r="I6" s="367"/>
    </row>
    <row r="7" spans="1:9" ht="30" x14ac:dyDescent="0.25">
      <c r="A7" s="359">
        <v>45383</v>
      </c>
      <c r="B7" s="360" t="s">
        <v>1425</v>
      </c>
      <c r="C7" s="361" t="s">
        <v>1426</v>
      </c>
      <c r="D7" s="362"/>
      <c r="E7" s="365" t="s">
        <v>1427</v>
      </c>
      <c r="F7" s="364">
        <v>81112501</v>
      </c>
      <c r="G7" s="368" t="s">
        <v>1428</v>
      </c>
      <c r="H7" s="366">
        <v>195408</v>
      </c>
      <c r="I7" s="367"/>
    </row>
    <row r="8" spans="1:9" ht="30" x14ac:dyDescent="0.25">
      <c r="A8" s="359">
        <v>45384</v>
      </c>
      <c r="B8" s="360" t="s">
        <v>1298</v>
      </c>
      <c r="C8" s="361" t="s">
        <v>1429</v>
      </c>
      <c r="D8" s="362"/>
      <c r="E8" s="365" t="s">
        <v>1430</v>
      </c>
      <c r="F8" s="363">
        <v>48101516</v>
      </c>
      <c r="G8" s="365" t="s">
        <v>1431</v>
      </c>
      <c r="H8" s="366">
        <v>149956.29999999999</v>
      </c>
      <c r="I8" s="367"/>
    </row>
    <row r="9" spans="1:9" ht="30" x14ac:dyDescent="0.25">
      <c r="A9" s="359">
        <v>45384</v>
      </c>
      <c r="B9" s="360" t="s">
        <v>1294</v>
      </c>
      <c r="C9" s="361" t="s">
        <v>1432</v>
      </c>
      <c r="D9" s="362"/>
      <c r="E9" s="365" t="s">
        <v>1105</v>
      </c>
      <c r="F9" s="363">
        <v>52141501</v>
      </c>
      <c r="G9" s="365" t="s">
        <v>1431</v>
      </c>
      <c r="H9" s="366">
        <v>211459.92</v>
      </c>
      <c r="I9" s="367"/>
    </row>
    <row r="10" spans="1:9" ht="30" x14ac:dyDescent="0.25">
      <c r="A10" s="359">
        <v>45384</v>
      </c>
      <c r="B10" s="360" t="s">
        <v>1433</v>
      </c>
      <c r="C10" s="361" t="s">
        <v>1434</v>
      </c>
      <c r="D10" s="362"/>
      <c r="E10" s="365" t="s">
        <v>1435</v>
      </c>
      <c r="F10" s="363">
        <v>42295123</v>
      </c>
      <c r="G10" s="365" t="s">
        <v>1436</v>
      </c>
      <c r="H10" s="369">
        <v>1716900</v>
      </c>
      <c r="I10" s="367"/>
    </row>
    <row r="11" spans="1:9" ht="30" x14ac:dyDescent="0.25">
      <c r="A11" s="370">
        <v>45384</v>
      </c>
      <c r="B11" s="360" t="s">
        <v>1437</v>
      </c>
      <c r="C11" s="361" t="s">
        <v>1438</v>
      </c>
      <c r="D11" s="362"/>
      <c r="E11" s="365" t="s">
        <v>1439</v>
      </c>
      <c r="F11" s="363">
        <v>41103001</v>
      </c>
      <c r="G11" s="365" t="s">
        <v>1440</v>
      </c>
      <c r="H11" s="366">
        <v>326565</v>
      </c>
      <c r="I11" s="367"/>
    </row>
    <row r="12" spans="1:9" ht="30" x14ac:dyDescent="0.25">
      <c r="A12" s="370">
        <v>45384</v>
      </c>
      <c r="B12" s="360" t="s">
        <v>1281</v>
      </c>
      <c r="C12" s="361" t="s">
        <v>1441</v>
      </c>
      <c r="D12" s="362"/>
      <c r="E12" s="365" t="s">
        <v>1442</v>
      </c>
      <c r="F12" s="364">
        <v>42172101</v>
      </c>
      <c r="G12" s="365" t="s">
        <v>1436</v>
      </c>
      <c r="H12" s="366">
        <v>609673.18000000005</v>
      </c>
      <c r="I12" s="367"/>
    </row>
    <row r="13" spans="1:9" ht="30" x14ac:dyDescent="0.25">
      <c r="A13" s="370">
        <v>45385</v>
      </c>
      <c r="B13" s="360" t="s">
        <v>1443</v>
      </c>
      <c r="C13" s="361" t="s">
        <v>1444</v>
      </c>
      <c r="D13" s="362"/>
      <c r="E13" s="363" t="s">
        <v>1445</v>
      </c>
      <c r="F13" s="363">
        <v>47121701</v>
      </c>
      <c r="G13" s="365" t="s">
        <v>1446</v>
      </c>
      <c r="H13" s="366">
        <v>113280</v>
      </c>
      <c r="I13" s="367"/>
    </row>
    <row r="14" spans="1:9" ht="30" x14ac:dyDescent="0.25">
      <c r="A14" s="370">
        <v>45385</v>
      </c>
      <c r="B14" s="360" t="s">
        <v>1291</v>
      </c>
      <c r="C14" s="361" t="s">
        <v>1447</v>
      </c>
      <c r="D14" s="362"/>
      <c r="E14" s="363" t="s">
        <v>1448</v>
      </c>
      <c r="F14" s="371">
        <v>42132201</v>
      </c>
      <c r="G14" s="365" t="s">
        <v>1446</v>
      </c>
      <c r="H14" s="366">
        <v>204000</v>
      </c>
      <c r="I14" s="367"/>
    </row>
    <row r="15" spans="1:9" ht="30" x14ac:dyDescent="0.25">
      <c r="A15" s="370">
        <v>45385</v>
      </c>
      <c r="B15" s="360" t="s">
        <v>1292</v>
      </c>
      <c r="C15" s="361" t="s">
        <v>1449</v>
      </c>
      <c r="D15" s="362"/>
      <c r="E15" s="363" t="s">
        <v>1448</v>
      </c>
      <c r="F15" s="371">
        <v>42312201</v>
      </c>
      <c r="G15" s="365" t="s">
        <v>1446</v>
      </c>
      <c r="H15" s="366">
        <v>108000</v>
      </c>
      <c r="I15" s="367"/>
    </row>
    <row r="16" spans="1:9" ht="30" x14ac:dyDescent="0.25">
      <c r="A16" s="370">
        <v>45385</v>
      </c>
      <c r="B16" s="360" t="s">
        <v>1320</v>
      </c>
      <c r="C16" s="361" t="s">
        <v>1450</v>
      </c>
      <c r="D16" s="362"/>
      <c r="E16" s="363" t="s">
        <v>240</v>
      </c>
      <c r="F16" s="371">
        <v>55121727</v>
      </c>
      <c r="G16" s="365" t="s">
        <v>1451</v>
      </c>
      <c r="H16" s="366">
        <v>10620</v>
      </c>
      <c r="I16" s="367"/>
    </row>
    <row r="17" spans="1:9" ht="34.5" x14ac:dyDescent="0.25">
      <c r="A17" s="370">
        <v>45385</v>
      </c>
      <c r="B17" s="360" t="s">
        <v>1452</v>
      </c>
      <c r="C17" s="361" t="s">
        <v>1453</v>
      </c>
      <c r="D17" s="362"/>
      <c r="E17" s="372" t="s">
        <v>1454</v>
      </c>
      <c r="F17" s="373">
        <v>72101511</v>
      </c>
      <c r="G17" s="374" t="s">
        <v>1424</v>
      </c>
      <c r="H17" s="375">
        <v>397424</v>
      </c>
    </row>
    <row r="18" spans="1:9" ht="30" x14ac:dyDescent="0.25">
      <c r="A18" s="370">
        <v>45385</v>
      </c>
      <c r="B18" s="360" t="s">
        <v>1455</v>
      </c>
      <c r="C18" s="361" t="s">
        <v>1456</v>
      </c>
      <c r="D18" s="362"/>
      <c r="E18" s="363" t="s">
        <v>240</v>
      </c>
      <c r="F18" s="365">
        <v>14111806</v>
      </c>
      <c r="G18" s="365" t="s">
        <v>1457</v>
      </c>
      <c r="H18" s="376">
        <v>26550</v>
      </c>
      <c r="I18" s="367"/>
    </row>
    <row r="19" spans="1:9" ht="30" x14ac:dyDescent="0.25">
      <c r="A19" s="370">
        <v>45385</v>
      </c>
      <c r="B19" s="360" t="s">
        <v>1458</v>
      </c>
      <c r="C19" s="361" t="s">
        <v>1459</v>
      </c>
      <c r="D19" s="362"/>
      <c r="E19" s="363" t="s">
        <v>1460</v>
      </c>
      <c r="F19" s="364">
        <v>78101604</v>
      </c>
      <c r="G19" s="365" t="s">
        <v>1461</v>
      </c>
      <c r="H19" s="376">
        <v>96000</v>
      </c>
      <c r="I19" s="367"/>
    </row>
    <row r="20" spans="1:9" ht="30" x14ac:dyDescent="0.25">
      <c r="A20" s="370">
        <v>45386</v>
      </c>
      <c r="B20" s="360" t="s">
        <v>1299</v>
      </c>
      <c r="C20" s="361" t="s">
        <v>1462</v>
      </c>
      <c r="D20" s="362"/>
      <c r="E20" s="363" t="s">
        <v>1463</v>
      </c>
      <c r="F20" s="363">
        <v>42221503</v>
      </c>
      <c r="G20" s="365" t="s">
        <v>1446</v>
      </c>
      <c r="H20" s="376">
        <v>165542</v>
      </c>
      <c r="I20" s="367"/>
    </row>
    <row r="21" spans="1:9" ht="30" x14ac:dyDescent="0.25">
      <c r="A21" s="370">
        <v>45386</v>
      </c>
      <c r="B21" s="360" t="s">
        <v>1464</v>
      </c>
      <c r="C21" s="361" t="s">
        <v>1465</v>
      </c>
      <c r="D21" s="362"/>
      <c r="E21" s="363" t="s">
        <v>1445</v>
      </c>
      <c r="F21" s="363">
        <v>47121701</v>
      </c>
      <c r="G21" s="365" t="s">
        <v>1446</v>
      </c>
      <c r="H21" s="376">
        <v>141600</v>
      </c>
      <c r="I21" s="367"/>
    </row>
    <row r="22" spans="1:9" ht="30" x14ac:dyDescent="0.25">
      <c r="A22" s="370">
        <v>45386</v>
      </c>
      <c r="B22" s="360" t="s">
        <v>1301</v>
      </c>
      <c r="C22" s="361" t="s">
        <v>1466</v>
      </c>
      <c r="D22" s="362"/>
      <c r="E22" s="363" t="s">
        <v>1467</v>
      </c>
      <c r="F22" s="364">
        <v>51101801</v>
      </c>
      <c r="G22" s="365" t="s">
        <v>1468</v>
      </c>
      <c r="H22" s="376">
        <v>157500</v>
      </c>
      <c r="I22" s="367"/>
    </row>
    <row r="23" spans="1:9" ht="30" x14ac:dyDescent="0.25">
      <c r="A23" s="370">
        <v>45386</v>
      </c>
      <c r="B23" s="360" t="s">
        <v>1302</v>
      </c>
      <c r="C23" s="361" t="s">
        <v>1469</v>
      </c>
      <c r="D23" s="362"/>
      <c r="E23" s="363" t="s">
        <v>1105</v>
      </c>
      <c r="F23" s="364">
        <v>56101603</v>
      </c>
      <c r="G23" s="365" t="s">
        <v>1470</v>
      </c>
      <c r="H23" s="376">
        <v>146813.48000000001</v>
      </c>
      <c r="I23" s="367"/>
    </row>
    <row r="24" spans="1:9" ht="30" x14ac:dyDescent="0.25">
      <c r="A24" s="370">
        <v>45390</v>
      </c>
      <c r="B24" s="360" t="s">
        <v>1471</v>
      </c>
      <c r="C24" s="361" t="s">
        <v>1472</v>
      </c>
      <c r="D24" s="362"/>
      <c r="E24" s="363" t="s">
        <v>1473</v>
      </c>
      <c r="F24" s="364">
        <v>23151802</v>
      </c>
      <c r="G24" s="365" t="s">
        <v>1474</v>
      </c>
      <c r="H24" s="376">
        <v>10150.01</v>
      </c>
      <c r="I24" s="367"/>
    </row>
    <row r="25" spans="1:9" ht="30" x14ac:dyDescent="0.25">
      <c r="A25" s="370">
        <v>45390</v>
      </c>
      <c r="B25" s="360" t="s">
        <v>1306</v>
      </c>
      <c r="C25" s="361" t="s">
        <v>1475</v>
      </c>
      <c r="D25" s="362"/>
      <c r="E25" s="363" t="s">
        <v>1476</v>
      </c>
      <c r="F25" s="377">
        <v>42311511</v>
      </c>
      <c r="G25" s="365" t="s">
        <v>1446</v>
      </c>
      <c r="H25" s="376">
        <v>240000</v>
      </c>
      <c r="I25" s="367"/>
    </row>
    <row r="26" spans="1:9" ht="30" x14ac:dyDescent="0.25">
      <c r="A26" s="370">
        <v>45390</v>
      </c>
      <c r="B26" s="360" t="s">
        <v>1307</v>
      </c>
      <c r="C26" s="361" t="s">
        <v>1477</v>
      </c>
      <c r="D26" s="362"/>
      <c r="E26" s="363" t="s">
        <v>1476</v>
      </c>
      <c r="F26" s="378">
        <v>42131609</v>
      </c>
      <c r="G26" s="365" t="s">
        <v>1446</v>
      </c>
      <c r="H26" s="376">
        <v>88500</v>
      </c>
      <c r="I26" s="367"/>
    </row>
    <row r="27" spans="1:9" ht="30" x14ac:dyDescent="0.25">
      <c r="A27" s="370">
        <v>45390</v>
      </c>
      <c r="B27" s="360" t="s">
        <v>1305</v>
      </c>
      <c r="C27" s="361" t="s">
        <v>1478</v>
      </c>
      <c r="D27" s="379"/>
      <c r="E27" s="363" t="s">
        <v>1479</v>
      </c>
      <c r="F27" s="364">
        <v>42261609</v>
      </c>
      <c r="G27" s="365" t="s">
        <v>1446</v>
      </c>
      <c r="H27" s="376">
        <v>112100</v>
      </c>
      <c r="I27" s="367"/>
    </row>
    <row r="28" spans="1:9" ht="30" x14ac:dyDescent="0.25">
      <c r="A28" s="359">
        <v>45390</v>
      </c>
      <c r="B28" s="360" t="s">
        <v>1330</v>
      </c>
      <c r="C28" s="361" t="s">
        <v>1480</v>
      </c>
      <c r="D28" s="379"/>
      <c r="E28" s="365" t="s">
        <v>1481</v>
      </c>
      <c r="F28" s="371">
        <v>12161902</v>
      </c>
      <c r="G28" s="365" t="s">
        <v>1482</v>
      </c>
      <c r="H28" s="376">
        <v>1139880</v>
      </c>
    </row>
    <row r="29" spans="1:9" ht="30" x14ac:dyDescent="0.25">
      <c r="A29" s="359">
        <v>45390</v>
      </c>
      <c r="B29" s="360" t="s">
        <v>1483</v>
      </c>
      <c r="C29" s="361" t="s">
        <v>1484</v>
      </c>
      <c r="D29" s="379"/>
      <c r="E29" s="363" t="s">
        <v>1485</v>
      </c>
      <c r="F29" s="364">
        <v>47121701</v>
      </c>
      <c r="G29" s="365" t="s">
        <v>1486</v>
      </c>
      <c r="H29" s="376">
        <v>229362.5</v>
      </c>
      <c r="I29" s="367"/>
    </row>
    <row r="30" spans="1:9" ht="30" x14ac:dyDescent="0.25">
      <c r="A30" s="359">
        <v>45392</v>
      </c>
      <c r="B30" s="360" t="s">
        <v>1487</v>
      </c>
      <c r="C30" s="361" t="s">
        <v>1488</v>
      </c>
      <c r="D30" s="379"/>
      <c r="E30" s="380" t="s">
        <v>1489</v>
      </c>
      <c r="F30" s="364">
        <v>41116105</v>
      </c>
      <c r="G30" s="365" t="s">
        <v>1490</v>
      </c>
      <c r="H30" s="376">
        <v>135637</v>
      </c>
      <c r="I30" s="367"/>
    </row>
    <row r="31" spans="1:9" ht="30" x14ac:dyDescent="0.25">
      <c r="A31" s="359">
        <v>45392</v>
      </c>
      <c r="B31" s="360" t="s">
        <v>1316</v>
      </c>
      <c r="C31" s="381" t="s">
        <v>1491</v>
      </c>
      <c r="D31" s="382"/>
      <c r="E31" s="363" t="s">
        <v>1492</v>
      </c>
      <c r="F31" s="364">
        <v>511018323</v>
      </c>
      <c r="G31" s="365" t="s">
        <v>1468</v>
      </c>
      <c r="H31" s="376">
        <v>119000</v>
      </c>
      <c r="I31" s="367"/>
    </row>
    <row r="32" spans="1:9" ht="30" x14ac:dyDescent="0.25">
      <c r="A32" s="383">
        <v>45392</v>
      </c>
      <c r="B32" s="360" t="s">
        <v>1493</v>
      </c>
      <c r="C32" s="361" t="s">
        <v>1494</v>
      </c>
      <c r="D32" s="382"/>
      <c r="E32" s="363" t="s">
        <v>358</v>
      </c>
      <c r="F32" s="364">
        <v>42311703</v>
      </c>
      <c r="G32" s="365" t="s">
        <v>1446</v>
      </c>
      <c r="H32" s="376">
        <v>257250</v>
      </c>
    </row>
    <row r="33" spans="1:9" ht="30" x14ac:dyDescent="0.25">
      <c r="A33" s="383">
        <v>45392</v>
      </c>
      <c r="B33" s="360" t="s">
        <v>1322</v>
      </c>
      <c r="C33" s="361" t="s">
        <v>1495</v>
      </c>
      <c r="D33" s="379"/>
      <c r="E33" s="363" t="s">
        <v>1496</v>
      </c>
      <c r="F33" s="364">
        <v>51102702</v>
      </c>
      <c r="G33" s="365" t="s">
        <v>1468</v>
      </c>
      <c r="H33" s="376">
        <v>22050</v>
      </c>
      <c r="I33" s="367"/>
    </row>
    <row r="34" spans="1:9" ht="30" x14ac:dyDescent="0.25">
      <c r="A34" s="383">
        <v>45392</v>
      </c>
      <c r="B34" s="360" t="s">
        <v>1327</v>
      </c>
      <c r="C34" s="361" t="s">
        <v>1497</v>
      </c>
      <c r="D34" s="379"/>
      <c r="E34" s="363" t="s">
        <v>1498</v>
      </c>
      <c r="F34" s="364">
        <v>42221503</v>
      </c>
      <c r="G34" s="365" t="s">
        <v>1446</v>
      </c>
      <c r="H34" s="376">
        <v>53117</v>
      </c>
      <c r="I34" s="367"/>
    </row>
    <row r="35" spans="1:9" ht="30" x14ac:dyDescent="0.25">
      <c r="A35" s="370">
        <v>45392</v>
      </c>
      <c r="B35" s="360" t="s">
        <v>1337</v>
      </c>
      <c r="C35" s="361" t="s">
        <v>1499</v>
      </c>
      <c r="D35" s="384"/>
      <c r="E35" s="363" t="s">
        <v>754</v>
      </c>
      <c r="F35" s="364">
        <v>42181503</v>
      </c>
      <c r="G35" s="365" t="s">
        <v>1490</v>
      </c>
      <c r="H35" s="376">
        <v>110250</v>
      </c>
      <c r="I35" s="367"/>
    </row>
    <row r="36" spans="1:9" ht="30" x14ac:dyDescent="0.25">
      <c r="A36" s="370">
        <v>45392</v>
      </c>
      <c r="B36" s="360" t="s">
        <v>1500</v>
      </c>
      <c r="C36" s="361" t="s">
        <v>1501</v>
      </c>
      <c r="D36" s="379"/>
      <c r="E36" s="380" t="s">
        <v>1439</v>
      </c>
      <c r="F36" s="364">
        <v>41116105</v>
      </c>
      <c r="G36" s="365" t="s">
        <v>1490</v>
      </c>
      <c r="H36" s="376">
        <v>113775</v>
      </c>
      <c r="I36" s="367"/>
    </row>
    <row r="37" spans="1:9" ht="30" x14ac:dyDescent="0.25">
      <c r="A37" s="370">
        <v>45393</v>
      </c>
      <c r="B37" s="360" t="s">
        <v>1502</v>
      </c>
      <c r="C37" s="361" t="s">
        <v>1503</v>
      </c>
      <c r="D37" s="385"/>
      <c r="E37" s="386" t="s">
        <v>1504</v>
      </c>
      <c r="F37" s="377">
        <v>39121017</v>
      </c>
      <c r="G37" s="365" t="s">
        <v>1505</v>
      </c>
      <c r="H37" s="376">
        <v>105739.8</v>
      </c>
      <c r="I37" s="367"/>
    </row>
    <row r="38" spans="1:9" ht="30" x14ac:dyDescent="0.25">
      <c r="A38" s="370">
        <v>45393</v>
      </c>
      <c r="B38" s="360" t="s">
        <v>1506</v>
      </c>
      <c r="C38" s="361" t="s">
        <v>1507</v>
      </c>
      <c r="D38" s="379"/>
      <c r="E38" s="363" t="s">
        <v>1508</v>
      </c>
      <c r="F38" s="387">
        <v>15101506</v>
      </c>
      <c r="G38" s="368" t="s">
        <v>1509</v>
      </c>
      <c r="H38" s="376">
        <v>520000</v>
      </c>
    </row>
    <row r="39" spans="1:9" ht="30" x14ac:dyDescent="0.25">
      <c r="A39" s="370">
        <v>45393</v>
      </c>
      <c r="B39" s="360" t="s">
        <v>1324</v>
      </c>
      <c r="C39" s="361" t="s">
        <v>1510</v>
      </c>
      <c r="D39" s="379"/>
      <c r="E39" s="365" t="s">
        <v>1511</v>
      </c>
      <c r="F39" s="364">
        <v>42142609</v>
      </c>
      <c r="G39" s="365" t="s">
        <v>1446</v>
      </c>
      <c r="H39" s="376">
        <v>249275</v>
      </c>
      <c r="I39" s="367"/>
    </row>
    <row r="40" spans="1:9" ht="30" x14ac:dyDescent="0.25">
      <c r="A40" s="370">
        <v>45393</v>
      </c>
      <c r="B40" s="360" t="s">
        <v>1323</v>
      </c>
      <c r="C40" s="361" t="s">
        <v>1512</v>
      </c>
      <c r="D40" s="379"/>
      <c r="E40" s="365" t="s">
        <v>1511</v>
      </c>
      <c r="F40" s="364">
        <v>42142609</v>
      </c>
      <c r="G40" s="365" t="s">
        <v>1446</v>
      </c>
      <c r="H40" s="376">
        <v>206500</v>
      </c>
      <c r="I40" s="367"/>
    </row>
    <row r="41" spans="1:9" ht="30" x14ac:dyDescent="0.25">
      <c r="A41" s="370">
        <v>45393</v>
      </c>
      <c r="B41" s="360" t="s">
        <v>1341</v>
      </c>
      <c r="C41" s="361" t="s">
        <v>1513</v>
      </c>
      <c r="D41" s="388"/>
      <c r="E41" s="363" t="s">
        <v>1514</v>
      </c>
      <c r="F41" s="364">
        <v>42142503</v>
      </c>
      <c r="G41" s="365" t="s">
        <v>1446</v>
      </c>
      <c r="H41" s="376">
        <v>136294.72</v>
      </c>
      <c r="I41" s="367"/>
    </row>
    <row r="42" spans="1:9" ht="30" x14ac:dyDescent="0.25">
      <c r="A42" s="370">
        <v>45393</v>
      </c>
      <c r="B42" s="360" t="s">
        <v>1329</v>
      </c>
      <c r="C42" s="361" t="s">
        <v>1515</v>
      </c>
      <c r="D42" s="379"/>
      <c r="E42" s="365" t="s">
        <v>1516</v>
      </c>
      <c r="F42" s="389">
        <v>51142138</v>
      </c>
      <c r="G42" s="365" t="s">
        <v>1468</v>
      </c>
      <c r="H42" s="376">
        <v>250000</v>
      </c>
      <c r="I42" s="367"/>
    </row>
    <row r="43" spans="1:9" ht="30" x14ac:dyDescent="0.25">
      <c r="A43" s="370">
        <v>45393</v>
      </c>
      <c r="B43" s="360" t="s">
        <v>1363</v>
      </c>
      <c r="C43" s="361" t="s">
        <v>1517</v>
      </c>
      <c r="D43" s="379"/>
      <c r="E43" s="365" t="s">
        <v>1518</v>
      </c>
      <c r="F43" s="365">
        <v>41111903</v>
      </c>
      <c r="G43" s="365" t="s">
        <v>1519</v>
      </c>
      <c r="H43" s="376">
        <v>244437</v>
      </c>
      <c r="I43" s="367"/>
    </row>
    <row r="44" spans="1:9" ht="30" x14ac:dyDescent="0.25">
      <c r="A44" s="370">
        <v>45393</v>
      </c>
      <c r="B44" s="360" t="s">
        <v>1520</v>
      </c>
      <c r="C44" s="361" t="s">
        <v>1515</v>
      </c>
      <c r="D44" s="379"/>
      <c r="E44" s="365" t="s">
        <v>1521</v>
      </c>
      <c r="F44" s="364">
        <v>39101628</v>
      </c>
      <c r="G44" s="365" t="s">
        <v>1522</v>
      </c>
      <c r="H44" s="376">
        <v>1652000</v>
      </c>
    </row>
    <row r="45" spans="1:9" ht="30" x14ac:dyDescent="0.25">
      <c r="A45" s="370">
        <v>45393</v>
      </c>
      <c r="B45" s="360" t="s">
        <v>1523</v>
      </c>
      <c r="C45" s="361" t="s">
        <v>1524</v>
      </c>
      <c r="D45" s="379"/>
      <c r="E45" s="363" t="s">
        <v>1525</v>
      </c>
      <c r="F45" s="365">
        <v>56101703</v>
      </c>
      <c r="G45" s="365" t="s">
        <v>1470</v>
      </c>
      <c r="H45" s="376">
        <v>89562</v>
      </c>
      <c r="I45" s="367"/>
    </row>
    <row r="46" spans="1:9" ht="30" x14ac:dyDescent="0.25">
      <c r="A46" s="370">
        <v>45394</v>
      </c>
      <c r="B46" s="360" t="s">
        <v>1331</v>
      </c>
      <c r="C46" s="361" t="s">
        <v>1526</v>
      </c>
      <c r="D46" s="379"/>
      <c r="E46" s="363" t="s">
        <v>1527</v>
      </c>
      <c r="F46" s="389">
        <v>41116105</v>
      </c>
      <c r="G46" s="365" t="s">
        <v>1490</v>
      </c>
      <c r="H46" s="376">
        <v>351123.22</v>
      </c>
    </row>
    <row r="47" spans="1:9" ht="30" x14ac:dyDescent="0.25">
      <c r="A47" s="370">
        <v>45394</v>
      </c>
      <c r="B47" s="360" t="s">
        <v>1528</v>
      </c>
      <c r="C47" s="361" t="s">
        <v>1529</v>
      </c>
      <c r="D47" s="379"/>
      <c r="E47" s="363" t="s">
        <v>1530</v>
      </c>
      <c r="F47" s="365">
        <v>50151513</v>
      </c>
      <c r="G47" s="365" t="s">
        <v>1531</v>
      </c>
      <c r="H47" s="376">
        <v>714177.9</v>
      </c>
    </row>
    <row r="48" spans="1:9" ht="30" x14ac:dyDescent="0.25">
      <c r="A48" s="370">
        <v>45394</v>
      </c>
      <c r="B48" s="360" t="s">
        <v>1340</v>
      </c>
      <c r="C48" s="361" t="s">
        <v>1532</v>
      </c>
      <c r="D48" s="379"/>
      <c r="E48" s="365" t="s">
        <v>1521</v>
      </c>
      <c r="F48" s="364">
        <v>42295104</v>
      </c>
      <c r="G48" s="365" t="s">
        <v>1436</v>
      </c>
      <c r="H48" s="376">
        <v>1227200</v>
      </c>
    </row>
    <row r="49" spans="1:11" ht="30" x14ac:dyDescent="0.25">
      <c r="A49" s="370">
        <v>45394</v>
      </c>
      <c r="B49" s="360" t="s">
        <v>1370</v>
      </c>
      <c r="C49" s="361" t="s">
        <v>1533</v>
      </c>
      <c r="D49" s="362"/>
      <c r="E49" s="363" t="s">
        <v>240</v>
      </c>
      <c r="F49" s="377">
        <v>5511804</v>
      </c>
      <c r="G49" s="365" t="s">
        <v>1534</v>
      </c>
      <c r="H49" s="376">
        <v>137175</v>
      </c>
    </row>
    <row r="50" spans="1:11" ht="30" x14ac:dyDescent="0.25">
      <c r="A50" s="370">
        <v>45394</v>
      </c>
      <c r="B50" s="360" t="s">
        <v>1335</v>
      </c>
      <c r="C50" s="361" t="s">
        <v>1535</v>
      </c>
      <c r="D50" s="390"/>
      <c r="E50" s="363" t="s">
        <v>1536</v>
      </c>
      <c r="F50" s="365">
        <v>421322205</v>
      </c>
      <c r="G50" s="365" t="s">
        <v>1446</v>
      </c>
      <c r="H50" s="391">
        <v>216382.5</v>
      </c>
    </row>
    <row r="51" spans="1:11" ht="30" x14ac:dyDescent="0.25">
      <c r="A51" s="370">
        <v>45397</v>
      </c>
      <c r="B51" s="360" t="s">
        <v>1343</v>
      </c>
      <c r="C51" s="361" t="s">
        <v>1526</v>
      </c>
      <c r="D51" s="392"/>
      <c r="E51" s="363" t="s">
        <v>1537</v>
      </c>
      <c r="F51" s="377">
        <v>41116105</v>
      </c>
      <c r="G51" s="365" t="s">
        <v>1490</v>
      </c>
      <c r="H51" s="391">
        <v>312011</v>
      </c>
    </row>
    <row r="52" spans="1:11" ht="30" x14ac:dyDescent="0.25">
      <c r="A52" s="370">
        <v>45397</v>
      </c>
      <c r="B52" s="360" t="s">
        <v>1338</v>
      </c>
      <c r="C52" s="361" t="s">
        <v>1533</v>
      </c>
      <c r="D52" s="392"/>
      <c r="E52" s="363" t="s">
        <v>1538</v>
      </c>
      <c r="F52" s="377">
        <v>42221503</v>
      </c>
      <c r="G52" s="365" t="s">
        <v>1446</v>
      </c>
      <c r="H52" s="391">
        <v>70564</v>
      </c>
    </row>
    <row r="53" spans="1:11" ht="30" x14ac:dyDescent="0.25">
      <c r="A53" s="370">
        <v>45397</v>
      </c>
      <c r="B53" s="360" t="s">
        <v>1539</v>
      </c>
      <c r="C53" s="361" t="s">
        <v>1540</v>
      </c>
      <c r="D53" s="393"/>
      <c r="E53" s="364" t="s">
        <v>1541</v>
      </c>
      <c r="F53" s="377">
        <v>42295401</v>
      </c>
      <c r="G53" s="365" t="s">
        <v>1446</v>
      </c>
      <c r="H53" s="376">
        <v>141600</v>
      </c>
    </row>
    <row r="54" spans="1:11" ht="30" x14ac:dyDescent="0.25">
      <c r="A54" s="370">
        <v>45397</v>
      </c>
      <c r="B54" s="360" t="s">
        <v>1356</v>
      </c>
      <c r="C54" s="361" t="s">
        <v>1542</v>
      </c>
      <c r="D54" s="392"/>
      <c r="E54" s="363" t="s">
        <v>1543</v>
      </c>
      <c r="F54" s="377">
        <v>41116105</v>
      </c>
      <c r="G54" s="365" t="s">
        <v>1490</v>
      </c>
      <c r="H54" s="391">
        <v>182826</v>
      </c>
      <c r="J54" s="394"/>
      <c r="K54" s="394"/>
    </row>
    <row r="55" spans="1:11" ht="30" x14ac:dyDescent="0.25">
      <c r="A55" s="370">
        <v>45397</v>
      </c>
      <c r="B55" s="360" t="s">
        <v>1544</v>
      </c>
      <c r="C55" s="361" t="s">
        <v>1545</v>
      </c>
      <c r="D55" s="390"/>
      <c r="E55" s="365" t="s">
        <v>273</v>
      </c>
      <c r="F55" s="365">
        <v>47131704</v>
      </c>
      <c r="G55" s="395" t="s">
        <v>1486</v>
      </c>
      <c r="H55" s="376">
        <v>213875</v>
      </c>
    </row>
    <row r="56" spans="1:11" ht="30" x14ac:dyDescent="0.25">
      <c r="A56" s="396">
        <v>45397</v>
      </c>
      <c r="B56" s="360" t="s">
        <v>1399</v>
      </c>
      <c r="C56" s="361" t="s">
        <v>1545</v>
      </c>
      <c r="D56" s="392"/>
      <c r="E56" s="363" t="s">
        <v>1439</v>
      </c>
      <c r="F56" s="377">
        <v>41116105</v>
      </c>
      <c r="G56" s="365" t="s">
        <v>1490</v>
      </c>
      <c r="H56" s="376">
        <v>51962</v>
      </c>
    </row>
    <row r="57" spans="1:11" ht="30" x14ac:dyDescent="0.25">
      <c r="A57" s="396">
        <v>45397</v>
      </c>
      <c r="B57" s="360" t="s">
        <v>1355</v>
      </c>
      <c r="C57" s="361" t="s">
        <v>1542</v>
      </c>
      <c r="D57" s="392"/>
      <c r="E57" s="380" t="s">
        <v>1546</v>
      </c>
      <c r="F57" s="377">
        <v>41116105</v>
      </c>
      <c r="G57" s="365" t="s">
        <v>1490</v>
      </c>
      <c r="H57" s="391">
        <v>148000</v>
      </c>
    </row>
    <row r="58" spans="1:11" ht="30" x14ac:dyDescent="0.25">
      <c r="A58" s="397">
        <v>45397</v>
      </c>
      <c r="B58" s="360" t="s">
        <v>1358</v>
      </c>
      <c r="C58" s="361" t="s">
        <v>1542</v>
      </c>
      <c r="D58" s="392"/>
      <c r="E58" s="380" t="s">
        <v>1547</v>
      </c>
      <c r="F58" s="377">
        <v>41116105</v>
      </c>
      <c r="G58" s="365" t="s">
        <v>1490</v>
      </c>
      <c r="H58" s="391">
        <v>65500</v>
      </c>
    </row>
    <row r="59" spans="1:11" ht="30" x14ac:dyDescent="0.25">
      <c r="A59" s="397">
        <v>45397</v>
      </c>
      <c r="B59" s="360" t="s">
        <v>1350</v>
      </c>
      <c r="C59" s="361" t="s">
        <v>1548</v>
      </c>
      <c r="D59" s="392"/>
      <c r="E59" s="365" t="s">
        <v>273</v>
      </c>
      <c r="F59" s="377">
        <v>42311515</v>
      </c>
      <c r="G59" s="365" t="s">
        <v>1446</v>
      </c>
      <c r="H59" s="391">
        <v>169215.6</v>
      </c>
    </row>
    <row r="60" spans="1:11" ht="30" x14ac:dyDescent="0.25">
      <c r="A60" s="397">
        <v>45398</v>
      </c>
      <c r="B60" s="360" t="s">
        <v>1396</v>
      </c>
      <c r="C60" s="361" t="s">
        <v>1549</v>
      </c>
      <c r="D60" s="392"/>
      <c r="E60" s="380" t="s">
        <v>1442</v>
      </c>
      <c r="F60" s="377">
        <v>42272205</v>
      </c>
      <c r="G60" s="365" t="s">
        <v>1446</v>
      </c>
      <c r="H60" s="391">
        <v>1500000.66</v>
      </c>
    </row>
    <row r="61" spans="1:11" ht="30" x14ac:dyDescent="0.25">
      <c r="A61" s="397">
        <v>45399</v>
      </c>
      <c r="B61" s="360" t="s">
        <v>1550</v>
      </c>
      <c r="C61" s="398" t="s">
        <v>1551</v>
      </c>
      <c r="D61" s="392"/>
      <c r="E61" s="380" t="s">
        <v>1552</v>
      </c>
      <c r="F61" s="377">
        <v>72101508</v>
      </c>
      <c r="G61" s="365" t="s">
        <v>1553</v>
      </c>
      <c r="H61" s="391">
        <v>1180000</v>
      </c>
    </row>
    <row r="62" spans="1:11" ht="30" x14ac:dyDescent="0.25">
      <c r="A62" s="397">
        <v>45399</v>
      </c>
      <c r="B62" s="360" t="s">
        <v>1360</v>
      </c>
      <c r="C62" s="398" t="s">
        <v>1554</v>
      </c>
      <c r="D62" s="392"/>
      <c r="E62" s="380" t="s">
        <v>1555</v>
      </c>
      <c r="F62" s="377">
        <v>41115402</v>
      </c>
      <c r="G62" s="365" t="s">
        <v>1490</v>
      </c>
      <c r="H62" s="391">
        <v>212227.72</v>
      </c>
    </row>
    <row r="63" spans="1:11" ht="30" x14ac:dyDescent="0.25">
      <c r="A63" s="397">
        <v>45400</v>
      </c>
      <c r="B63" s="360" t="s">
        <v>1364</v>
      </c>
      <c r="C63" s="398" t="s">
        <v>1556</v>
      </c>
      <c r="D63" s="392"/>
      <c r="E63" s="380" t="s">
        <v>1476</v>
      </c>
      <c r="F63" s="377">
        <v>51101561</v>
      </c>
      <c r="G63" s="365" t="s">
        <v>1468</v>
      </c>
      <c r="H63" s="391">
        <v>82650</v>
      </c>
    </row>
    <row r="64" spans="1:11" ht="30" x14ac:dyDescent="0.25">
      <c r="A64" s="397">
        <v>45400</v>
      </c>
      <c r="B64" s="360" t="s">
        <v>1380</v>
      </c>
      <c r="C64" s="398" t="s">
        <v>1557</v>
      </c>
      <c r="D64" s="392"/>
      <c r="E64" s="380" t="s">
        <v>1558</v>
      </c>
      <c r="F64" s="377">
        <v>51171702</v>
      </c>
      <c r="G64" s="365" t="s">
        <v>1468</v>
      </c>
      <c r="H64" s="391">
        <v>85140</v>
      </c>
    </row>
    <row r="65" spans="1:8" ht="30" x14ac:dyDescent="0.25">
      <c r="A65" s="399">
        <v>45400</v>
      </c>
      <c r="B65" s="360" t="s">
        <v>1372</v>
      </c>
      <c r="C65" s="398" t="s">
        <v>1559</v>
      </c>
      <c r="D65" s="392"/>
      <c r="E65" s="380" t="s">
        <v>1560</v>
      </c>
      <c r="F65" s="377">
        <v>51171908</v>
      </c>
      <c r="G65" s="365" t="s">
        <v>1468</v>
      </c>
      <c r="H65" s="391">
        <v>226780</v>
      </c>
    </row>
    <row r="66" spans="1:8" ht="30" x14ac:dyDescent="0.25">
      <c r="A66" s="397">
        <v>45034</v>
      </c>
      <c r="B66" s="360" t="s">
        <v>1561</v>
      </c>
      <c r="C66" s="398" t="s">
        <v>1562</v>
      </c>
      <c r="D66" s="392"/>
      <c r="E66" s="380" t="s">
        <v>1563</v>
      </c>
      <c r="F66" s="377">
        <v>24111503</v>
      </c>
      <c r="G66" s="365" t="s">
        <v>1531</v>
      </c>
      <c r="H66" s="391">
        <v>61596</v>
      </c>
    </row>
    <row r="67" spans="1:8" ht="30" x14ac:dyDescent="0.25">
      <c r="A67" s="397">
        <v>45401</v>
      </c>
      <c r="B67" s="360" t="s">
        <v>1564</v>
      </c>
      <c r="C67" s="398" t="s">
        <v>1565</v>
      </c>
      <c r="D67" s="392"/>
      <c r="E67" s="380" t="s">
        <v>1566</v>
      </c>
      <c r="F67" s="377">
        <v>72101607</v>
      </c>
      <c r="G67" s="365" t="s">
        <v>1553</v>
      </c>
      <c r="H67" s="391">
        <v>1751369.48</v>
      </c>
    </row>
    <row r="68" spans="1:8" ht="30" x14ac:dyDescent="0.25">
      <c r="A68" s="397">
        <v>45401</v>
      </c>
      <c r="B68" s="360" t="s">
        <v>1368</v>
      </c>
      <c r="C68" s="398" t="s">
        <v>1567</v>
      </c>
      <c r="D68" s="392"/>
      <c r="E68" s="380" t="s">
        <v>1568</v>
      </c>
      <c r="F68" s="377">
        <v>41111924</v>
      </c>
      <c r="G68" s="365" t="s">
        <v>1553</v>
      </c>
      <c r="H68" s="391">
        <v>31270</v>
      </c>
    </row>
    <row r="69" spans="1:8" ht="30" x14ac:dyDescent="0.25">
      <c r="A69" s="397">
        <v>45401</v>
      </c>
      <c r="B69" s="360" t="s">
        <v>1569</v>
      </c>
      <c r="C69" s="398" t="s">
        <v>1567</v>
      </c>
      <c r="D69" s="392"/>
      <c r="E69" s="380" t="s">
        <v>1570</v>
      </c>
      <c r="F69" s="400">
        <v>41111924</v>
      </c>
      <c r="G69" s="365" t="s">
        <v>1553</v>
      </c>
      <c r="H69" s="391">
        <v>336300</v>
      </c>
    </row>
    <row r="70" spans="1:8" ht="30" x14ac:dyDescent="0.25">
      <c r="A70" s="397">
        <v>45401</v>
      </c>
      <c r="B70" s="360" t="s">
        <v>1405</v>
      </c>
      <c r="C70" s="398" t="s">
        <v>1571</v>
      </c>
      <c r="D70" s="392"/>
      <c r="E70" s="380" t="s">
        <v>1572</v>
      </c>
      <c r="F70" s="377">
        <v>73121610</v>
      </c>
      <c r="G70" s="365" t="s">
        <v>1553</v>
      </c>
      <c r="H70" s="391">
        <v>117882</v>
      </c>
    </row>
    <row r="71" spans="1:8" ht="30" x14ac:dyDescent="0.25">
      <c r="A71" s="397">
        <v>45401</v>
      </c>
      <c r="B71" s="360" t="s">
        <v>1386</v>
      </c>
      <c r="C71" s="398" t="s">
        <v>1573</v>
      </c>
      <c r="D71" s="392"/>
      <c r="E71" s="380" t="s">
        <v>1574</v>
      </c>
      <c r="F71" s="377">
        <v>42132205</v>
      </c>
      <c r="G71" s="365" t="s">
        <v>1446</v>
      </c>
      <c r="H71" s="391">
        <v>247800</v>
      </c>
    </row>
    <row r="72" spans="1:8" ht="30" x14ac:dyDescent="0.25">
      <c r="A72" s="399">
        <v>45401</v>
      </c>
      <c r="B72" s="360" t="s">
        <v>1384</v>
      </c>
      <c r="C72" s="398" t="s">
        <v>1575</v>
      </c>
      <c r="D72" s="390"/>
      <c r="E72" s="395" t="s">
        <v>1576</v>
      </c>
      <c r="F72" s="377">
        <v>42132205</v>
      </c>
      <c r="G72" s="365" t="s">
        <v>1446</v>
      </c>
      <c r="H72" s="391">
        <v>177000</v>
      </c>
    </row>
    <row r="73" spans="1:8" ht="30" x14ac:dyDescent="0.25">
      <c r="A73" s="397" t="s">
        <v>1577</v>
      </c>
      <c r="B73" s="360" t="s">
        <v>1378</v>
      </c>
      <c r="C73" s="398" t="s">
        <v>1578</v>
      </c>
      <c r="D73" s="392"/>
      <c r="E73" s="380" t="s">
        <v>1579</v>
      </c>
      <c r="F73" s="377">
        <v>42191807</v>
      </c>
      <c r="G73" s="365" t="s">
        <v>1436</v>
      </c>
      <c r="H73" s="391">
        <v>254785.6</v>
      </c>
    </row>
    <row r="74" spans="1:8" ht="30" x14ac:dyDescent="0.25">
      <c r="A74" s="397">
        <v>45401</v>
      </c>
      <c r="B74" s="360" t="s">
        <v>1389</v>
      </c>
      <c r="C74" s="398" t="s">
        <v>1580</v>
      </c>
      <c r="D74" s="392"/>
      <c r="E74" s="380" t="s">
        <v>1581</v>
      </c>
      <c r="F74" s="363">
        <v>51161812</v>
      </c>
      <c r="G74" s="365" t="s">
        <v>1468</v>
      </c>
      <c r="H74" s="391">
        <v>6145</v>
      </c>
    </row>
    <row r="75" spans="1:8" ht="30" x14ac:dyDescent="0.25">
      <c r="A75" s="397">
        <v>45401</v>
      </c>
      <c r="B75" s="360" t="s">
        <v>1376</v>
      </c>
      <c r="C75" s="398" t="s">
        <v>1582</v>
      </c>
      <c r="D75" s="392"/>
      <c r="E75" s="380" t="s">
        <v>447</v>
      </c>
      <c r="F75" s="377">
        <v>42221503</v>
      </c>
      <c r="G75" s="365" t="s">
        <v>1446</v>
      </c>
      <c r="H75" s="391">
        <v>141600</v>
      </c>
    </row>
    <row r="76" spans="1:8" ht="30" x14ac:dyDescent="0.25">
      <c r="A76" s="397">
        <v>45401</v>
      </c>
      <c r="B76" s="360" t="s">
        <v>1392</v>
      </c>
      <c r="C76" s="398" t="s">
        <v>1583</v>
      </c>
      <c r="D76" s="392"/>
      <c r="E76" s="401" t="s">
        <v>273</v>
      </c>
      <c r="F76" s="364">
        <v>48102107</v>
      </c>
      <c r="G76" s="365" t="s">
        <v>1451</v>
      </c>
      <c r="H76" s="391">
        <v>60770</v>
      </c>
    </row>
    <row r="77" spans="1:8" ht="30.75" x14ac:dyDescent="0.3">
      <c r="A77" s="397">
        <v>45401</v>
      </c>
      <c r="B77" s="360" t="s">
        <v>1584</v>
      </c>
      <c r="C77" s="402" t="s">
        <v>1385</v>
      </c>
      <c r="D77" s="392"/>
      <c r="E77" s="403" t="s">
        <v>1585</v>
      </c>
      <c r="F77" s="404">
        <v>14111704</v>
      </c>
      <c r="G77" s="368" t="s">
        <v>1586</v>
      </c>
      <c r="H77" s="366">
        <v>416249.13</v>
      </c>
    </row>
    <row r="78" spans="1:8" ht="30" x14ac:dyDescent="0.25">
      <c r="A78" s="397">
        <v>45404</v>
      </c>
      <c r="B78" s="360" t="s">
        <v>1387</v>
      </c>
      <c r="C78" s="398" t="s">
        <v>1587</v>
      </c>
      <c r="D78" s="392"/>
      <c r="E78" s="380" t="s">
        <v>1588</v>
      </c>
      <c r="F78" s="377">
        <v>42271903</v>
      </c>
      <c r="G78" s="365" t="s">
        <v>1446</v>
      </c>
      <c r="H78" s="391">
        <v>78824</v>
      </c>
    </row>
    <row r="79" spans="1:8" ht="30" x14ac:dyDescent="0.25">
      <c r="A79" s="397">
        <v>45404</v>
      </c>
      <c r="B79" s="360" t="s">
        <v>1377</v>
      </c>
      <c r="C79" s="398" t="s">
        <v>1589</v>
      </c>
      <c r="D79" s="392"/>
      <c r="E79" s="380" t="s">
        <v>1590</v>
      </c>
      <c r="F79" s="377">
        <v>42312202</v>
      </c>
      <c r="G79" s="365" t="s">
        <v>1446</v>
      </c>
      <c r="H79" s="391">
        <v>159300</v>
      </c>
    </row>
    <row r="80" spans="1:8" ht="30" x14ac:dyDescent="0.25">
      <c r="A80" s="397">
        <v>45404</v>
      </c>
      <c r="B80" s="360" t="s">
        <v>1591</v>
      </c>
      <c r="C80" s="398" t="s">
        <v>1592</v>
      </c>
      <c r="D80" s="392"/>
      <c r="E80" s="380" t="s">
        <v>1593</v>
      </c>
      <c r="F80" s="377">
        <v>53101502</v>
      </c>
      <c r="G80" s="368" t="s">
        <v>1586</v>
      </c>
      <c r="H80" s="391">
        <v>46728</v>
      </c>
    </row>
    <row r="81" spans="1:8" ht="30" x14ac:dyDescent="0.25">
      <c r="A81" s="397">
        <v>45404</v>
      </c>
      <c r="B81" s="360" t="s">
        <v>1393</v>
      </c>
      <c r="C81" s="398" t="s">
        <v>1594</v>
      </c>
      <c r="D81" s="392"/>
      <c r="E81" s="380" t="s">
        <v>358</v>
      </c>
      <c r="F81" s="377">
        <v>51161703</v>
      </c>
      <c r="G81" s="365" t="s">
        <v>1468</v>
      </c>
      <c r="H81" s="391">
        <v>254450</v>
      </c>
    </row>
    <row r="82" spans="1:8" ht="30" x14ac:dyDescent="0.25">
      <c r="A82" s="397">
        <v>45404</v>
      </c>
      <c r="B82" s="360" t="s">
        <v>1595</v>
      </c>
      <c r="C82" s="398" t="s">
        <v>1594</v>
      </c>
      <c r="D82" s="392"/>
      <c r="E82" s="380" t="s">
        <v>358</v>
      </c>
      <c r="F82" s="377">
        <v>51161703</v>
      </c>
      <c r="G82" s="365" t="s">
        <v>1468</v>
      </c>
      <c r="H82" s="391">
        <v>140850</v>
      </c>
    </row>
    <row r="83" spans="1:8" ht="30" x14ac:dyDescent="0.25">
      <c r="A83" s="397">
        <v>45405</v>
      </c>
      <c r="B83" s="360" t="s">
        <v>1596</v>
      </c>
      <c r="C83" s="398" t="s">
        <v>1597</v>
      </c>
      <c r="D83" s="392"/>
      <c r="E83" s="380" t="s">
        <v>960</v>
      </c>
      <c r="F83" s="377">
        <v>80141607</v>
      </c>
      <c r="G83" s="368" t="s">
        <v>1598</v>
      </c>
      <c r="H83" s="405">
        <v>174451.20000000001</v>
      </c>
    </row>
    <row r="84" spans="1:8" ht="30" x14ac:dyDescent="0.25">
      <c r="A84" s="397">
        <v>45405</v>
      </c>
      <c r="B84" s="360" t="s">
        <v>1390</v>
      </c>
      <c r="C84" s="398" t="s">
        <v>1599</v>
      </c>
      <c r="D84" s="392"/>
      <c r="E84" s="380" t="s">
        <v>1600</v>
      </c>
      <c r="F84" s="377">
        <v>51161703</v>
      </c>
      <c r="G84" s="365" t="s">
        <v>1468</v>
      </c>
      <c r="H84" s="391">
        <v>190000</v>
      </c>
    </row>
    <row r="85" spans="1:8" ht="30" x14ac:dyDescent="0.25">
      <c r="A85" s="397">
        <v>45405</v>
      </c>
      <c r="B85" s="360" t="s">
        <v>1601</v>
      </c>
      <c r="C85" s="398" t="s">
        <v>1602</v>
      </c>
      <c r="D85" s="392"/>
      <c r="E85" s="380" t="s">
        <v>1603</v>
      </c>
      <c r="F85" s="377">
        <v>42221503</v>
      </c>
      <c r="G85" s="368" t="s">
        <v>1446</v>
      </c>
      <c r="H85" s="391">
        <v>88087</v>
      </c>
    </row>
    <row r="86" spans="1:8" ht="30.75" x14ac:dyDescent="0.3">
      <c r="A86" s="397">
        <v>45407</v>
      </c>
      <c r="B86" s="360" t="s">
        <v>1604</v>
      </c>
      <c r="C86" s="402" t="s">
        <v>1605</v>
      </c>
      <c r="D86" s="392"/>
      <c r="E86" s="403" t="s">
        <v>1606</v>
      </c>
      <c r="F86" s="377">
        <v>42221503</v>
      </c>
      <c r="G86" s="374" t="s">
        <v>1446</v>
      </c>
      <c r="H86" s="406">
        <v>236000</v>
      </c>
    </row>
    <row r="87" spans="1:8" ht="30" x14ac:dyDescent="0.25">
      <c r="A87" s="397">
        <v>45407</v>
      </c>
      <c r="B87" s="360" t="s">
        <v>1607</v>
      </c>
      <c r="C87" s="398" t="s">
        <v>1608</v>
      </c>
      <c r="D87" s="392"/>
      <c r="E87" s="380" t="s">
        <v>1609</v>
      </c>
      <c r="F87" s="377">
        <v>82121503</v>
      </c>
      <c r="G87" s="365" t="s">
        <v>1534</v>
      </c>
      <c r="H87" s="391">
        <v>251340</v>
      </c>
    </row>
    <row r="88" spans="1:8" ht="30" x14ac:dyDescent="0.25">
      <c r="A88" s="397">
        <v>45407</v>
      </c>
      <c r="B88" s="360" t="s">
        <v>1610</v>
      </c>
      <c r="C88" s="398" t="s">
        <v>1611</v>
      </c>
      <c r="D88" s="392"/>
      <c r="E88" s="380" t="s">
        <v>1612</v>
      </c>
      <c r="F88" s="377">
        <v>14111806</v>
      </c>
      <c r="G88" s="368" t="s">
        <v>1457</v>
      </c>
      <c r="H88" s="391">
        <v>741040</v>
      </c>
    </row>
    <row r="89" spans="1:8" ht="30" x14ac:dyDescent="0.25">
      <c r="A89" s="397">
        <v>45407</v>
      </c>
      <c r="B89" s="360" t="s">
        <v>1613</v>
      </c>
      <c r="C89" s="398" t="s">
        <v>1614</v>
      </c>
      <c r="D89" s="392"/>
      <c r="E89" s="380" t="s">
        <v>1615</v>
      </c>
      <c r="F89" s="377">
        <v>42294002</v>
      </c>
      <c r="G89" s="365" t="s">
        <v>1468</v>
      </c>
      <c r="H89" s="391">
        <v>32906</v>
      </c>
    </row>
    <row r="90" spans="1:8" ht="30" x14ac:dyDescent="0.25">
      <c r="A90" s="397">
        <v>45407</v>
      </c>
      <c r="B90" s="360" t="s">
        <v>1616</v>
      </c>
      <c r="C90" s="398" t="s">
        <v>1456</v>
      </c>
      <c r="D90" s="392"/>
      <c r="E90" s="380" t="s">
        <v>1617</v>
      </c>
      <c r="F90" s="377">
        <v>72101607</v>
      </c>
      <c r="G90" s="365" t="s">
        <v>1553</v>
      </c>
      <c r="H90" s="391">
        <v>689903.36</v>
      </c>
    </row>
    <row r="91" spans="1:8" ht="30" x14ac:dyDescent="0.25">
      <c r="A91" s="397">
        <v>45407</v>
      </c>
      <c r="B91" s="360" t="s">
        <v>1618</v>
      </c>
      <c r="C91" s="398" t="s">
        <v>1619</v>
      </c>
      <c r="D91" s="392"/>
      <c r="E91" s="380" t="s">
        <v>1620</v>
      </c>
      <c r="F91" s="377">
        <v>52121509</v>
      </c>
      <c r="G91" s="407" t="s">
        <v>1586</v>
      </c>
      <c r="H91" s="391">
        <v>259600</v>
      </c>
    </row>
    <row r="92" spans="1:8" ht="30" x14ac:dyDescent="0.25">
      <c r="A92" s="397">
        <v>45407</v>
      </c>
      <c r="B92" s="360" t="s">
        <v>1394</v>
      </c>
      <c r="C92" s="398" t="s">
        <v>1621</v>
      </c>
      <c r="D92" s="392"/>
      <c r="E92" s="380" t="s">
        <v>1622</v>
      </c>
      <c r="F92" s="377">
        <v>42295112</v>
      </c>
      <c r="G92" s="365" t="s">
        <v>1522</v>
      </c>
      <c r="H92" s="391">
        <v>1387459.34</v>
      </c>
    </row>
    <row r="93" spans="1:8" ht="30" x14ac:dyDescent="0.25">
      <c r="A93" s="397">
        <v>45407</v>
      </c>
      <c r="B93" s="360" t="s">
        <v>1401</v>
      </c>
      <c r="C93" s="398" t="s">
        <v>1623</v>
      </c>
      <c r="D93" s="392"/>
      <c r="E93" s="380" t="s">
        <v>1624</v>
      </c>
      <c r="F93" s="377">
        <v>42221503</v>
      </c>
      <c r="G93" s="368" t="s">
        <v>1446</v>
      </c>
      <c r="H93" s="391">
        <v>188800</v>
      </c>
    </row>
    <row r="94" spans="1:8" ht="30" x14ac:dyDescent="0.25">
      <c r="A94" s="397">
        <v>45407</v>
      </c>
      <c r="B94" s="360" t="s">
        <v>1625</v>
      </c>
      <c r="C94" s="398" t="s">
        <v>1626</v>
      </c>
      <c r="D94" s="392"/>
      <c r="E94" s="380" t="s">
        <v>1627</v>
      </c>
      <c r="F94" s="377">
        <v>42281808</v>
      </c>
      <c r="G94" s="365" t="s">
        <v>1446</v>
      </c>
      <c r="H94" s="391">
        <v>991200</v>
      </c>
    </row>
    <row r="95" spans="1:8" ht="30" x14ac:dyDescent="0.25">
      <c r="A95" s="397">
        <v>45407</v>
      </c>
      <c r="B95" s="360" t="s">
        <v>1628</v>
      </c>
      <c r="C95" s="398" t="s">
        <v>1629</v>
      </c>
      <c r="D95" s="392"/>
      <c r="E95" s="380" t="s">
        <v>240</v>
      </c>
      <c r="F95" s="377">
        <v>14111806</v>
      </c>
      <c r="G95" s="365" t="s">
        <v>1457</v>
      </c>
      <c r="H95" s="391">
        <v>13688</v>
      </c>
    </row>
    <row r="96" spans="1:8" ht="30" x14ac:dyDescent="0.25">
      <c r="A96" s="397">
        <v>45407</v>
      </c>
      <c r="B96" s="360" t="s">
        <v>1630</v>
      </c>
      <c r="C96" s="398" t="s">
        <v>1631</v>
      </c>
      <c r="D96" s="392"/>
      <c r="E96" s="380" t="s">
        <v>1620</v>
      </c>
      <c r="F96" s="377">
        <v>56101515</v>
      </c>
      <c r="G96" s="365" t="s">
        <v>1470</v>
      </c>
      <c r="H96" s="391">
        <v>215940</v>
      </c>
    </row>
    <row r="97" spans="1:8" ht="30" x14ac:dyDescent="0.25">
      <c r="A97" s="397">
        <v>45407</v>
      </c>
      <c r="B97" s="360" t="s">
        <v>1632</v>
      </c>
      <c r="C97" s="398" t="s">
        <v>1633</v>
      </c>
      <c r="D97" s="392"/>
      <c r="E97" s="380" t="s">
        <v>1634</v>
      </c>
      <c r="F97" s="377">
        <v>42191802</v>
      </c>
      <c r="G97" s="365" t="s">
        <v>1468</v>
      </c>
      <c r="H97" s="391">
        <v>1818082.24</v>
      </c>
    </row>
    <row r="98" spans="1:8" ht="30" x14ac:dyDescent="0.25">
      <c r="A98" s="397">
        <v>45407</v>
      </c>
      <c r="B98" s="360" t="s">
        <v>1635</v>
      </c>
      <c r="C98" s="398" t="s">
        <v>1636</v>
      </c>
      <c r="D98" s="392"/>
      <c r="E98" s="380" t="s">
        <v>1637</v>
      </c>
      <c r="F98" s="377">
        <v>40142318</v>
      </c>
      <c r="G98" s="365" t="s">
        <v>1468</v>
      </c>
      <c r="H98" s="391">
        <v>18950.330000000002</v>
      </c>
    </row>
    <row r="99" spans="1:8" ht="30" x14ac:dyDescent="0.25">
      <c r="A99" s="397">
        <v>45407</v>
      </c>
      <c r="B99" s="360" t="s">
        <v>1638</v>
      </c>
      <c r="C99" s="398" t="s">
        <v>1629</v>
      </c>
      <c r="D99" s="392"/>
      <c r="E99" s="380" t="s">
        <v>240</v>
      </c>
      <c r="F99" s="377">
        <v>14111806</v>
      </c>
      <c r="G99" s="365" t="s">
        <v>1457</v>
      </c>
      <c r="H99" s="391">
        <v>74340</v>
      </c>
    </row>
    <row r="100" spans="1:8" ht="30" x14ac:dyDescent="0.25">
      <c r="A100" s="397">
        <v>45407</v>
      </c>
      <c r="B100" s="360" t="s">
        <v>1402</v>
      </c>
      <c r="C100" s="398" t="s">
        <v>1639</v>
      </c>
      <c r="D100" s="392"/>
      <c r="E100" s="380" t="s">
        <v>754</v>
      </c>
      <c r="F100" s="377">
        <v>51181706</v>
      </c>
      <c r="G100" s="365" t="s">
        <v>1468</v>
      </c>
      <c r="H100" s="391">
        <v>141000</v>
      </c>
    </row>
    <row r="101" spans="1:8" ht="30" x14ac:dyDescent="0.25">
      <c r="A101" s="397">
        <v>45407</v>
      </c>
      <c r="B101" s="360" t="s">
        <v>1640</v>
      </c>
      <c r="C101" s="398" t="s">
        <v>1641</v>
      </c>
      <c r="D101" s="392"/>
      <c r="E101" s="380" t="s">
        <v>1642</v>
      </c>
      <c r="F101" s="377">
        <v>41116003</v>
      </c>
      <c r="G101" s="365" t="s">
        <v>1490</v>
      </c>
      <c r="H101" s="391">
        <v>80363.899999999994</v>
      </c>
    </row>
    <row r="102" spans="1:8" ht="31.5" x14ac:dyDescent="0.25">
      <c r="A102" s="397">
        <v>45407</v>
      </c>
      <c r="B102" s="360" t="s">
        <v>1643</v>
      </c>
      <c r="C102" s="402" t="s">
        <v>1644</v>
      </c>
      <c r="D102" s="392"/>
      <c r="E102" s="380" t="s">
        <v>1645</v>
      </c>
      <c r="F102" s="377" t="s">
        <v>1646</v>
      </c>
      <c r="G102" s="368" t="s">
        <v>1428</v>
      </c>
      <c r="H102" s="366">
        <v>1726924.1</v>
      </c>
    </row>
    <row r="103" spans="1:8" ht="30" x14ac:dyDescent="0.25">
      <c r="A103" s="397">
        <v>45408</v>
      </c>
      <c r="B103" s="360" t="s">
        <v>1407</v>
      </c>
      <c r="C103" s="398" t="s">
        <v>1647</v>
      </c>
      <c r="D103" s="392"/>
      <c r="E103" s="380" t="s">
        <v>1476</v>
      </c>
      <c r="F103" s="377">
        <v>51131801</v>
      </c>
      <c r="G103" s="365" t="s">
        <v>1468</v>
      </c>
      <c r="H103" s="391">
        <v>226745</v>
      </c>
    </row>
    <row r="104" spans="1:8" ht="30" x14ac:dyDescent="0.25">
      <c r="A104" s="397">
        <v>45412</v>
      </c>
      <c r="B104" s="360" t="s">
        <v>1648</v>
      </c>
      <c r="C104" s="398" t="s">
        <v>1649</v>
      </c>
      <c r="D104" s="392"/>
      <c r="E104" s="380" t="s">
        <v>1558</v>
      </c>
      <c r="F104" s="377">
        <v>42142503</v>
      </c>
      <c r="G104" s="365" t="s">
        <v>1446</v>
      </c>
      <c r="H104" s="391">
        <v>149665.29999999999</v>
      </c>
    </row>
    <row r="105" spans="1:8" ht="30" x14ac:dyDescent="0.25">
      <c r="A105" s="397">
        <v>45412</v>
      </c>
      <c r="B105" s="360" t="s">
        <v>1650</v>
      </c>
      <c r="C105" s="398" t="s">
        <v>1651</v>
      </c>
      <c r="D105" s="392"/>
      <c r="E105" s="380" t="s">
        <v>1652</v>
      </c>
      <c r="F105" s="377">
        <v>73152102</v>
      </c>
      <c r="G105" s="368" t="s">
        <v>1424</v>
      </c>
      <c r="H105" s="391">
        <v>233640</v>
      </c>
    </row>
    <row r="106" spans="1:8" ht="30" x14ac:dyDescent="0.25">
      <c r="A106" s="397">
        <v>45412</v>
      </c>
      <c r="B106" s="360" t="s">
        <v>1653</v>
      </c>
      <c r="C106" s="398" t="s">
        <v>1654</v>
      </c>
      <c r="D106" s="392"/>
      <c r="E106" s="373" t="s">
        <v>1585</v>
      </c>
      <c r="F106" s="377">
        <v>52151503</v>
      </c>
      <c r="G106" s="407" t="s">
        <v>1655</v>
      </c>
      <c r="H106" s="366">
        <v>771696.55</v>
      </c>
    </row>
    <row r="107" spans="1:8" ht="30" x14ac:dyDescent="0.25">
      <c r="A107" s="397">
        <v>45412</v>
      </c>
      <c r="B107" s="360" t="s">
        <v>1656</v>
      </c>
      <c r="C107" s="398" t="s">
        <v>1657</v>
      </c>
      <c r="D107" s="392"/>
      <c r="E107" s="380" t="s">
        <v>1658</v>
      </c>
      <c r="F107" s="377">
        <v>42295112</v>
      </c>
      <c r="G107" s="365" t="s">
        <v>1522</v>
      </c>
      <c r="H107" s="391">
        <v>1156400</v>
      </c>
    </row>
    <row r="108" spans="1:8" ht="30" x14ac:dyDescent="0.25">
      <c r="A108" s="397">
        <v>45412</v>
      </c>
      <c r="B108" s="360" t="s">
        <v>1659</v>
      </c>
      <c r="C108" s="398" t="s">
        <v>1477</v>
      </c>
      <c r="D108" s="392"/>
      <c r="E108" s="380" t="s">
        <v>1658</v>
      </c>
      <c r="F108" s="377">
        <v>42295112</v>
      </c>
      <c r="G108" s="365" t="s">
        <v>1522</v>
      </c>
      <c r="H108" s="391">
        <v>826000</v>
      </c>
    </row>
    <row r="109" spans="1:8" ht="30" x14ac:dyDescent="0.25">
      <c r="A109" s="397">
        <v>45412</v>
      </c>
      <c r="B109" s="360" t="s">
        <v>1660</v>
      </c>
      <c r="C109" s="398" t="s">
        <v>1661</v>
      </c>
      <c r="D109" s="392"/>
      <c r="E109" s="380" t="s">
        <v>1662</v>
      </c>
      <c r="F109" s="377">
        <v>73152102</v>
      </c>
      <c r="G109" s="365" t="s">
        <v>1553</v>
      </c>
      <c r="H109" s="391">
        <v>1184600.67</v>
      </c>
    </row>
    <row r="110" spans="1:8" ht="34.5" x14ac:dyDescent="0.25">
      <c r="A110" s="397">
        <v>45412</v>
      </c>
      <c r="B110" s="360" t="s">
        <v>1663</v>
      </c>
      <c r="C110" s="398" t="s">
        <v>1501</v>
      </c>
      <c r="D110" s="392"/>
      <c r="E110" s="372" t="s">
        <v>1664</v>
      </c>
      <c r="F110" s="377">
        <v>41116122</v>
      </c>
      <c r="G110" s="407" t="s">
        <v>1440</v>
      </c>
      <c r="H110" s="391">
        <v>113775</v>
      </c>
    </row>
    <row r="111" spans="1:8" ht="15.75" x14ac:dyDescent="0.25">
      <c r="A111" s="408"/>
      <c r="B111" s="409"/>
      <c r="C111" s="410"/>
      <c r="D111" s="410"/>
      <c r="E111" s="411"/>
      <c r="F111" s="943" t="s">
        <v>1665</v>
      </c>
      <c r="G111" s="943"/>
      <c r="H111" s="412">
        <f>SUM(H6:H110)</f>
        <v>37162272.710000001</v>
      </c>
    </row>
    <row r="112" spans="1:8" ht="15.75" x14ac:dyDescent="0.25">
      <c r="A112" s="413"/>
      <c r="B112" s="414"/>
      <c r="C112" s="415"/>
      <c r="D112" s="415"/>
      <c r="E112" s="415"/>
      <c r="F112" s="416"/>
      <c r="G112" s="417"/>
      <c r="H112" s="418"/>
    </row>
    <row r="113" spans="1:8" x14ac:dyDescent="0.25">
      <c r="A113" s="419"/>
      <c r="B113" s="289"/>
      <c r="C113" s="46"/>
      <c r="D113" s="46"/>
      <c r="E113" s="46"/>
      <c r="F113" s="420"/>
      <c r="G113" s="421"/>
      <c r="H113" s="422"/>
    </row>
    <row r="114" spans="1:8" ht="30" x14ac:dyDescent="0.25">
      <c r="A114" s="423" t="s">
        <v>1666</v>
      </c>
      <c r="B114" s="424"/>
      <c r="C114" s="425"/>
      <c r="D114" s="426"/>
      <c r="E114" s="426"/>
      <c r="F114" s="427" t="s">
        <v>1667</v>
      </c>
      <c r="G114" s="428"/>
      <c r="H114" s="422"/>
    </row>
    <row r="115" spans="1:8" x14ac:dyDescent="0.25">
      <c r="A115" s="419"/>
      <c r="B115" s="289"/>
      <c r="C115" s="46"/>
      <c r="D115" s="46"/>
      <c r="E115" s="46"/>
      <c r="F115" s="429"/>
      <c r="G115" s="428"/>
      <c r="H115" s="422"/>
    </row>
    <row r="116" spans="1:8" x14ac:dyDescent="0.25">
      <c r="A116" s="430" t="s">
        <v>1668</v>
      </c>
      <c r="B116" s="431" t="s">
        <v>1669</v>
      </c>
      <c r="C116" s="432" t="s">
        <v>1670</v>
      </c>
      <c r="D116" s="46"/>
      <c r="E116" s="46"/>
      <c r="F116" s="433" t="s">
        <v>1671</v>
      </c>
      <c r="G116" s="434" t="s">
        <v>1669</v>
      </c>
      <c r="H116" s="435" t="s">
        <v>1670</v>
      </c>
    </row>
    <row r="117" spans="1:8" x14ac:dyDescent="0.25">
      <c r="A117" s="436" t="s">
        <v>1534</v>
      </c>
      <c r="B117" s="437">
        <v>2</v>
      </c>
      <c r="C117" s="438">
        <f>H87+H49</f>
        <v>388515</v>
      </c>
      <c r="D117" s="46"/>
      <c r="E117" s="46"/>
      <c r="F117" s="439" t="s">
        <v>1672</v>
      </c>
      <c r="G117" s="440">
        <v>73</v>
      </c>
      <c r="H117" s="441">
        <f>H110+H105+H104+H103+H101+H100+H99+H98+H96+H95+H93+H89+H86+H85+H84+H83+H82+H80+H79+H78+H76+H75+H74+H72+H70+H68+H66+H65+H64+H63+H62+H59+H58+H57+H56+H55+H54+H53+H52+H51+H50+H49+H45+H43+H42+H41+H40+H39+H37+H36+H35+H34+H33+H31+H30+H29+H27+H26+H25+H24+H23+H22+H21+H20+H19+H18+H16+H15+H14+H13+H9+H8+H7</f>
        <v>9758705.2800000012</v>
      </c>
    </row>
    <row r="118" spans="1:8" x14ac:dyDescent="0.25">
      <c r="A118" s="436" t="s">
        <v>1531</v>
      </c>
      <c r="B118" s="437">
        <v>1</v>
      </c>
      <c r="C118" s="438">
        <f>H66</f>
        <v>61596</v>
      </c>
      <c r="D118" s="46"/>
      <c r="E118" s="46"/>
      <c r="F118" s="439"/>
      <c r="G118" s="440"/>
      <c r="H118" s="441"/>
    </row>
    <row r="119" spans="1:8" x14ac:dyDescent="0.25">
      <c r="A119" s="436" t="s">
        <v>1586</v>
      </c>
      <c r="B119" s="437">
        <v>3</v>
      </c>
      <c r="C119" s="438">
        <f>H91+H80+H77</f>
        <v>722577.13</v>
      </c>
      <c r="D119" s="46"/>
      <c r="E119" s="46"/>
      <c r="F119" s="439" t="s">
        <v>1673</v>
      </c>
      <c r="G119" s="440">
        <v>26</v>
      </c>
      <c r="H119" s="441">
        <f>H109+H108+H107+H106+H102+H97+H94+H92+H91+H90+H88+H87+H81+H77+H73+H71+H69+H67+H61+H60+H48+H47+H46+H44+H38+H32+H28+H17+H12+H11+H10+H6</f>
        <v>27403567.429999996</v>
      </c>
    </row>
    <row r="120" spans="1:8" x14ac:dyDescent="0.25">
      <c r="A120" s="436" t="s">
        <v>1461</v>
      </c>
      <c r="B120" s="437">
        <v>1</v>
      </c>
      <c r="C120" s="438">
        <f>H19</f>
        <v>96000</v>
      </c>
      <c r="D120" s="46"/>
      <c r="E120" s="46"/>
      <c r="F120" s="439" t="s">
        <v>1674</v>
      </c>
      <c r="G120" s="440"/>
      <c r="H120" s="441"/>
    </row>
    <row r="121" spans="1:8" x14ac:dyDescent="0.25">
      <c r="A121" s="436" t="s">
        <v>1428</v>
      </c>
      <c r="B121" s="437">
        <v>2</v>
      </c>
      <c r="C121" s="438">
        <f>H102+H7</f>
        <v>1922332.1</v>
      </c>
      <c r="D121" s="46"/>
      <c r="E121" s="46"/>
      <c r="F121" s="433" t="s">
        <v>1675</v>
      </c>
      <c r="G121" s="442"/>
      <c r="H121" s="443">
        <f>SUM(H117:H120)</f>
        <v>37162272.709999993</v>
      </c>
    </row>
    <row r="122" spans="1:8" x14ac:dyDescent="0.25">
      <c r="A122" s="444" t="s">
        <v>1424</v>
      </c>
      <c r="B122" s="445">
        <v>3</v>
      </c>
      <c r="C122" s="446">
        <f>H105+H17+H6</f>
        <v>1377237</v>
      </c>
      <c r="D122" s="46"/>
      <c r="E122" s="46"/>
      <c r="F122" s="447"/>
      <c r="G122" s="448"/>
      <c r="H122" s="449"/>
    </row>
    <row r="123" spans="1:8" x14ac:dyDescent="0.25">
      <c r="A123" s="444" t="s">
        <v>1598</v>
      </c>
      <c r="B123" s="445">
        <v>1</v>
      </c>
      <c r="C123" s="446">
        <f>H83</f>
        <v>174451.20000000001</v>
      </c>
      <c r="D123" s="46"/>
      <c r="E123" s="46"/>
      <c r="F123" s="429"/>
      <c r="G123" s="428"/>
      <c r="H123" s="422"/>
    </row>
    <row r="124" spans="1:8" x14ac:dyDescent="0.25">
      <c r="A124" s="444" t="s">
        <v>1553</v>
      </c>
      <c r="B124" s="445">
        <v>7</v>
      </c>
      <c r="C124" s="446">
        <f>H109+H70+H69+H68+H67+H61+H90</f>
        <v>5291325.5100000007</v>
      </c>
      <c r="D124" s="46"/>
      <c r="E124" s="46"/>
      <c r="F124" s="420"/>
      <c r="G124" s="421"/>
      <c r="H124" s="422"/>
    </row>
    <row r="125" spans="1:8" x14ac:dyDescent="0.25">
      <c r="A125" s="444" t="s">
        <v>1531</v>
      </c>
      <c r="B125" s="445">
        <v>1</v>
      </c>
      <c r="C125" s="446">
        <f>H47</f>
        <v>714177.9</v>
      </c>
      <c r="D125" s="46"/>
      <c r="E125" s="46"/>
      <c r="F125" s="420"/>
      <c r="G125" s="421"/>
      <c r="H125" s="422"/>
    </row>
    <row r="126" spans="1:8" x14ac:dyDescent="0.25">
      <c r="A126" s="444" t="s">
        <v>1676</v>
      </c>
      <c r="B126" s="445">
        <v>4</v>
      </c>
      <c r="C126" s="446">
        <f>H99++H95+H88+H18</f>
        <v>855618</v>
      </c>
      <c r="D126" s="46"/>
      <c r="E126" s="46"/>
      <c r="F126" s="420"/>
      <c r="G126" s="421"/>
      <c r="H126" s="422"/>
    </row>
    <row r="127" spans="1:8" x14ac:dyDescent="0.25">
      <c r="A127" s="444" t="s">
        <v>1468</v>
      </c>
      <c r="B127" s="445">
        <v>16</v>
      </c>
      <c r="C127" s="446">
        <f>H103+H100+H98+H97+H89+H84+H82+H81+H74+H65+H64+H42+H33+H31+H22+H63</f>
        <v>3772248.57</v>
      </c>
      <c r="D127" s="46"/>
      <c r="E127" s="46"/>
      <c r="F127" s="450" t="s">
        <v>1677</v>
      </c>
      <c r="G127" s="450"/>
      <c r="H127" s="451"/>
    </row>
    <row r="128" spans="1:8" x14ac:dyDescent="0.25">
      <c r="A128" s="444" t="s">
        <v>1509</v>
      </c>
      <c r="B128" s="445">
        <v>1</v>
      </c>
      <c r="C128" s="446">
        <f>H38</f>
        <v>520000</v>
      </c>
      <c r="D128" s="46"/>
      <c r="E128" s="46"/>
      <c r="F128" s="450"/>
      <c r="G128" s="450"/>
      <c r="H128" s="451"/>
    </row>
    <row r="129" spans="1:8" x14ac:dyDescent="0.25">
      <c r="A129" s="444" t="s">
        <v>1490</v>
      </c>
      <c r="B129" s="445">
        <v>11</v>
      </c>
      <c r="C129" s="452">
        <f>H35+H36+H46+H51+H54+H56+H57+H58+H62+H101+H30</f>
        <v>1763675.8399999999</v>
      </c>
      <c r="D129" s="46"/>
      <c r="E129" s="46"/>
      <c r="F129" s="402"/>
      <c r="H129" s="290"/>
    </row>
    <row r="130" spans="1:8" x14ac:dyDescent="0.25">
      <c r="A130" s="444" t="s">
        <v>1482</v>
      </c>
      <c r="B130" s="445">
        <v>1</v>
      </c>
      <c r="C130" s="446">
        <f>H28</f>
        <v>1139880</v>
      </c>
      <c r="D130" s="46"/>
      <c r="E130" s="46"/>
      <c r="F130" s="453"/>
      <c r="H130" s="290"/>
    </row>
    <row r="131" spans="1:8" x14ac:dyDescent="0.25">
      <c r="A131" s="444" t="s">
        <v>1486</v>
      </c>
      <c r="B131" s="445">
        <v>2</v>
      </c>
      <c r="C131" s="446">
        <f>H55+H29</f>
        <v>443237.5</v>
      </c>
      <c r="D131" s="46"/>
      <c r="E131" s="454"/>
      <c r="F131" s="453"/>
      <c r="H131" s="290"/>
    </row>
    <row r="132" spans="1:8" x14ac:dyDescent="0.25">
      <c r="A132" s="444" t="s">
        <v>1446</v>
      </c>
      <c r="B132" s="445">
        <v>28</v>
      </c>
      <c r="C132" s="446">
        <f>H104+H94+H93+H86+H85+H79+H78+H75+H72+H71+H60+H59+H53+H52+H50+H41+H40+H39+H34+H32+H27+H26+H25+H21+H20+H15+H14+H13</f>
        <v>6631497.7800000003</v>
      </c>
      <c r="D132" s="46"/>
      <c r="E132" s="454"/>
      <c r="F132" s="453"/>
      <c r="H132" s="290"/>
    </row>
    <row r="133" spans="1:8" x14ac:dyDescent="0.25">
      <c r="A133" s="444" t="s">
        <v>1655</v>
      </c>
      <c r="B133" s="445">
        <v>1</v>
      </c>
      <c r="C133" s="446">
        <f>H106</f>
        <v>771696.55</v>
      </c>
      <c r="D133" s="46"/>
      <c r="E133" s="46"/>
      <c r="F133" s="453"/>
      <c r="H133" s="290"/>
    </row>
    <row r="134" spans="1:8" x14ac:dyDescent="0.25">
      <c r="A134" s="444" t="s">
        <v>1522</v>
      </c>
      <c r="B134" s="445">
        <v>4</v>
      </c>
      <c r="C134" s="446">
        <f>H108+H107+H92+H44</f>
        <v>5021859.34</v>
      </c>
      <c r="D134" s="455"/>
      <c r="E134" s="455"/>
      <c r="F134" s="453"/>
      <c r="H134" s="290"/>
    </row>
    <row r="135" spans="1:8" x14ac:dyDescent="0.25">
      <c r="A135" s="444" t="s">
        <v>1474</v>
      </c>
      <c r="B135" s="445">
        <v>1</v>
      </c>
      <c r="C135" s="446">
        <f>H24</f>
        <v>10150.01</v>
      </c>
      <c r="D135" s="455"/>
      <c r="E135" s="455"/>
      <c r="F135" s="453"/>
      <c r="H135" s="290"/>
    </row>
    <row r="136" spans="1:8" x14ac:dyDescent="0.25">
      <c r="A136" s="444" t="s">
        <v>1451</v>
      </c>
      <c r="B136" s="456">
        <v>2</v>
      </c>
      <c r="C136" s="446">
        <f>H16+H76</f>
        <v>71390</v>
      </c>
      <c r="D136" s="455"/>
      <c r="E136" s="455"/>
      <c r="F136" s="453"/>
      <c r="H136" s="290"/>
    </row>
    <row r="137" spans="1:8" x14ac:dyDescent="0.25">
      <c r="A137" s="444" t="s">
        <v>1470</v>
      </c>
      <c r="B137" s="456">
        <v>3</v>
      </c>
      <c r="C137" s="446">
        <f>H96+H45+H23</f>
        <v>452315.48</v>
      </c>
      <c r="D137" s="455"/>
      <c r="E137" s="455"/>
      <c r="F137" s="453"/>
      <c r="H137" s="290"/>
    </row>
    <row r="138" spans="1:8" x14ac:dyDescent="0.25">
      <c r="A138" s="444" t="s">
        <v>1431</v>
      </c>
      <c r="B138" s="456">
        <v>2</v>
      </c>
      <c r="C138" s="446">
        <f>H8+H9</f>
        <v>361416.22</v>
      </c>
      <c r="D138" s="455"/>
      <c r="E138" s="455"/>
      <c r="F138" s="453"/>
      <c r="H138" s="290"/>
    </row>
    <row r="139" spans="1:8" x14ac:dyDescent="0.25">
      <c r="A139" s="444" t="s">
        <v>1436</v>
      </c>
      <c r="B139" s="456">
        <v>4</v>
      </c>
      <c r="C139" s="446">
        <f>H73+H48+H12+H10</f>
        <v>3808558.7800000003</v>
      </c>
      <c r="D139" s="455"/>
      <c r="E139" s="455"/>
      <c r="F139" s="453"/>
      <c r="H139" s="290"/>
    </row>
    <row r="140" spans="1:8" x14ac:dyDescent="0.25">
      <c r="A140" s="444" t="s">
        <v>1440</v>
      </c>
      <c r="B140" s="456">
        <v>2</v>
      </c>
      <c r="C140" s="446">
        <f>H11+H110</f>
        <v>440340</v>
      </c>
      <c r="D140" s="455"/>
      <c r="E140" s="455"/>
      <c r="F140" s="457" t="s">
        <v>1678</v>
      </c>
      <c r="H140" s="290"/>
    </row>
    <row r="141" spans="1:8" x14ac:dyDescent="0.25">
      <c r="A141" s="444" t="s">
        <v>1505</v>
      </c>
      <c r="B141" s="456">
        <v>1</v>
      </c>
      <c r="C141" s="446">
        <f>H37</f>
        <v>105739.8</v>
      </c>
      <c r="D141" s="455"/>
      <c r="E141" s="455"/>
      <c r="F141" s="453"/>
      <c r="H141" s="290"/>
    </row>
    <row r="142" spans="1:8" x14ac:dyDescent="0.25">
      <c r="A142" s="444" t="s">
        <v>1519</v>
      </c>
      <c r="B142" s="456">
        <v>1</v>
      </c>
      <c r="C142" s="446">
        <f>H43</f>
        <v>244437</v>
      </c>
      <c r="D142" s="455"/>
      <c r="E142" s="455"/>
      <c r="F142" s="453"/>
      <c r="H142" s="290"/>
    </row>
    <row r="143" spans="1:8" x14ac:dyDescent="0.25">
      <c r="A143" s="430" t="s">
        <v>1679</v>
      </c>
      <c r="B143" s="458">
        <f>SUM(B120:B142)</f>
        <v>99</v>
      </c>
      <c r="C143" s="459">
        <f>SUM(C117:C142)</f>
        <v>37162272.710000001</v>
      </c>
      <c r="D143" s="455"/>
      <c r="E143" s="455"/>
      <c r="F143" s="460" t="s">
        <v>1680</v>
      </c>
      <c r="G143" s="461"/>
      <c r="H143" s="451"/>
    </row>
    <row r="144" spans="1:8" x14ac:dyDescent="0.25">
      <c r="A144" s="462"/>
      <c r="B144" s="289"/>
      <c r="C144" s="463"/>
      <c r="D144" s="455"/>
      <c r="E144" s="455"/>
      <c r="F144" s="460" t="s">
        <v>1681</v>
      </c>
      <c r="G144" s="461"/>
      <c r="H144" s="451"/>
    </row>
    <row r="145" spans="1:8" x14ac:dyDescent="0.25">
      <c r="A145" s="419"/>
      <c r="B145" s="289"/>
      <c r="C145" s="46"/>
      <c r="D145" s="455"/>
      <c r="E145" s="455"/>
      <c r="F145" s="457"/>
      <c r="H145" s="290"/>
    </row>
    <row r="146" spans="1:8" x14ac:dyDescent="0.25">
      <c r="A146" s="464"/>
      <c r="B146" s="289"/>
      <c r="C146" s="46"/>
      <c r="D146" s="455"/>
      <c r="E146" s="455"/>
      <c r="F146" s="457"/>
      <c r="H146" s="290"/>
    </row>
    <row r="147" spans="1:8" x14ac:dyDescent="0.25">
      <c r="A147" s="464"/>
      <c r="B147" s="289"/>
      <c r="C147" s="46"/>
      <c r="D147" s="455"/>
      <c r="E147" s="455"/>
      <c r="F147" s="457"/>
      <c r="H147" s="290"/>
    </row>
    <row r="148" spans="1:8" x14ac:dyDescent="0.25">
      <c r="A148" s="464"/>
      <c r="B148" s="289"/>
      <c r="C148" s="46"/>
      <c r="D148" s="455"/>
      <c r="E148" s="455"/>
      <c r="F148" s="457"/>
      <c r="H148" s="290"/>
    </row>
    <row r="149" spans="1:8" x14ac:dyDescent="0.25">
      <c r="A149" s="464"/>
      <c r="B149" s="289"/>
      <c r="C149" s="46"/>
      <c r="D149" s="455"/>
      <c r="E149" s="455"/>
      <c r="F149" s="460" t="s">
        <v>1680</v>
      </c>
      <c r="G149" s="461"/>
      <c r="H149" s="451"/>
    </row>
    <row r="150" spans="1:8" x14ac:dyDescent="0.25">
      <c r="A150" s="464"/>
      <c r="B150" s="289"/>
      <c r="C150" s="46"/>
      <c r="D150" s="455"/>
      <c r="E150" s="455"/>
      <c r="F150" s="460" t="s">
        <v>1682</v>
      </c>
      <c r="G150" s="461"/>
      <c r="H150" s="451"/>
    </row>
    <row r="151" spans="1:8" x14ac:dyDescent="0.25">
      <c r="A151" s="464"/>
      <c r="B151" s="289"/>
      <c r="C151" s="46"/>
      <c r="D151" s="455"/>
      <c r="E151" s="455"/>
      <c r="F151" s="457"/>
      <c r="H151" s="290"/>
    </row>
    <row r="152" spans="1:8" x14ac:dyDescent="0.25">
      <c r="A152" s="464"/>
      <c r="B152" s="289"/>
      <c r="C152" s="46"/>
      <c r="D152" s="455"/>
      <c r="E152" s="455"/>
      <c r="F152" s="457"/>
      <c r="H152" s="290"/>
    </row>
    <row r="153" spans="1:8" x14ac:dyDescent="0.25">
      <c r="A153" s="464"/>
      <c r="B153" s="289"/>
      <c r="C153" s="46"/>
      <c r="D153" s="455"/>
      <c r="E153" s="455"/>
      <c r="F153" s="457"/>
      <c r="H153" s="290"/>
    </row>
    <row r="154" spans="1:8" x14ac:dyDescent="0.25">
      <c r="D154" s="455"/>
      <c r="E154" s="455"/>
      <c r="F154" s="457"/>
      <c r="H154" s="290"/>
    </row>
    <row r="155" spans="1:8" x14ac:dyDescent="0.25">
      <c r="D155" s="455"/>
      <c r="E155" s="455"/>
      <c r="F155" s="453"/>
      <c r="H155" s="290"/>
    </row>
    <row r="156" spans="1:8" x14ac:dyDescent="0.25">
      <c r="A156" t="s">
        <v>1668</v>
      </c>
      <c r="B156" s="469" t="s">
        <v>1670</v>
      </c>
      <c r="C156" s="455"/>
      <c r="D156" s="455"/>
      <c r="E156" s="453"/>
      <c r="G156" s="290"/>
      <c r="H156" s="461"/>
    </row>
    <row r="157" spans="1:8" x14ac:dyDescent="0.25">
      <c r="A157" t="s">
        <v>1683</v>
      </c>
      <c r="B157" s="469">
        <v>388515</v>
      </c>
      <c r="C157" s="455"/>
      <c r="D157" s="455"/>
      <c r="E157" s="453"/>
      <c r="G157" s="290"/>
      <c r="H157" s="461"/>
    </row>
    <row r="158" spans="1:8" x14ac:dyDescent="0.25">
      <c r="A158" t="s">
        <v>1688</v>
      </c>
      <c r="B158" s="469">
        <v>61596</v>
      </c>
      <c r="C158" s="455"/>
      <c r="D158" s="455"/>
      <c r="E158" s="453"/>
      <c r="G158" s="290"/>
    </row>
    <row r="159" spans="1:8" x14ac:dyDescent="0.25">
      <c r="A159" t="s">
        <v>1689</v>
      </c>
      <c r="B159" s="469">
        <v>722577.13</v>
      </c>
      <c r="C159" s="455"/>
      <c r="D159" s="455"/>
      <c r="E159" s="453"/>
      <c r="G159" s="290"/>
    </row>
    <row r="160" spans="1:8" x14ac:dyDescent="0.25">
      <c r="A160" t="s">
        <v>1684</v>
      </c>
      <c r="B160" s="469">
        <v>96000</v>
      </c>
      <c r="C160" s="455"/>
      <c r="D160" s="455"/>
      <c r="E160" s="453"/>
      <c r="G160" s="290"/>
    </row>
    <row r="161" spans="1:7" x14ac:dyDescent="0.25">
      <c r="A161" t="s">
        <v>1685</v>
      </c>
      <c r="B161" s="469">
        <v>1922332.1</v>
      </c>
      <c r="C161" s="455"/>
      <c r="D161" s="455"/>
      <c r="E161" s="453"/>
      <c r="G161" s="290"/>
    </row>
    <row r="162" spans="1:7" x14ac:dyDescent="0.25">
      <c r="A162" t="s">
        <v>1686</v>
      </c>
      <c r="B162" s="469">
        <v>1377237</v>
      </c>
      <c r="C162" s="455"/>
      <c r="D162" s="455"/>
      <c r="E162" s="453"/>
      <c r="G162" s="290"/>
    </row>
    <row r="163" spans="1:7" x14ac:dyDescent="0.25">
      <c r="A163" t="s">
        <v>1687</v>
      </c>
      <c r="B163" s="469">
        <v>174451.20000000001</v>
      </c>
      <c r="C163" s="455"/>
      <c r="D163" s="455"/>
      <c r="E163" s="453"/>
      <c r="G163" s="290"/>
    </row>
    <row r="164" spans="1:7" x14ac:dyDescent="0.25">
      <c r="A164" t="s">
        <v>1687</v>
      </c>
      <c r="B164" s="469">
        <v>5291325.5100000007</v>
      </c>
      <c r="C164" s="455"/>
      <c r="D164" s="455"/>
      <c r="E164" s="453"/>
      <c r="G164" s="290"/>
    </row>
    <row r="165" spans="1:7" x14ac:dyDescent="0.25">
      <c r="A165" t="s">
        <v>1688</v>
      </c>
      <c r="B165" s="469">
        <v>714177.9</v>
      </c>
      <c r="C165" s="455"/>
      <c r="D165" s="455"/>
      <c r="E165" s="453"/>
      <c r="G165" s="290"/>
    </row>
    <row r="166" spans="1:7" x14ac:dyDescent="0.25">
      <c r="A166" t="s">
        <v>1690</v>
      </c>
      <c r="B166" s="469">
        <v>855618</v>
      </c>
      <c r="C166" s="455"/>
      <c r="D166" s="465"/>
      <c r="E166" s="453"/>
      <c r="G166" s="290"/>
    </row>
    <row r="167" spans="1:7" x14ac:dyDescent="0.25">
      <c r="A167" t="s">
        <v>1691</v>
      </c>
      <c r="B167" s="492">
        <v>3772248.57</v>
      </c>
      <c r="C167" s="455"/>
      <c r="D167" s="466"/>
      <c r="E167" s="453"/>
      <c r="G167" s="290"/>
    </row>
    <row r="168" spans="1:7" x14ac:dyDescent="0.25">
      <c r="A168" t="s">
        <v>1692</v>
      </c>
      <c r="B168" s="469">
        <v>520000</v>
      </c>
      <c r="C168" s="455"/>
      <c r="D168" s="467"/>
      <c r="E168" s="453"/>
      <c r="G168" s="290"/>
    </row>
    <row r="169" spans="1:7" x14ac:dyDescent="0.25">
      <c r="A169" t="s">
        <v>1692</v>
      </c>
      <c r="B169" s="469">
        <v>1763675.8399999999</v>
      </c>
      <c r="C169" s="455"/>
      <c r="D169" s="467"/>
      <c r="E169" s="453"/>
      <c r="G169" s="290"/>
    </row>
    <row r="170" spans="1:7" x14ac:dyDescent="0.25">
      <c r="A170" t="s">
        <v>1692</v>
      </c>
      <c r="B170" s="469">
        <v>1139880</v>
      </c>
      <c r="C170" s="455"/>
      <c r="D170" s="466"/>
      <c r="E170" s="453"/>
      <c r="G170" s="290"/>
    </row>
    <row r="171" spans="1:7" x14ac:dyDescent="0.25">
      <c r="A171" t="s">
        <v>1693</v>
      </c>
      <c r="B171" s="492">
        <v>443237.5</v>
      </c>
      <c r="C171" s="491">
        <f>+B171+B172+B173+B174+B175+B176+B167+B168+B169+B170</f>
        <v>20145635.59</v>
      </c>
      <c r="D171" s="466"/>
      <c r="E171" s="453"/>
      <c r="G171" s="290"/>
    </row>
    <row r="172" spans="1:7" x14ac:dyDescent="0.25">
      <c r="A172" t="s">
        <v>1693</v>
      </c>
      <c r="B172" s="492">
        <v>6631497.7800000003</v>
      </c>
      <c r="C172" s="46"/>
      <c r="D172" s="468"/>
      <c r="E172" s="453"/>
      <c r="G172" s="290"/>
    </row>
    <row r="173" spans="1:7" x14ac:dyDescent="0.25">
      <c r="A173" t="s">
        <v>1693</v>
      </c>
      <c r="B173" s="492">
        <v>771696.55</v>
      </c>
      <c r="C173" s="46"/>
      <c r="D173" s="46"/>
      <c r="E173" s="453"/>
      <c r="G173" s="290"/>
    </row>
    <row r="174" spans="1:7" x14ac:dyDescent="0.25">
      <c r="A174" t="s">
        <v>1693</v>
      </c>
      <c r="B174" s="492">
        <v>5021859.34</v>
      </c>
      <c r="C174" s="46"/>
      <c r="D174" s="46"/>
      <c r="E174" s="457"/>
      <c r="G174" s="290"/>
    </row>
    <row r="175" spans="1:7" x14ac:dyDescent="0.25">
      <c r="A175" t="s">
        <v>1693</v>
      </c>
      <c r="B175" s="492">
        <v>10150.01</v>
      </c>
      <c r="C175" s="46"/>
      <c r="D175" s="46"/>
      <c r="E175" s="457"/>
      <c r="G175" s="290"/>
    </row>
    <row r="176" spans="1:7" x14ac:dyDescent="0.25">
      <c r="A176" t="s">
        <v>1693</v>
      </c>
      <c r="B176" s="492">
        <v>71390</v>
      </c>
      <c r="C176" s="46"/>
      <c r="D176" s="46"/>
    </row>
    <row r="177" spans="1:4" x14ac:dyDescent="0.25">
      <c r="A177" t="s">
        <v>1694</v>
      </c>
      <c r="B177" s="469">
        <v>452315.48</v>
      </c>
      <c r="C177" s="46"/>
      <c r="D177" s="46"/>
    </row>
    <row r="178" spans="1:4" x14ac:dyDescent="0.25">
      <c r="A178" t="s">
        <v>1694</v>
      </c>
      <c r="B178" s="469">
        <v>361416.22</v>
      </c>
      <c r="C178" s="46"/>
      <c r="D178" s="46"/>
    </row>
    <row r="179" spans="1:4" x14ac:dyDescent="0.25">
      <c r="A179" t="s">
        <v>1695</v>
      </c>
      <c r="B179" s="469">
        <v>3808558.7800000003</v>
      </c>
      <c r="C179" s="46"/>
      <c r="D179" s="46"/>
    </row>
    <row r="180" spans="1:4" x14ac:dyDescent="0.25">
      <c r="A180" t="s">
        <v>1695</v>
      </c>
      <c r="B180" s="469">
        <v>440340</v>
      </c>
      <c r="C180" s="46"/>
      <c r="D180" s="46"/>
    </row>
    <row r="181" spans="1:4" x14ac:dyDescent="0.25">
      <c r="A181" t="s">
        <v>1696</v>
      </c>
      <c r="B181" s="469">
        <v>105739.8</v>
      </c>
      <c r="D181" s="46"/>
    </row>
    <row r="182" spans="1:4" x14ac:dyDescent="0.25">
      <c r="A182" t="s">
        <v>1696</v>
      </c>
      <c r="B182" s="469">
        <v>244437</v>
      </c>
      <c r="D182" s="46"/>
    </row>
    <row r="183" spans="1:4" x14ac:dyDescent="0.25">
      <c r="B183" s="469"/>
    </row>
  </sheetData>
  <mergeCells count="5">
    <mergeCell ref="A1:H1"/>
    <mergeCell ref="A2:H2"/>
    <mergeCell ref="A3:H3"/>
    <mergeCell ref="A4:H4"/>
    <mergeCell ref="F111:G111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301"/>
  <sheetViews>
    <sheetView view="pageBreakPreview" topLeftCell="A148" zoomScale="73" zoomScaleNormal="100" zoomScaleSheetLayoutView="73" workbookViewId="0">
      <selection activeCell="G156" sqref="G156"/>
    </sheetView>
  </sheetViews>
  <sheetFormatPr baseColWidth="10" defaultRowHeight="15" x14ac:dyDescent="0.25"/>
  <cols>
    <col min="1" max="1" width="23.42578125" style="289" customWidth="1"/>
    <col min="2" max="2" width="18.7109375" bestFit="1" customWidth="1"/>
    <col min="3" max="3" width="16.5703125" style="289" bestFit="1" customWidth="1"/>
    <col min="4" max="4" width="16.7109375" bestFit="1" customWidth="1"/>
    <col min="5" max="5" width="16.5703125" style="599" bestFit="1" customWidth="1"/>
    <col min="6" max="6" width="18.85546875" bestFit="1" customWidth="1"/>
    <col min="7" max="7" width="18.28515625" style="290" bestFit="1" customWidth="1"/>
    <col min="8" max="8" width="17.42578125" bestFit="1" customWidth="1"/>
    <col min="9" max="9" width="21.5703125" bestFit="1" customWidth="1"/>
    <col min="10" max="10" width="19.85546875" bestFit="1" customWidth="1"/>
    <col min="11" max="11" width="17.7109375" bestFit="1" customWidth="1"/>
    <col min="12" max="12" width="20.140625" bestFit="1" customWidth="1"/>
    <col min="14" max="14" width="13.140625" bestFit="1" customWidth="1"/>
  </cols>
  <sheetData>
    <row r="2" spans="1:12" x14ac:dyDescent="0.25">
      <c r="H2" t="s">
        <v>988</v>
      </c>
    </row>
    <row r="4" spans="1:12" ht="23.25" x14ac:dyDescent="0.35">
      <c r="A4" s="947" t="s">
        <v>989</v>
      </c>
      <c r="B4" s="947"/>
      <c r="C4" s="947"/>
      <c r="D4" s="947"/>
      <c r="E4" s="947"/>
      <c r="F4" s="947"/>
      <c r="G4" s="947"/>
      <c r="H4" s="947"/>
      <c r="I4" s="947"/>
      <c r="J4" s="947"/>
      <c r="K4" s="947"/>
      <c r="L4" s="947"/>
    </row>
    <row r="5" spans="1:12" ht="18.75" x14ac:dyDescent="0.3">
      <c r="A5" s="937" t="s">
        <v>3779</v>
      </c>
      <c r="B5" s="937"/>
      <c r="C5" s="937"/>
      <c r="D5" s="937"/>
      <c r="E5" s="937"/>
      <c r="F5" s="937"/>
      <c r="G5" s="937"/>
      <c r="H5" s="937"/>
      <c r="I5" s="937"/>
      <c r="J5" s="937"/>
      <c r="K5" s="937"/>
      <c r="L5" s="937"/>
    </row>
    <row r="6" spans="1:12" ht="15.75" thickBot="1" x14ac:dyDescent="0.3">
      <c r="D6" s="291"/>
      <c r="E6" s="600"/>
      <c r="F6" s="679"/>
      <c r="G6" s="292"/>
    </row>
    <row r="7" spans="1:12" ht="15.75" thickBot="1" x14ac:dyDescent="0.3">
      <c r="A7" s="948" t="s">
        <v>990</v>
      </c>
      <c r="B7" s="949"/>
      <c r="C7" s="949"/>
      <c r="D7" s="949"/>
      <c r="E7" s="949"/>
      <c r="F7" s="949"/>
      <c r="G7" s="949"/>
      <c r="H7" s="949"/>
      <c r="I7" s="949"/>
      <c r="J7" s="949"/>
      <c r="K7" s="949"/>
      <c r="L7" s="949"/>
    </row>
    <row r="8" spans="1:12" ht="15.75" thickBot="1" x14ac:dyDescent="0.3">
      <c r="A8" s="601"/>
      <c r="B8" s="602"/>
      <c r="C8" s="603"/>
      <c r="D8" s="602"/>
      <c r="E8" s="604"/>
      <c r="F8" s="602"/>
      <c r="G8" s="605"/>
      <c r="H8" s="602"/>
      <c r="I8" s="602"/>
      <c r="J8" s="602" t="s">
        <v>3743</v>
      </c>
      <c r="K8" s="605">
        <v>2710241.0900000008</v>
      </c>
      <c r="L8" s="680"/>
    </row>
    <row r="9" spans="1:12" ht="45" x14ac:dyDescent="0.25">
      <c r="A9" s="606" t="s">
        <v>991</v>
      </c>
      <c r="B9" s="607" t="s">
        <v>992</v>
      </c>
      <c r="C9" s="608" t="s">
        <v>993</v>
      </c>
      <c r="D9" s="607" t="s">
        <v>994</v>
      </c>
      <c r="E9" s="609" t="s">
        <v>995</v>
      </c>
      <c r="F9" s="607" t="s">
        <v>996</v>
      </c>
      <c r="G9" s="610" t="s">
        <v>997</v>
      </c>
      <c r="H9" s="607" t="s">
        <v>998</v>
      </c>
      <c r="I9" s="611" t="s">
        <v>999</v>
      </c>
      <c r="J9" s="611" t="s">
        <v>1000</v>
      </c>
      <c r="K9" s="612" t="s">
        <v>1001</v>
      </c>
    </row>
    <row r="10" spans="1:12" x14ac:dyDescent="0.25">
      <c r="A10" s="307" t="s">
        <v>3744</v>
      </c>
      <c r="B10" s="613">
        <v>45657</v>
      </c>
      <c r="C10" s="614"/>
      <c r="D10" s="303">
        <v>4014536.9</v>
      </c>
      <c r="E10" s="615">
        <v>4014536.9</v>
      </c>
      <c r="F10" s="313">
        <v>85535</v>
      </c>
      <c r="G10" s="681">
        <f>+F10/E10</f>
        <v>2.1306318046298192E-2</v>
      </c>
      <c r="H10" s="619">
        <v>3929001.9</v>
      </c>
      <c r="I10" s="682"/>
      <c r="J10" s="615"/>
      <c r="K10" s="683">
        <f>+K8+H10</f>
        <v>6639242.9900000002</v>
      </c>
    </row>
    <row r="11" spans="1:12" x14ac:dyDescent="0.25">
      <c r="A11" s="307" t="s">
        <v>3744</v>
      </c>
      <c r="B11" s="613"/>
      <c r="C11" s="614"/>
      <c r="D11" s="615"/>
      <c r="E11" s="615"/>
      <c r="F11" s="313"/>
      <c r="G11" s="681"/>
      <c r="H11" s="619"/>
      <c r="I11" s="684" t="s">
        <v>3780</v>
      </c>
      <c r="J11" s="683">
        <v>4783111.5</v>
      </c>
      <c r="K11" s="683">
        <f>+K10+H11-J11</f>
        <v>1856131.4900000002</v>
      </c>
    </row>
    <row r="12" spans="1:12" ht="15" customHeight="1" x14ac:dyDescent="0.25">
      <c r="A12" s="307" t="s">
        <v>3744</v>
      </c>
      <c r="B12" s="613"/>
      <c r="C12" s="614"/>
      <c r="D12" s="305"/>
      <c r="E12" s="615"/>
      <c r="F12" s="313"/>
      <c r="G12" s="681"/>
      <c r="H12" s="619"/>
      <c r="I12" s="684" t="s">
        <v>3781</v>
      </c>
      <c r="J12" s="615">
        <v>50000</v>
      </c>
      <c r="K12" s="683">
        <f t="shared" ref="K12:K16" si="0">+K11+H12-J12</f>
        <v>1806131.4900000002</v>
      </c>
    </row>
    <row r="13" spans="1:12" ht="15" customHeight="1" x14ac:dyDescent="0.25">
      <c r="A13" s="307" t="s">
        <v>3744</v>
      </c>
      <c r="B13" s="613">
        <v>45688</v>
      </c>
      <c r="C13" s="614"/>
      <c r="D13" s="471">
        <v>4840265.29</v>
      </c>
      <c r="E13" s="615">
        <v>4840265.29</v>
      </c>
      <c r="F13" s="313">
        <v>147829.22</v>
      </c>
      <c r="G13" s="681">
        <f>+F13/E13</f>
        <v>3.0541553229616471E-2</v>
      </c>
      <c r="H13" s="619">
        <f>+E13-F13</f>
        <v>4692436.07</v>
      </c>
      <c r="I13" s="684"/>
      <c r="J13" s="615"/>
      <c r="K13" s="683">
        <f t="shared" si="0"/>
        <v>6498567.5600000005</v>
      </c>
    </row>
    <row r="14" spans="1:12" ht="15" customHeight="1" x14ac:dyDescent="0.25">
      <c r="A14" s="307" t="s">
        <v>3744</v>
      </c>
      <c r="B14" s="613">
        <v>45693</v>
      </c>
      <c r="C14" s="614"/>
      <c r="D14" s="471"/>
      <c r="E14" s="615"/>
      <c r="F14" s="313"/>
      <c r="G14" s="681"/>
      <c r="H14" s="619"/>
      <c r="I14" s="684"/>
      <c r="J14" s="615">
        <v>5841673.1500000004</v>
      </c>
      <c r="K14" s="683">
        <f t="shared" si="0"/>
        <v>656894.41000000015</v>
      </c>
    </row>
    <row r="15" spans="1:12" ht="15" customHeight="1" x14ac:dyDescent="0.25">
      <c r="A15" s="307" t="s">
        <v>3744</v>
      </c>
      <c r="B15" s="613"/>
      <c r="C15" s="614"/>
      <c r="D15" s="471">
        <v>3228340.75</v>
      </c>
      <c r="E15" s="615">
        <v>3228340.75</v>
      </c>
      <c r="F15" s="313">
        <v>81431.03</v>
      </c>
      <c r="G15" s="681">
        <f>+F15/E15</f>
        <v>2.5223802660856044E-2</v>
      </c>
      <c r="H15" s="619">
        <f>+E15-F15</f>
        <v>3146909.72</v>
      </c>
      <c r="I15" s="684"/>
      <c r="J15" s="615"/>
      <c r="K15" s="683">
        <f t="shared" si="0"/>
        <v>3803804.1300000004</v>
      </c>
    </row>
    <row r="16" spans="1:12" ht="15" customHeight="1" x14ac:dyDescent="0.25">
      <c r="A16" s="307" t="s">
        <v>3744</v>
      </c>
      <c r="B16" s="613">
        <v>45716</v>
      </c>
      <c r="C16" s="614"/>
      <c r="D16" s="305"/>
      <c r="E16" s="618"/>
      <c r="F16" s="305"/>
      <c r="G16" s="681"/>
      <c r="H16" s="619"/>
      <c r="I16" s="684"/>
      <c r="J16" s="615">
        <f>4595181.39+50000</f>
        <v>4645181.3899999997</v>
      </c>
      <c r="K16" s="683">
        <f t="shared" si="0"/>
        <v>-841377.25999999931</v>
      </c>
    </row>
    <row r="17" spans="1:12" ht="15" customHeight="1" x14ac:dyDescent="0.25">
      <c r="A17" s="307" t="s">
        <v>3744</v>
      </c>
      <c r="B17" s="613">
        <v>45747</v>
      </c>
      <c r="C17" s="614"/>
      <c r="D17" s="471">
        <v>3267715.24</v>
      </c>
      <c r="E17" s="618">
        <f>+D17</f>
        <v>3267715.24</v>
      </c>
      <c r="F17" s="471">
        <v>68054</v>
      </c>
      <c r="G17" s="681">
        <f>+F17/E17</f>
        <v>2.0826172111618881E-2</v>
      </c>
      <c r="H17" s="619">
        <f>+E17-F17</f>
        <v>3199661.24</v>
      </c>
      <c r="I17" s="684" t="s">
        <v>4263</v>
      </c>
      <c r="J17" s="615">
        <v>2942930.33</v>
      </c>
      <c r="K17" s="683">
        <f>+H17-J17+K16</f>
        <v>-584646.34999999916</v>
      </c>
    </row>
    <row r="18" spans="1:12" ht="15" customHeight="1" x14ac:dyDescent="0.25">
      <c r="A18" s="307" t="s">
        <v>3744</v>
      </c>
      <c r="B18" s="613"/>
      <c r="C18" s="614"/>
      <c r="D18" s="305"/>
      <c r="E18" s="618"/>
      <c r="F18" s="305"/>
      <c r="G18" s="681"/>
      <c r="H18" s="619"/>
      <c r="I18" s="684" t="s">
        <v>4264</v>
      </c>
      <c r="J18" s="615">
        <v>50000</v>
      </c>
      <c r="K18" s="683">
        <f>+H18-J18+K17</f>
        <v>-634646.34999999916</v>
      </c>
    </row>
    <row r="19" spans="1:12" ht="15" customHeight="1" x14ac:dyDescent="0.25">
      <c r="A19" s="307"/>
      <c r="B19" s="613"/>
      <c r="C19" s="614"/>
      <c r="D19" s="305"/>
      <c r="E19" s="618"/>
      <c r="F19" s="305"/>
      <c r="G19" s="681"/>
      <c r="H19" s="619"/>
      <c r="I19" s="684" t="s">
        <v>4265</v>
      </c>
      <c r="J19" s="615">
        <v>50000</v>
      </c>
      <c r="K19" s="683">
        <f>+H19-J19+K18</f>
        <v>-684646.34999999916</v>
      </c>
    </row>
    <row r="20" spans="1:12" x14ac:dyDescent="0.25">
      <c r="A20" s="851" t="s">
        <v>1002</v>
      </c>
      <c r="B20" s="828"/>
      <c r="C20" s="852"/>
      <c r="D20" s="853">
        <f>SUM(D10:D19)</f>
        <v>15350858.18</v>
      </c>
      <c r="E20" s="853">
        <f t="shared" ref="D20:I20" si="1">SUM(E10:E19)</f>
        <v>15350858.18</v>
      </c>
      <c r="F20" s="853">
        <f t="shared" si="1"/>
        <v>382849.25</v>
      </c>
      <c r="G20" s="853">
        <f t="shared" si="1"/>
        <v>9.7897846048389595E-2</v>
      </c>
      <c r="H20" s="853">
        <f t="shared" si="1"/>
        <v>14968008.930000002</v>
      </c>
      <c r="I20" s="853">
        <f t="shared" si="1"/>
        <v>0</v>
      </c>
      <c r="J20" s="853">
        <f>SUM(J10:J19)</f>
        <v>18362896.369999997</v>
      </c>
      <c r="K20" s="853">
        <f>+K19</f>
        <v>-684646.34999999916</v>
      </c>
    </row>
    <row r="21" spans="1:12" x14ac:dyDescent="0.25">
      <c r="A21" s="296"/>
      <c r="D21" s="297"/>
      <c r="E21" s="616"/>
      <c r="F21" s="297"/>
      <c r="G21" s="298"/>
      <c r="H21" s="297"/>
      <c r="I21" s="297"/>
      <c r="J21" s="297"/>
      <c r="K21" s="297"/>
      <c r="L21" s="297"/>
    </row>
    <row r="22" spans="1:12" x14ac:dyDescent="0.25">
      <c r="A22" s="296"/>
      <c r="D22" s="297"/>
      <c r="E22" s="616"/>
      <c r="F22" s="297"/>
      <c r="G22" s="298"/>
      <c r="H22" s="297"/>
      <c r="I22" s="297"/>
      <c r="J22" s="297"/>
      <c r="K22" s="297"/>
      <c r="L22" s="297"/>
    </row>
    <row r="23" spans="1:12" x14ac:dyDescent="0.25">
      <c r="A23" s="950" t="s">
        <v>1003</v>
      </c>
      <c r="B23" s="951"/>
      <c r="C23" s="951"/>
      <c r="D23" s="951"/>
      <c r="E23" s="951"/>
      <c r="F23" s="951"/>
      <c r="G23" s="951"/>
      <c r="H23" s="951"/>
      <c r="I23" s="951"/>
      <c r="J23" s="951"/>
    </row>
    <row r="24" spans="1:12" ht="15" customHeight="1" x14ac:dyDescent="0.25">
      <c r="A24" s="299"/>
      <c r="B24" s="300"/>
      <c r="C24" s="299"/>
      <c r="D24" s="300"/>
      <c r="E24" s="617"/>
      <c r="F24" s="300"/>
      <c r="G24" s="952"/>
      <c r="H24" s="952"/>
      <c r="I24" s="300" t="s">
        <v>3745</v>
      </c>
      <c r="J24" s="298">
        <v>15638557.548999995</v>
      </c>
    </row>
    <row r="25" spans="1:12" ht="15" customHeight="1" thickBot="1" x14ac:dyDescent="0.3">
      <c r="A25" s="854" t="s">
        <v>991</v>
      </c>
      <c r="B25" s="855" t="s">
        <v>1004</v>
      </c>
      <c r="C25" s="856" t="s">
        <v>1005</v>
      </c>
      <c r="D25" s="857" t="s">
        <v>1006</v>
      </c>
      <c r="E25" s="858" t="s">
        <v>1007</v>
      </c>
      <c r="F25" s="857" t="s">
        <v>999</v>
      </c>
      <c r="G25" s="859" t="s">
        <v>996</v>
      </c>
      <c r="H25" s="857" t="s">
        <v>1008</v>
      </c>
      <c r="I25" s="857" t="s">
        <v>1009</v>
      </c>
      <c r="J25" s="860" t="s">
        <v>1001</v>
      </c>
    </row>
    <row r="26" spans="1:12" ht="15" customHeight="1" x14ac:dyDescent="0.25">
      <c r="A26" s="861" t="s">
        <v>1010</v>
      </c>
      <c r="B26" s="862">
        <v>45667</v>
      </c>
      <c r="C26" s="863" t="s">
        <v>3782</v>
      </c>
      <c r="D26" s="864"/>
      <c r="E26" s="865">
        <v>44770.98</v>
      </c>
      <c r="F26" s="864"/>
      <c r="G26" s="866"/>
      <c r="H26" s="867"/>
      <c r="I26" s="864"/>
      <c r="J26" s="868">
        <f>+J24+E26-H26</f>
        <v>15683328.528999995</v>
      </c>
    </row>
    <row r="27" spans="1:12" x14ac:dyDescent="0.25">
      <c r="A27" s="869" t="s">
        <v>1019</v>
      </c>
      <c r="B27" s="302">
        <v>45667</v>
      </c>
      <c r="C27" s="306" t="s">
        <v>3783</v>
      </c>
      <c r="D27" s="305"/>
      <c r="E27" s="618">
        <v>259154.57</v>
      </c>
      <c r="F27" s="305"/>
      <c r="G27" s="304"/>
      <c r="H27" s="620"/>
      <c r="I27" s="305"/>
      <c r="J27" s="870">
        <f>+J26+E27-G27-H27</f>
        <v>15942483.098999996</v>
      </c>
    </row>
    <row r="28" spans="1:12" x14ac:dyDescent="0.25">
      <c r="A28" s="869" t="s">
        <v>1027</v>
      </c>
      <c r="B28" s="302">
        <v>45667</v>
      </c>
      <c r="C28" s="306" t="s">
        <v>3784</v>
      </c>
      <c r="D28" s="305"/>
      <c r="E28" s="618">
        <v>39434.400000000001</v>
      </c>
      <c r="F28" s="305"/>
      <c r="G28" s="304"/>
      <c r="H28" s="620"/>
      <c r="I28" s="305"/>
      <c r="J28" s="870">
        <f t="shared" ref="J28:J91" si="2">+J27+E28-G28-H28</f>
        <v>15981917.498999996</v>
      </c>
    </row>
    <row r="29" spans="1:12" x14ac:dyDescent="0.25">
      <c r="A29" s="869" t="s">
        <v>1017</v>
      </c>
      <c r="B29" s="302">
        <v>45667</v>
      </c>
      <c r="C29" s="306" t="s">
        <v>3785</v>
      </c>
      <c r="D29" s="305"/>
      <c r="E29" s="618">
        <v>16378.75</v>
      </c>
      <c r="F29" s="305"/>
      <c r="G29" s="304"/>
      <c r="H29" s="620"/>
      <c r="I29" s="305"/>
      <c r="J29" s="870">
        <f t="shared" si="2"/>
        <v>15998296.248999996</v>
      </c>
    </row>
    <row r="30" spans="1:12" x14ac:dyDescent="0.25">
      <c r="A30" s="869" t="s">
        <v>1016</v>
      </c>
      <c r="B30" s="302">
        <v>45667</v>
      </c>
      <c r="C30" s="306" t="s">
        <v>3786</v>
      </c>
      <c r="D30" s="305"/>
      <c r="E30" s="618">
        <v>155901.42000000001</v>
      </c>
      <c r="F30" s="305"/>
      <c r="G30" s="304"/>
      <c r="H30" s="620"/>
      <c r="I30" s="305"/>
      <c r="J30" s="870">
        <f t="shared" si="2"/>
        <v>16154197.668999996</v>
      </c>
    </row>
    <row r="31" spans="1:12" x14ac:dyDescent="0.25">
      <c r="A31" s="869" t="s">
        <v>1012</v>
      </c>
      <c r="B31" s="302">
        <v>45667</v>
      </c>
      <c r="C31" s="306" t="s">
        <v>3787</v>
      </c>
      <c r="D31" s="305"/>
      <c r="E31" s="618">
        <v>275352.44</v>
      </c>
      <c r="F31" s="305"/>
      <c r="G31" s="304"/>
      <c r="H31" s="620"/>
      <c r="I31" s="305"/>
      <c r="J31" s="870">
        <f t="shared" si="2"/>
        <v>16429550.108999996</v>
      </c>
    </row>
    <row r="32" spans="1:12" x14ac:dyDescent="0.25">
      <c r="A32" s="869" t="s">
        <v>1022</v>
      </c>
      <c r="B32" s="302">
        <v>45667</v>
      </c>
      <c r="C32" s="307" t="s">
        <v>3788</v>
      </c>
      <c r="D32" s="305"/>
      <c r="E32" s="303">
        <v>7848.94</v>
      </c>
      <c r="F32" s="305"/>
      <c r="G32" s="304"/>
      <c r="H32" s="304"/>
      <c r="I32" s="305"/>
      <c r="J32" s="870">
        <f t="shared" si="2"/>
        <v>16437399.048999995</v>
      </c>
    </row>
    <row r="33" spans="1:11" x14ac:dyDescent="0.25">
      <c r="A33" s="869" t="s">
        <v>1018</v>
      </c>
      <c r="B33" s="302">
        <v>45667</v>
      </c>
      <c r="C33" s="307" t="s">
        <v>3789</v>
      </c>
      <c r="D33" s="305"/>
      <c r="E33" s="303">
        <v>4869.5200000000004</v>
      </c>
      <c r="F33" s="305"/>
      <c r="G33" s="304"/>
      <c r="H33" s="304"/>
      <c r="I33" s="305"/>
      <c r="J33" s="870">
        <f t="shared" si="2"/>
        <v>16442268.568999995</v>
      </c>
    </row>
    <row r="34" spans="1:11" x14ac:dyDescent="0.25">
      <c r="A34" s="869" t="s">
        <v>1032</v>
      </c>
      <c r="B34" s="302">
        <v>45667</v>
      </c>
      <c r="C34" s="307" t="s">
        <v>3790</v>
      </c>
      <c r="D34" s="305"/>
      <c r="E34" s="303">
        <v>269639.73</v>
      </c>
      <c r="F34" s="305"/>
      <c r="G34" s="304">
        <v>2300</v>
      </c>
      <c r="H34" s="304"/>
      <c r="I34" s="305"/>
      <c r="J34" s="870">
        <f t="shared" si="2"/>
        <v>16709608.298999995</v>
      </c>
    </row>
    <row r="35" spans="1:11" x14ac:dyDescent="0.25">
      <c r="A35" s="869" t="s">
        <v>1024</v>
      </c>
      <c r="B35" s="302">
        <v>45667</v>
      </c>
      <c r="C35" s="307" t="s">
        <v>3791</v>
      </c>
      <c r="D35" s="305"/>
      <c r="E35" s="303">
        <v>75131.09</v>
      </c>
      <c r="F35" s="305"/>
      <c r="G35" s="304"/>
      <c r="H35" s="304"/>
      <c r="I35" s="305"/>
      <c r="J35" s="870">
        <f t="shared" si="2"/>
        <v>16784739.388999995</v>
      </c>
      <c r="K35" s="295"/>
    </row>
    <row r="36" spans="1:11" x14ac:dyDescent="0.25">
      <c r="A36" s="869" t="s">
        <v>1021</v>
      </c>
      <c r="B36" s="302">
        <v>45667</v>
      </c>
      <c r="C36" s="307" t="s">
        <v>3792</v>
      </c>
      <c r="D36" s="305"/>
      <c r="E36" s="303">
        <v>48081.02</v>
      </c>
      <c r="F36" s="305"/>
      <c r="G36" s="304"/>
      <c r="H36" s="304"/>
      <c r="I36" s="305"/>
      <c r="J36" s="870">
        <f t="shared" si="2"/>
        <v>16832820.408999994</v>
      </c>
    </row>
    <row r="37" spans="1:11" x14ac:dyDescent="0.25">
      <c r="A37" s="869" t="s">
        <v>1026</v>
      </c>
      <c r="B37" s="302">
        <v>45667</v>
      </c>
      <c r="C37" s="307" t="s">
        <v>3793</v>
      </c>
      <c r="D37" s="305"/>
      <c r="E37" s="303">
        <v>273646.7</v>
      </c>
      <c r="F37" s="305"/>
      <c r="G37" s="304"/>
      <c r="H37" s="304"/>
      <c r="I37" s="305"/>
      <c r="J37" s="870">
        <f t="shared" si="2"/>
        <v>17106467.108999994</v>
      </c>
    </row>
    <row r="38" spans="1:11" x14ac:dyDescent="0.25">
      <c r="A38" s="869" t="s">
        <v>2182</v>
      </c>
      <c r="B38" s="302">
        <v>45667</v>
      </c>
      <c r="C38" s="307" t="s">
        <v>3794</v>
      </c>
      <c r="D38" s="305"/>
      <c r="E38" s="303">
        <v>1396</v>
      </c>
      <c r="F38" s="305"/>
      <c r="G38" s="304"/>
      <c r="H38" s="304"/>
      <c r="I38" s="305"/>
      <c r="J38" s="870">
        <f t="shared" si="2"/>
        <v>17107863.108999994</v>
      </c>
    </row>
    <row r="39" spans="1:11" x14ac:dyDescent="0.25">
      <c r="A39" s="869" t="s">
        <v>1015</v>
      </c>
      <c r="B39" s="302">
        <v>45667</v>
      </c>
      <c r="C39" s="307" t="s">
        <v>3795</v>
      </c>
      <c r="D39" s="305"/>
      <c r="E39" s="303">
        <v>28637.51</v>
      </c>
      <c r="F39" s="305"/>
      <c r="G39" s="304"/>
      <c r="H39" s="304"/>
      <c r="I39" s="305"/>
      <c r="J39" s="870">
        <f t="shared" si="2"/>
        <v>17136500.618999995</v>
      </c>
    </row>
    <row r="40" spans="1:11" x14ac:dyDescent="0.25">
      <c r="A40" s="869" t="s">
        <v>1031</v>
      </c>
      <c r="B40" s="302">
        <v>45667</v>
      </c>
      <c r="C40" s="307" t="s">
        <v>3796</v>
      </c>
      <c r="D40" s="305"/>
      <c r="E40" s="303">
        <v>76159.34</v>
      </c>
      <c r="F40" s="305"/>
      <c r="G40" s="304"/>
      <c r="H40" s="304"/>
      <c r="I40" s="305"/>
      <c r="J40" s="870">
        <f t="shared" si="2"/>
        <v>17212659.958999995</v>
      </c>
    </row>
    <row r="41" spans="1:11" x14ac:dyDescent="0.25">
      <c r="A41" s="869" t="s">
        <v>1011</v>
      </c>
      <c r="B41" s="302">
        <v>45667</v>
      </c>
      <c r="C41" s="307" t="s">
        <v>3797</v>
      </c>
      <c r="D41" s="305"/>
      <c r="E41" s="303">
        <v>69588.33</v>
      </c>
      <c r="F41" s="305"/>
      <c r="G41" s="304"/>
      <c r="H41" s="304"/>
      <c r="I41" s="305"/>
      <c r="J41" s="870">
        <f t="shared" si="2"/>
        <v>17282248.288999993</v>
      </c>
    </row>
    <row r="42" spans="1:11" x14ac:dyDescent="0.25">
      <c r="A42" s="869" t="s">
        <v>1012</v>
      </c>
      <c r="B42" s="302">
        <v>45674</v>
      </c>
      <c r="C42" s="307"/>
      <c r="D42" s="305"/>
      <c r="E42" s="303"/>
      <c r="F42" s="305"/>
      <c r="G42" s="304"/>
      <c r="H42" s="304">
        <v>156983.54999999999</v>
      </c>
      <c r="I42" s="305"/>
      <c r="J42" s="870">
        <f t="shared" si="2"/>
        <v>17125264.738999993</v>
      </c>
    </row>
    <row r="43" spans="1:11" x14ac:dyDescent="0.25">
      <c r="A43" s="869" t="s">
        <v>1027</v>
      </c>
      <c r="B43" s="302">
        <v>45677</v>
      </c>
      <c r="C43" s="307"/>
      <c r="D43" s="305"/>
      <c r="E43" s="303"/>
      <c r="F43" s="305"/>
      <c r="G43" s="304"/>
      <c r="H43" s="304">
        <v>143189.49</v>
      </c>
      <c r="I43" s="305"/>
      <c r="J43" s="870">
        <f t="shared" si="2"/>
        <v>16982075.248999994</v>
      </c>
    </row>
    <row r="44" spans="1:11" x14ac:dyDescent="0.25">
      <c r="A44" s="869" t="s">
        <v>1017</v>
      </c>
      <c r="B44" s="302">
        <v>45677</v>
      </c>
      <c r="C44" s="307"/>
      <c r="D44" s="305"/>
      <c r="E44" s="303"/>
      <c r="F44" s="305"/>
      <c r="G44" s="304"/>
      <c r="H44" s="304">
        <v>55488.800000000003</v>
      </c>
      <c r="I44" s="305"/>
      <c r="J44" s="870">
        <f t="shared" si="2"/>
        <v>16926586.448999994</v>
      </c>
    </row>
    <row r="45" spans="1:11" x14ac:dyDescent="0.25">
      <c r="A45" s="869" t="s">
        <v>1016</v>
      </c>
      <c r="B45" s="302">
        <v>45677</v>
      </c>
      <c r="C45" s="307"/>
      <c r="D45" s="305"/>
      <c r="E45" s="303"/>
      <c r="F45" s="305"/>
      <c r="G45" s="304"/>
      <c r="H45" s="304">
        <v>8230.16</v>
      </c>
      <c r="I45" s="305"/>
      <c r="J45" s="870">
        <f t="shared" si="2"/>
        <v>16918356.288999993</v>
      </c>
    </row>
    <row r="46" spans="1:11" x14ac:dyDescent="0.25">
      <c r="A46" s="869" t="s">
        <v>1014</v>
      </c>
      <c r="B46" s="302">
        <v>45677</v>
      </c>
      <c r="C46" s="307"/>
      <c r="D46" s="305"/>
      <c r="E46" s="303"/>
      <c r="F46" s="305"/>
      <c r="G46" s="304"/>
      <c r="H46" s="304">
        <v>15993.02</v>
      </c>
      <c r="I46" s="305"/>
      <c r="J46" s="870">
        <f t="shared" si="2"/>
        <v>16902363.268999994</v>
      </c>
    </row>
    <row r="47" spans="1:11" x14ac:dyDescent="0.25">
      <c r="A47" s="869" t="s">
        <v>3746</v>
      </c>
      <c r="B47" s="302">
        <v>45680</v>
      </c>
      <c r="C47" s="307"/>
      <c r="D47" s="305"/>
      <c r="E47" s="303"/>
      <c r="F47" s="305"/>
      <c r="G47" s="304"/>
      <c r="H47" s="304">
        <v>6475.14</v>
      </c>
      <c r="I47" s="305"/>
      <c r="J47" s="870">
        <f t="shared" si="2"/>
        <v>16895888.128999993</v>
      </c>
    </row>
    <row r="48" spans="1:11" x14ac:dyDescent="0.25">
      <c r="A48" s="869" t="s">
        <v>3751</v>
      </c>
      <c r="B48" s="302">
        <v>45680</v>
      </c>
      <c r="C48" s="307"/>
      <c r="D48" s="305"/>
      <c r="E48" s="303"/>
      <c r="F48" s="305"/>
      <c r="G48" s="304"/>
      <c r="H48" s="304">
        <v>71992.2</v>
      </c>
      <c r="I48" s="305"/>
      <c r="J48" s="870">
        <f t="shared" si="2"/>
        <v>16823895.928999994</v>
      </c>
    </row>
    <row r="49" spans="1:10" x14ac:dyDescent="0.25">
      <c r="A49" s="869" t="s">
        <v>3750</v>
      </c>
      <c r="B49" s="302">
        <v>45681</v>
      </c>
      <c r="C49" s="307"/>
      <c r="D49" s="305"/>
      <c r="E49" s="303"/>
      <c r="F49" s="305"/>
      <c r="G49" s="304"/>
      <c r="H49" s="304">
        <v>273646.7</v>
      </c>
      <c r="I49" s="305"/>
      <c r="J49" s="870">
        <f t="shared" si="2"/>
        <v>16550249.228999995</v>
      </c>
    </row>
    <row r="50" spans="1:10" x14ac:dyDescent="0.25">
      <c r="A50" s="869" t="s">
        <v>3747</v>
      </c>
      <c r="B50" s="302">
        <v>45686</v>
      </c>
      <c r="C50" s="307"/>
      <c r="D50" s="305"/>
      <c r="E50" s="303"/>
      <c r="F50" s="305"/>
      <c r="G50" s="304"/>
      <c r="H50" s="304">
        <v>234503.89</v>
      </c>
      <c r="I50" s="305"/>
      <c r="J50" s="870">
        <f t="shared" si="2"/>
        <v>16315745.338999994</v>
      </c>
    </row>
    <row r="51" spans="1:10" x14ac:dyDescent="0.25">
      <c r="A51" s="869" t="s">
        <v>3748</v>
      </c>
      <c r="B51" s="302">
        <v>45687</v>
      </c>
      <c r="C51" s="307"/>
      <c r="D51" s="305"/>
      <c r="E51" s="303"/>
      <c r="F51" s="305"/>
      <c r="G51" s="304"/>
      <c r="H51" s="304">
        <v>48081.02</v>
      </c>
      <c r="I51" s="305"/>
      <c r="J51" s="870">
        <f t="shared" si="2"/>
        <v>16267664.318999995</v>
      </c>
    </row>
    <row r="52" spans="1:10" x14ac:dyDescent="0.25">
      <c r="A52" s="869" t="s">
        <v>3749</v>
      </c>
      <c r="B52" s="302">
        <v>45688</v>
      </c>
      <c r="C52" s="307"/>
      <c r="D52" s="305"/>
      <c r="E52" s="303"/>
      <c r="F52" s="305"/>
      <c r="G52" s="304"/>
      <c r="H52" s="304">
        <v>55135.74</v>
      </c>
      <c r="I52" s="305"/>
      <c r="J52" s="870">
        <f t="shared" si="2"/>
        <v>16212528.578999994</v>
      </c>
    </row>
    <row r="53" spans="1:10" x14ac:dyDescent="0.25">
      <c r="A53" s="869" t="s">
        <v>1010</v>
      </c>
      <c r="B53" s="302">
        <v>45698</v>
      </c>
      <c r="C53" s="307" t="s">
        <v>4148</v>
      </c>
      <c r="D53" s="305"/>
      <c r="E53" s="303">
        <v>16720.82</v>
      </c>
      <c r="F53" s="305"/>
      <c r="G53" s="304"/>
      <c r="H53" s="304"/>
      <c r="I53" s="305"/>
      <c r="J53" s="870">
        <f t="shared" si="2"/>
        <v>16229249.398999995</v>
      </c>
    </row>
    <row r="54" spans="1:10" x14ac:dyDescent="0.25">
      <c r="A54" s="869" t="s">
        <v>1019</v>
      </c>
      <c r="B54" s="302">
        <v>45698</v>
      </c>
      <c r="C54" s="307" t="s">
        <v>4149</v>
      </c>
      <c r="D54" s="305"/>
      <c r="E54" s="303">
        <v>439967.13</v>
      </c>
      <c r="F54" s="305"/>
      <c r="G54" s="304"/>
      <c r="H54" s="304"/>
      <c r="I54" s="305"/>
      <c r="J54" s="870">
        <f t="shared" si="2"/>
        <v>16669216.528999995</v>
      </c>
    </row>
    <row r="55" spans="1:10" x14ac:dyDescent="0.25">
      <c r="A55" s="869" t="s">
        <v>1027</v>
      </c>
      <c r="B55" s="302">
        <v>45698</v>
      </c>
      <c r="C55" s="307" t="s">
        <v>4150</v>
      </c>
      <c r="D55" s="305"/>
      <c r="E55" s="303">
        <v>65463.45</v>
      </c>
      <c r="F55" s="305"/>
      <c r="G55" s="304"/>
      <c r="H55" s="304"/>
      <c r="I55" s="305"/>
      <c r="J55" s="870">
        <f t="shared" si="2"/>
        <v>16734679.978999995</v>
      </c>
    </row>
    <row r="56" spans="1:10" x14ac:dyDescent="0.25">
      <c r="A56" s="869" t="s">
        <v>1017</v>
      </c>
      <c r="B56" s="302">
        <v>45698</v>
      </c>
      <c r="C56" s="307" t="s">
        <v>4151</v>
      </c>
      <c r="D56" s="305"/>
      <c r="E56" s="303">
        <v>12918.96</v>
      </c>
      <c r="F56" s="305"/>
      <c r="G56" s="304"/>
      <c r="H56" s="304"/>
      <c r="I56" s="305"/>
      <c r="J56" s="870">
        <f t="shared" si="2"/>
        <v>16747598.938999996</v>
      </c>
    </row>
    <row r="57" spans="1:10" x14ac:dyDescent="0.25">
      <c r="A57" s="869" t="s">
        <v>1016</v>
      </c>
      <c r="B57" s="302">
        <v>45698</v>
      </c>
      <c r="C57" s="307" t="s">
        <v>4152</v>
      </c>
      <c r="D57" s="305"/>
      <c r="E57" s="303">
        <v>311477.59000000003</v>
      </c>
      <c r="F57" s="305"/>
      <c r="G57" s="304"/>
      <c r="H57" s="304"/>
      <c r="I57" s="305"/>
      <c r="J57" s="870">
        <f t="shared" si="2"/>
        <v>17059076.528999995</v>
      </c>
    </row>
    <row r="58" spans="1:10" x14ac:dyDescent="0.25">
      <c r="A58" s="869" t="s">
        <v>1012</v>
      </c>
      <c r="B58" s="302">
        <v>45698</v>
      </c>
      <c r="C58" s="307" t="s">
        <v>4153</v>
      </c>
      <c r="D58" s="305"/>
      <c r="E58" s="303">
        <v>222716.34</v>
      </c>
      <c r="F58" s="305"/>
      <c r="G58" s="304"/>
      <c r="H58" s="304"/>
      <c r="I58" s="305"/>
      <c r="J58" s="870">
        <f t="shared" si="2"/>
        <v>17281792.868999995</v>
      </c>
    </row>
    <row r="59" spans="1:10" x14ac:dyDescent="0.25">
      <c r="A59" s="869" t="s">
        <v>4142</v>
      </c>
      <c r="B59" s="302">
        <v>45698</v>
      </c>
      <c r="C59" s="307" t="s">
        <v>4154</v>
      </c>
      <c r="D59" s="305"/>
      <c r="E59" s="303">
        <v>20821.36</v>
      </c>
      <c r="F59" s="305"/>
      <c r="G59" s="304"/>
      <c r="H59" s="304"/>
      <c r="I59" s="305"/>
      <c r="J59" s="870">
        <f t="shared" si="2"/>
        <v>17302614.228999995</v>
      </c>
    </row>
    <row r="60" spans="1:10" x14ac:dyDescent="0.25">
      <c r="A60" s="869" t="s">
        <v>1011</v>
      </c>
      <c r="B60" s="302">
        <v>45698</v>
      </c>
      <c r="C60" s="307" t="s">
        <v>4155</v>
      </c>
      <c r="D60" s="305"/>
      <c r="E60" s="303">
        <v>122630.62</v>
      </c>
      <c r="F60" s="305"/>
      <c r="G60" s="304"/>
      <c r="H60" s="304"/>
      <c r="I60" s="305"/>
      <c r="J60" s="870">
        <f t="shared" si="2"/>
        <v>17425244.848999996</v>
      </c>
    </row>
    <row r="61" spans="1:10" x14ac:dyDescent="0.25">
      <c r="A61" s="869" t="s">
        <v>1022</v>
      </c>
      <c r="B61" s="302">
        <v>45698</v>
      </c>
      <c r="C61" s="307" t="s">
        <v>4156</v>
      </c>
      <c r="D61" s="305"/>
      <c r="E61" s="303">
        <v>14338.35</v>
      </c>
      <c r="F61" s="305"/>
      <c r="G61" s="304"/>
      <c r="H61" s="304"/>
      <c r="I61" s="305"/>
      <c r="J61" s="870">
        <f t="shared" si="2"/>
        <v>17439583.198999997</v>
      </c>
    </row>
    <row r="62" spans="1:10" x14ac:dyDescent="0.25">
      <c r="A62" s="869" t="s">
        <v>1018</v>
      </c>
      <c r="B62" s="302">
        <v>45698</v>
      </c>
      <c r="C62" s="307" t="s">
        <v>4157</v>
      </c>
      <c r="D62" s="305"/>
      <c r="E62" s="303">
        <v>102975.46</v>
      </c>
      <c r="F62" s="305"/>
      <c r="G62" s="304"/>
      <c r="H62" s="304"/>
      <c r="I62" s="305"/>
      <c r="J62" s="870">
        <f t="shared" si="2"/>
        <v>17542558.658999998</v>
      </c>
    </row>
    <row r="63" spans="1:10" x14ac:dyDescent="0.25">
      <c r="A63" s="869" t="s">
        <v>1032</v>
      </c>
      <c r="B63" s="302">
        <v>45698</v>
      </c>
      <c r="C63" s="307" t="s">
        <v>4158</v>
      </c>
      <c r="D63" s="305"/>
      <c r="E63" s="303">
        <v>617068.65</v>
      </c>
      <c r="F63" s="305"/>
      <c r="G63" s="304">
        <v>4547.79</v>
      </c>
      <c r="H63" s="304"/>
      <c r="I63" s="305"/>
      <c r="J63" s="870">
        <f t="shared" si="2"/>
        <v>18155079.518999998</v>
      </c>
    </row>
    <row r="64" spans="1:10" x14ac:dyDescent="0.25">
      <c r="A64" s="869" t="s">
        <v>1024</v>
      </c>
      <c r="B64" s="302">
        <v>45698</v>
      </c>
      <c r="C64" s="307" t="s">
        <v>4159</v>
      </c>
      <c r="D64" s="305"/>
      <c r="E64" s="303">
        <v>146560.32000000001</v>
      </c>
      <c r="F64" s="305"/>
      <c r="G64" s="304"/>
      <c r="H64" s="304"/>
      <c r="I64" s="305"/>
      <c r="J64" s="870">
        <f t="shared" si="2"/>
        <v>18301639.838999998</v>
      </c>
    </row>
    <row r="65" spans="1:10" x14ac:dyDescent="0.25">
      <c r="A65" s="869" t="s">
        <v>1021</v>
      </c>
      <c r="B65" s="302">
        <v>45698</v>
      </c>
      <c r="C65" s="307" t="s">
        <v>4160</v>
      </c>
      <c r="D65" s="305"/>
      <c r="E65" s="303">
        <v>217047.26</v>
      </c>
      <c r="F65" s="305"/>
      <c r="G65" s="304"/>
      <c r="H65" s="304"/>
      <c r="I65" s="305"/>
      <c r="J65" s="870">
        <f t="shared" si="2"/>
        <v>18518687.098999999</v>
      </c>
    </row>
    <row r="66" spans="1:10" x14ac:dyDescent="0.25">
      <c r="A66" s="869" t="s">
        <v>1026</v>
      </c>
      <c r="B66" s="302">
        <v>45698</v>
      </c>
      <c r="C66" s="307" t="s">
        <v>4161</v>
      </c>
      <c r="D66" s="305"/>
      <c r="E66" s="303">
        <v>41285.9</v>
      </c>
      <c r="F66" s="305"/>
      <c r="G66" s="304"/>
      <c r="H66" s="304"/>
      <c r="I66" s="305"/>
      <c r="J66" s="870">
        <f t="shared" si="2"/>
        <v>18559972.998999998</v>
      </c>
    </row>
    <row r="67" spans="1:10" x14ac:dyDescent="0.25">
      <c r="A67" s="869" t="s">
        <v>4143</v>
      </c>
      <c r="B67" s="302">
        <v>45698</v>
      </c>
      <c r="C67" s="801" t="s">
        <v>4216</v>
      </c>
      <c r="D67" s="305"/>
      <c r="E67" s="303">
        <v>92478.63</v>
      </c>
      <c r="F67" s="305"/>
      <c r="G67" s="304"/>
      <c r="H67" s="304"/>
      <c r="I67" s="305"/>
      <c r="J67" s="870">
        <f t="shared" si="2"/>
        <v>18652451.628999997</v>
      </c>
    </row>
    <row r="68" spans="1:10" x14ac:dyDescent="0.25">
      <c r="A68" s="869" t="s">
        <v>1031</v>
      </c>
      <c r="B68" s="302">
        <v>45698</v>
      </c>
      <c r="C68" s="307" t="s">
        <v>4162</v>
      </c>
      <c r="D68" s="305"/>
      <c r="E68" s="303">
        <v>186957.88</v>
      </c>
      <c r="F68" s="305"/>
      <c r="G68" s="304"/>
      <c r="H68" s="304"/>
      <c r="I68" s="305"/>
      <c r="J68" s="870">
        <f t="shared" si="2"/>
        <v>18839409.508999996</v>
      </c>
    </row>
    <row r="69" spans="1:10" x14ac:dyDescent="0.25">
      <c r="A69" s="869" t="s">
        <v>4144</v>
      </c>
      <c r="B69" s="302">
        <v>45698</v>
      </c>
      <c r="C69" s="307" t="s">
        <v>4163</v>
      </c>
      <c r="D69" s="305"/>
      <c r="E69" s="303">
        <v>28868.13</v>
      </c>
      <c r="F69" s="305"/>
      <c r="G69" s="304"/>
      <c r="H69" s="304"/>
      <c r="I69" s="305"/>
      <c r="J69" s="870">
        <f t="shared" si="2"/>
        <v>18868277.638999995</v>
      </c>
    </row>
    <row r="70" spans="1:10" x14ac:dyDescent="0.25">
      <c r="A70" s="869" t="s">
        <v>4145</v>
      </c>
      <c r="B70" s="302">
        <v>45698</v>
      </c>
      <c r="C70" s="307" t="s">
        <v>941</v>
      </c>
      <c r="D70" s="305"/>
      <c r="E70" s="303">
        <v>10985.64</v>
      </c>
      <c r="F70" s="305"/>
      <c r="G70" s="304"/>
      <c r="H70" s="304"/>
      <c r="I70" s="305"/>
      <c r="J70" s="870">
        <f t="shared" si="2"/>
        <v>18879263.278999995</v>
      </c>
    </row>
    <row r="71" spans="1:10" x14ac:dyDescent="0.25">
      <c r="A71" s="869" t="s">
        <v>4146</v>
      </c>
      <c r="B71" s="302">
        <v>45698</v>
      </c>
      <c r="C71" s="307" t="s">
        <v>4164</v>
      </c>
      <c r="D71" s="305"/>
      <c r="E71" s="303">
        <v>2417181.13</v>
      </c>
      <c r="F71" s="305"/>
      <c r="G71" s="304">
        <v>68679.070000000007</v>
      </c>
      <c r="H71" s="304"/>
      <c r="I71" s="305"/>
      <c r="J71" s="870">
        <f t="shared" si="2"/>
        <v>21227765.338999994</v>
      </c>
    </row>
    <row r="72" spans="1:10" x14ac:dyDescent="0.25">
      <c r="A72" s="869" t="s">
        <v>4146</v>
      </c>
      <c r="B72" s="302">
        <v>45693</v>
      </c>
      <c r="C72" s="307"/>
      <c r="D72" s="305"/>
      <c r="E72" s="303"/>
      <c r="F72" s="305"/>
      <c r="G72" s="304"/>
      <c r="H72" s="304">
        <v>2152926.5099999998</v>
      </c>
      <c r="I72" s="305"/>
      <c r="J72" s="870">
        <f t="shared" si="2"/>
        <v>19074838.828999996</v>
      </c>
    </row>
    <row r="73" spans="1:10" x14ac:dyDescent="0.25">
      <c r="A73" s="869" t="s">
        <v>4165</v>
      </c>
      <c r="B73" s="302">
        <v>45706</v>
      </c>
      <c r="C73" s="307"/>
      <c r="D73" s="305"/>
      <c r="E73" s="303"/>
      <c r="F73" s="305"/>
      <c r="G73" s="304"/>
      <c r="H73" s="304">
        <v>272552.44</v>
      </c>
      <c r="I73" s="305"/>
      <c r="J73" s="870">
        <f t="shared" si="2"/>
        <v>18802286.388999995</v>
      </c>
    </row>
    <row r="74" spans="1:10" x14ac:dyDescent="0.25">
      <c r="A74" s="869" t="s">
        <v>4166</v>
      </c>
      <c r="B74" s="302">
        <v>45709</v>
      </c>
      <c r="C74" s="307"/>
      <c r="D74" s="305"/>
      <c r="E74" s="303"/>
      <c r="F74" s="305"/>
      <c r="G74" s="304"/>
      <c r="H74" s="304">
        <v>8262.07</v>
      </c>
      <c r="I74" s="305"/>
      <c r="J74" s="870">
        <f t="shared" si="2"/>
        <v>18794024.318999995</v>
      </c>
    </row>
    <row r="75" spans="1:10" x14ac:dyDescent="0.25">
      <c r="A75" s="869" t="s">
        <v>3746</v>
      </c>
      <c r="B75" s="302">
        <v>45698</v>
      </c>
      <c r="C75" s="307"/>
      <c r="D75" s="305"/>
      <c r="E75" s="303"/>
      <c r="F75" s="305"/>
      <c r="G75" s="304"/>
      <c r="H75" s="304">
        <v>4869.5200000000004</v>
      </c>
      <c r="I75" s="305"/>
      <c r="J75" s="870">
        <f t="shared" si="2"/>
        <v>18789154.798999995</v>
      </c>
    </row>
    <row r="76" spans="1:10" x14ac:dyDescent="0.25">
      <c r="A76" s="869" t="s">
        <v>3749</v>
      </c>
      <c r="B76" s="302">
        <v>45714</v>
      </c>
      <c r="C76" s="307"/>
      <c r="D76" s="305"/>
      <c r="E76" s="303"/>
      <c r="F76" s="305"/>
      <c r="G76" s="304"/>
      <c r="H76" s="304">
        <v>7848.94</v>
      </c>
      <c r="I76" s="305"/>
      <c r="J76" s="870">
        <f t="shared" si="2"/>
        <v>18781305.858999994</v>
      </c>
    </row>
    <row r="77" spans="1:10" x14ac:dyDescent="0.25">
      <c r="A77" s="869" t="s">
        <v>3750</v>
      </c>
      <c r="B77" s="302">
        <v>45714</v>
      </c>
      <c r="C77" s="307"/>
      <c r="D77" s="305"/>
      <c r="E77" s="303"/>
      <c r="F77" s="305"/>
      <c r="G77" s="304"/>
      <c r="H77" s="304">
        <v>41071.9</v>
      </c>
      <c r="I77" s="305"/>
      <c r="J77" s="870">
        <f t="shared" si="2"/>
        <v>18740233.958999995</v>
      </c>
    </row>
    <row r="78" spans="1:10" x14ac:dyDescent="0.25">
      <c r="A78" s="869" t="s">
        <v>1014</v>
      </c>
      <c r="B78" s="302">
        <v>45716</v>
      </c>
      <c r="C78" s="307"/>
      <c r="D78" s="305"/>
      <c r="E78" s="303"/>
      <c r="F78" s="305"/>
      <c r="G78" s="304"/>
      <c r="H78" s="304">
        <v>9531.6</v>
      </c>
      <c r="I78" s="305"/>
      <c r="J78" s="870">
        <f t="shared" si="2"/>
        <v>18730702.358999994</v>
      </c>
    </row>
    <row r="79" spans="1:10" x14ac:dyDescent="0.25">
      <c r="A79" s="869" t="s">
        <v>1010</v>
      </c>
      <c r="B79" s="302">
        <v>45709</v>
      </c>
      <c r="C79" s="307"/>
      <c r="D79" s="305"/>
      <c r="E79" s="303"/>
      <c r="F79" s="305"/>
      <c r="G79" s="304"/>
      <c r="H79" s="304">
        <v>97648.3</v>
      </c>
      <c r="I79" s="305"/>
      <c r="J79" s="870">
        <f t="shared" si="2"/>
        <v>18633054.058999993</v>
      </c>
    </row>
    <row r="80" spans="1:10" x14ac:dyDescent="0.25">
      <c r="A80" s="869" t="s">
        <v>4167</v>
      </c>
      <c r="B80" s="302">
        <v>45709</v>
      </c>
      <c r="C80" s="307"/>
      <c r="D80" s="305"/>
      <c r="E80" s="303"/>
      <c r="F80" s="305"/>
      <c r="G80" s="304"/>
      <c r="H80" s="304">
        <v>870590.25</v>
      </c>
      <c r="I80" s="305"/>
      <c r="J80" s="870">
        <f t="shared" si="2"/>
        <v>17762463.808999993</v>
      </c>
    </row>
    <row r="81" spans="1:10" x14ac:dyDescent="0.25">
      <c r="A81" s="869" t="s">
        <v>2182</v>
      </c>
      <c r="B81" s="302">
        <v>45712</v>
      </c>
      <c r="C81" s="307"/>
      <c r="D81" s="305"/>
      <c r="E81" s="303"/>
      <c r="F81" s="305"/>
      <c r="G81" s="304"/>
      <c r="H81" s="304">
        <v>31949.94</v>
      </c>
      <c r="I81" s="305"/>
      <c r="J81" s="870">
        <f t="shared" si="2"/>
        <v>17730513.868999992</v>
      </c>
    </row>
    <row r="82" spans="1:10" x14ac:dyDescent="0.25">
      <c r="A82" s="869" t="s">
        <v>1010</v>
      </c>
      <c r="B82" s="302">
        <v>45726</v>
      </c>
      <c r="C82" s="307" t="s">
        <v>4197</v>
      </c>
      <c r="D82" s="305"/>
      <c r="E82" s="303">
        <v>83376.61</v>
      </c>
      <c r="F82" s="305"/>
      <c r="G82" s="304"/>
      <c r="H82" s="304"/>
      <c r="I82" s="305"/>
      <c r="J82" s="870">
        <f t="shared" si="2"/>
        <v>17813890.478999991</v>
      </c>
    </row>
    <row r="83" spans="1:10" x14ac:dyDescent="0.25">
      <c r="A83" s="869" t="s">
        <v>1019</v>
      </c>
      <c r="B83" s="302">
        <v>45726</v>
      </c>
      <c r="C83" s="307" t="s">
        <v>4198</v>
      </c>
      <c r="D83" s="305"/>
      <c r="E83" s="303">
        <v>404678.83</v>
      </c>
      <c r="F83" s="305"/>
      <c r="G83" s="304"/>
      <c r="H83" s="304"/>
      <c r="I83" s="305"/>
      <c r="J83" s="870">
        <f t="shared" si="2"/>
        <v>18218569.308999989</v>
      </c>
    </row>
    <row r="84" spans="1:10" x14ac:dyDescent="0.25">
      <c r="A84" s="869" t="s">
        <v>1027</v>
      </c>
      <c r="B84" s="302">
        <v>45726</v>
      </c>
      <c r="C84" s="307" t="s">
        <v>4199</v>
      </c>
      <c r="D84" s="305"/>
      <c r="E84" s="303">
        <v>53140.7</v>
      </c>
      <c r="F84" s="305"/>
      <c r="G84" s="304"/>
      <c r="H84" s="304"/>
      <c r="I84" s="305"/>
      <c r="J84" s="870">
        <f t="shared" si="2"/>
        <v>18271710.008999988</v>
      </c>
    </row>
    <row r="85" spans="1:10" x14ac:dyDescent="0.25">
      <c r="A85" s="869" t="s">
        <v>1017</v>
      </c>
      <c r="B85" s="302">
        <v>45726</v>
      </c>
      <c r="C85" s="307" t="s">
        <v>4200</v>
      </c>
      <c r="D85" s="305"/>
      <c r="E85" s="303">
        <v>6743.06</v>
      </c>
      <c r="F85" s="305"/>
      <c r="G85" s="304"/>
      <c r="H85" s="304"/>
      <c r="I85" s="305"/>
      <c r="J85" s="870">
        <f t="shared" si="2"/>
        <v>18278453.068999987</v>
      </c>
    </row>
    <row r="86" spans="1:10" x14ac:dyDescent="0.25">
      <c r="A86" s="869" t="s">
        <v>1016</v>
      </c>
      <c r="B86" s="302">
        <v>45726</v>
      </c>
      <c r="C86" s="307" t="s">
        <v>4201</v>
      </c>
      <c r="D86" s="305"/>
      <c r="E86" s="303">
        <v>130031.72</v>
      </c>
      <c r="F86" s="305"/>
      <c r="G86" s="304"/>
      <c r="H86" s="304"/>
      <c r="I86" s="305"/>
      <c r="J86" s="870">
        <f t="shared" si="2"/>
        <v>18408484.788999986</v>
      </c>
    </row>
    <row r="87" spans="1:10" x14ac:dyDescent="0.25">
      <c r="A87" s="869" t="s">
        <v>1012</v>
      </c>
      <c r="B87" s="302">
        <v>45726</v>
      </c>
      <c r="C87" s="307" t="s">
        <v>4202</v>
      </c>
      <c r="D87" s="305"/>
      <c r="E87" s="303">
        <v>73918.679999999993</v>
      </c>
      <c r="F87" s="305"/>
      <c r="G87" s="304"/>
      <c r="H87" s="304"/>
      <c r="I87" s="305"/>
      <c r="J87" s="870">
        <f t="shared" si="2"/>
        <v>18482403.468999986</v>
      </c>
    </row>
    <row r="88" spans="1:10" x14ac:dyDescent="0.25">
      <c r="A88" s="869" t="s">
        <v>4142</v>
      </c>
      <c r="B88" s="302">
        <v>45726</v>
      </c>
      <c r="C88" s="307" t="s">
        <v>4203</v>
      </c>
      <c r="D88" s="305"/>
      <c r="E88" s="303">
        <v>81556.77</v>
      </c>
      <c r="F88" s="305"/>
      <c r="G88" s="304">
        <v>714.6</v>
      </c>
      <c r="H88" s="304"/>
      <c r="I88" s="305"/>
      <c r="J88" s="870">
        <f t="shared" si="2"/>
        <v>18563245.638999984</v>
      </c>
    </row>
    <row r="89" spans="1:10" x14ac:dyDescent="0.25">
      <c r="A89" s="869" t="s">
        <v>1011</v>
      </c>
      <c r="B89" s="302">
        <v>45726</v>
      </c>
      <c r="C89" s="307" t="s">
        <v>4204</v>
      </c>
      <c r="D89" s="305"/>
      <c r="E89" s="303">
        <v>43770.8</v>
      </c>
      <c r="F89" s="305"/>
      <c r="G89" s="304"/>
      <c r="H89" s="304"/>
      <c r="I89" s="305"/>
      <c r="J89" s="870">
        <f t="shared" si="2"/>
        <v>18607016.438999984</v>
      </c>
    </row>
    <row r="90" spans="1:10" x14ac:dyDescent="0.25">
      <c r="A90" s="869" t="s">
        <v>1022</v>
      </c>
      <c r="B90" s="302">
        <v>45726</v>
      </c>
      <c r="C90" s="307" t="s">
        <v>4205</v>
      </c>
      <c r="D90" s="305"/>
      <c r="E90" s="303">
        <v>162551.53</v>
      </c>
      <c r="F90" s="305"/>
      <c r="G90" s="304"/>
      <c r="H90" s="304"/>
      <c r="I90" s="305"/>
      <c r="J90" s="870">
        <f t="shared" si="2"/>
        <v>18769567.968999986</v>
      </c>
    </row>
    <row r="91" spans="1:10" x14ac:dyDescent="0.25">
      <c r="A91" s="869" t="s">
        <v>1018</v>
      </c>
      <c r="B91" s="302">
        <v>45726</v>
      </c>
      <c r="C91" s="307" t="s">
        <v>4206</v>
      </c>
      <c r="D91" s="305"/>
      <c r="E91" s="303">
        <v>6619.63</v>
      </c>
      <c r="F91" s="305"/>
      <c r="G91" s="304"/>
      <c r="H91" s="304"/>
      <c r="I91" s="305"/>
      <c r="J91" s="870">
        <f t="shared" si="2"/>
        <v>18776187.598999985</v>
      </c>
    </row>
    <row r="92" spans="1:10" x14ac:dyDescent="0.25">
      <c r="A92" s="869" t="s">
        <v>1032</v>
      </c>
      <c r="B92" s="302">
        <v>45726</v>
      </c>
      <c r="C92" s="307" t="s">
        <v>4207</v>
      </c>
      <c r="D92" s="305"/>
      <c r="E92" s="303">
        <v>372255.06</v>
      </c>
      <c r="F92" s="305"/>
      <c r="G92" s="304">
        <v>6159.88</v>
      </c>
      <c r="H92" s="304"/>
      <c r="I92" s="305"/>
      <c r="J92" s="870">
        <f t="shared" ref="J92:J153" si="3">+J91+E92-G92-H92</f>
        <v>19142282.778999984</v>
      </c>
    </row>
    <row r="93" spans="1:10" x14ac:dyDescent="0.25">
      <c r="A93" s="869" t="s">
        <v>1024</v>
      </c>
      <c r="B93" s="302">
        <v>45726</v>
      </c>
      <c r="C93" s="307" t="s">
        <v>4208</v>
      </c>
      <c r="D93" s="305"/>
      <c r="E93" s="303">
        <v>85258.31</v>
      </c>
      <c r="F93" s="305"/>
      <c r="G93" s="304"/>
      <c r="H93" s="304"/>
      <c r="I93" s="305"/>
      <c r="J93" s="870">
        <f t="shared" si="3"/>
        <v>19227541.088999983</v>
      </c>
    </row>
    <row r="94" spans="1:10" x14ac:dyDescent="0.25">
      <c r="A94" s="869" t="s">
        <v>1021</v>
      </c>
      <c r="B94" s="302">
        <v>45726</v>
      </c>
      <c r="C94" s="307" t="s">
        <v>4209</v>
      </c>
      <c r="D94" s="305"/>
      <c r="E94" s="303">
        <v>79962.77</v>
      </c>
      <c r="F94" s="305"/>
      <c r="G94" s="304"/>
      <c r="H94" s="304"/>
      <c r="I94" s="305"/>
      <c r="J94" s="870">
        <f t="shared" si="3"/>
        <v>19307503.858999982</v>
      </c>
    </row>
    <row r="95" spans="1:10" x14ac:dyDescent="0.25">
      <c r="A95" s="869" t="s">
        <v>1026</v>
      </c>
      <c r="B95" s="302">
        <v>45726</v>
      </c>
      <c r="C95" s="307" t="s">
        <v>4210</v>
      </c>
      <c r="D95" s="305"/>
      <c r="E95" s="303">
        <v>22435.77</v>
      </c>
      <c r="F95" s="305"/>
      <c r="G95" s="304"/>
      <c r="H95" s="304"/>
      <c r="I95" s="305"/>
      <c r="J95" s="870">
        <f t="shared" si="3"/>
        <v>19329939.628999982</v>
      </c>
    </row>
    <row r="96" spans="1:10" x14ac:dyDescent="0.25">
      <c r="A96" s="869" t="s">
        <v>4143</v>
      </c>
      <c r="B96" s="302">
        <v>45726</v>
      </c>
      <c r="C96" s="801" t="s">
        <v>4213</v>
      </c>
      <c r="D96" s="305"/>
      <c r="E96" s="303">
        <v>2821.24</v>
      </c>
      <c r="F96" s="305"/>
      <c r="G96" s="304"/>
      <c r="H96" s="304"/>
      <c r="I96" s="305"/>
      <c r="J96" s="870">
        <f t="shared" si="3"/>
        <v>19332760.86899998</v>
      </c>
    </row>
    <row r="97" spans="1:10" x14ac:dyDescent="0.25">
      <c r="A97" s="869" t="s">
        <v>1031</v>
      </c>
      <c r="B97" s="302">
        <v>45726</v>
      </c>
      <c r="C97" s="307" t="s">
        <v>4211</v>
      </c>
      <c r="D97" s="305"/>
      <c r="E97" s="303">
        <v>136798.59</v>
      </c>
      <c r="F97" s="305"/>
      <c r="G97" s="304"/>
      <c r="H97" s="304"/>
      <c r="I97" s="305"/>
      <c r="J97" s="870">
        <f t="shared" si="3"/>
        <v>19469559.45899998</v>
      </c>
    </row>
    <row r="98" spans="1:10" x14ac:dyDescent="0.25">
      <c r="A98" s="869" t="s">
        <v>4144</v>
      </c>
      <c r="B98" s="302">
        <v>45726</v>
      </c>
      <c r="C98" s="307" t="s">
        <v>4212</v>
      </c>
      <c r="D98" s="305"/>
      <c r="E98" s="303">
        <v>10657.5</v>
      </c>
      <c r="F98" s="305"/>
      <c r="G98" s="304"/>
      <c r="H98" s="304"/>
      <c r="I98" s="305"/>
      <c r="J98" s="870">
        <f t="shared" si="3"/>
        <v>19480216.95899998</v>
      </c>
    </row>
    <row r="99" spans="1:10" x14ac:dyDescent="0.25">
      <c r="A99" s="869" t="s">
        <v>4145</v>
      </c>
      <c r="B99" s="302">
        <v>45726</v>
      </c>
      <c r="C99" s="801" t="s">
        <v>4217</v>
      </c>
      <c r="D99" s="305"/>
      <c r="E99" s="303">
        <v>13000</v>
      </c>
      <c r="F99" s="305"/>
      <c r="G99" s="304"/>
      <c r="H99" s="304"/>
      <c r="I99" s="305"/>
      <c r="J99" s="870">
        <f t="shared" si="3"/>
        <v>19493216.95899998</v>
      </c>
    </row>
    <row r="100" spans="1:10" x14ac:dyDescent="0.25">
      <c r="A100" s="869" t="s">
        <v>4146</v>
      </c>
      <c r="B100" s="302">
        <v>45726</v>
      </c>
      <c r="C100" s="801" t="s">
        <v>4218</v>
      </c>
      <c r="D100" s="305"/>
      <c r="E100" s="303">
        <v>2645113.9</v>
      </c>
      <c r="F100" s="305"/>
      <c r="G100" s="304">
        <v>11137</v>
      </c>
      <c r="H100" s="304"/>
      <c r="I100" s="305"/>
      <c r="J100" s="870">
        <f t="shared" si="3"/>
        <v>22127193.858999979</v>
      </c>
    </row>
    <row r="101" spans="1:10" x14ac:dyDescent="0.25">
      <c r="A101" s="869" t="s">
        <v>4146</v>
      </c>
      <c r="B101" s="302">
        <v>45730</v>
      </c>
      <c r="C101" s="307"/>
      <c r="D101" s="305"/>
      <c r="E101" s="303"/>
      <c r="F101" s="305"/>
      <c r="G101" s="304"/>
      <c r="H101" s="304">
        <v>1041144.31</v>
      </c>
      <c r="I101" s="305"/>
      <c r="J101" s="870">
        <f t="shared" si="3"/>
        <v>21086049.54899998</v>
      </c>
    </row>
    <row r="102" spans="1:10" x14ac:dyDescent="0.25">
      <c r="A102" s="869" t="s">
        <v>3749</v>
      </c>
      <c r="B102" s="302">
        <v>45744</v>
      </c>
      <c r="C102" s="307"/>
      <c r="D102" s="305"/>
      <c r="E102" s="303"/>
      <c r="F102" s="305"/>
      <c r="G102" s="304"/>
      <c r="H102" s="304">
        <v>14338.35</v>
      </c>
      <c r="I102" s="305"/>
      <c r="J102" s="870">
        <f t="shared" si="3"/>
        <v>21071711.198999979</v>
      </c>
    </row>
    <row r="103" spans="1:10" x14ac:dyDescent="0.25">
      <c r="A103" s="869" t="s">
        <v>3747</v>
      </c>
      <c r="B103" s="302">
        <v>45741</v>
      </c>
      <c r="C103" s="307"/>
      <c r="D103" s="305"/>
      <c r="E103" s="303"/>
      <c r="F103" s="305"/>
      <c r="G103" s="304"/>
      <c r="H103" s="304">
        <v>356314.76</v>
      </c>
      <c r="I103" s="305"/>
      <c r="J103" s="870">
        <f t="shared" si="3"/>
        <v>20715396.438999977</v>
      </c>
    </row>
    <row r="104" spans="1:10" x14ac:dyDescent="0.25">
      <c r="A104" s="869" t="s">
        <v>3746</v>
      </c>
      <c r="B104" s="302">
        <v>45740</v>
      </c>
      <c r="C104" s="307"/>
      <c r="D104" s="305"/>
      <c r="E104" s="303"/>
      <c r="F104" s="305"/>
      <c r="G104" s="304"/>
      <c r="H104" s="304">
        <v>102672.34</v>
      </c>
      <c r="I104" s="305"/>
      <c r="J104" s="870">
        <f t="shared" si="3"/>
        <v>20612724.098999977</v>
      </c>
    </row>
    <row r="105" spans="1:10" x14ac:dyDescent="0.25">
      <c r="A105" s="869" t="s">
        <v>4167</v>
      </c>
      <c r="B105" s="302">
        <v>45737</v>
      </c>
      <c r="C105" s="307"/>
      <c r="D105" s="305"/>
      <c r="E105" s="303"/>
      <c r="F105" s="305"/>
      <c r="G105" s="304"/>
      <c r="H105" s="304">
        <v>262926.38</v>
      </c>
      <c r="I105" s="305"/>
      <c r="J105" s="870">
        <f t="shared" si="3"/>
        <v>20349797.718999978</v>
      </c>
    </row>
    <row r="106" spans="1:10" x14ac:dyDescent="0.25">
      <c r="A106" s="869" t="s">
        <v>4214</v>
      </c>
      <c r="B106" s="302">
        <v>45737</v>
      </c>
      <c r="C106" s="307"/>
      <c r="D106" s="305"/>
      <c r="E106" s="303"/>
      <c r="F106" s="305"/>
      <c r="G106" s="304"/>
      <c r="H106" s="304">
        <v>34117.68</v>
      </c>
      <c r="I106" s="305"/>
      <c r="J106" s="870">
        <f t="shared" si="3"/>
        <v>20315680.038999978</v>
      </c>
    </row>
    <row r="107" spans="1:10" x14ac:dyDescent="0.25">
      <c r="A107" s="869" t="s">
        <v>3751</v>
      </c>
      <c r="B107" s="302">
        <v>45719</v>
      </c>
      <c r="C107" s="307"/>
      <c r="D107" s="305"/>
      <c r="E107" s="303"/>
      <c r="F107" s="305"/>
      <c r="G107" s="304"/>
      <c r="H107" s="304">
        <v>237322.18</v>
      </c>
      <c r="I107" s="305"/>
      <c r="J107" s="870">
        <f t="shared" si="3"/>
        <v>20078357.858999979</v>
      </c>
    </row>
    <row r="108" spans="1:10" x14ac:dyDescent="0.25">
      <c r="A108" s="869"/>
      <c r="B108" s="302">
        <v>45730</v>
      </c>
      <c r="C108" s="307"/>
      <c r="D108" s="305"/>
      <c r="E108" s="303"/>
      <c r="F108" s="305"/>
      <c r="G108" s="304"/>
      <c r="H108" s="304">
        <v>11220.43</v>
      </c>
      <c r="I108" s="305"/>
      <c r="J108" s="870">
        <f t="shared" si="3"/>
        <v>20067137.428999979</v>
      </c>
    </row>
    <row r="109" spans="1:10" x14ac:dyDescent="0.25">
      <c r="A109" s="869" t="s">
        <v>4165</v>
      </c>
      <c r="B109" s="302">
        <v>45733</v>
      </c>
      <c r="C109" s="307"/>
      <c r="D109" s="305"/>
      <c r="E109" s="303"/>
      <c r="F109" s="305"/>
      <c r="G109" s="304"/>
      <c r="H109" s="304">
        <v>222620.34</v>
      </c>
      <c r="I109" s="305"/>
      <c r="J109" s="870">
        <f t="shared" si="3"/>
        <v>19844517.088999979</v>
      </c>
    </row>
    <row r="110" spans="1:10" x14ac:dyDescent="0.25">
      <c r="A110" s="869" t="s">
        <v>3753</v>
      </c>
      <c r="B110" s="302">
        <v>45736</v>
      </c>
      <c r="C110" s="307"/>
      <c r="D110" s="305"/>
      <c r="E110" s="303"/>
      <c r="F110" s="305"/>
      <c r="G110" s="304"/>
      <c r="H110" s="304">
        <v>16298.76</v>
      </c>
      <c r="I110" s="305"/>
      <c r="J110" s="870">
        <f t="shared" si="3"/>
        <v>19828218.328999978</v>
      </c>
    </row>
    <row r="111" spans="1:10" x14ac:dyDescent="0.25">
      <c r="A111" s="869" t="s">
        <v>3753</v>
      </c>
      <c r="B111" s="302">
        <v>45736</v>
      </c>
      <c r="C111" s="307"/>
      <c r="D111" s="305"/>
      <c r="E111" s="303"/>
      <c r="F111" s="305"/>
      <c r="G111" s="304"/>
      <c r="H111" s="304">
        <v>15397.47</v>
      </c>
      <c r="I111" s="305"/>
      <c r="J111" s="870">
        <f t="shared" si="3"/>
        <v>19812820.858999979</v>
      </c>
    </row>
    <row r="112" spans="1:10" x14ac:dyDescent="0.25">
      <c r="A112" s="869" t="s">
        <v>3753</v>
      </c>
      <c r="B112" s="302">
        <v>45736</v>
      </c>
      <c r="C112" s="307"/>
      <c r="D112" s="305"/>
      <c r="E112" s="303"/>
      <c r="F112" s="305"/>
      <c r="G112" s="304"/>
      <c r="H112" s="304">
        <v>30434.400000000001</v>
      </c>
      <c r="I112" s="305"/>
      <c r="J112" s="870">
        <f t="shared" si="3"/>
        <v>19782386.45899998</v>
      </c>
    </row>
    <row r="113" spans="1:10" x14ac:dyDescent="0.25">
      <c r="A113" s="869" t="s">
        <v>3753</v>
      </c>
      <c r="B113" s="302">
        <v>45736</v>
      </c>
      <c r="C113" s="307"/>
      <c r="D113" s="305"/>
      <c r="E113" s="303"/>
      <c r="F113" s="305"/>
      <c r="G113" s="304"/>
      <c r="H113" s="304">
        <v>65463.45</v>
      </c>
      <c r="I113" s="305"/>
      <c r="J113" s="870">
        <f t="shared" si="3"/>
        <v>19716923.008999981</v>
      </c>
    </row>
    <row r="114" spans="1:10" x14ac:dyDescent="0.25">
      <c r="A114" s="869" t="s">
        <v>3753</v>
      </c>
      <c r="B114" s="302">
        <v>45736</v>
      </c>
      <c r="C114" s="307"/>
      <c r="D114" s="305"/>
      <c r="E114" s="303"/>
      <c r="F114" s="305"/>
      <c r="G114" s="304"/>
      <c r="H114" s="304">
        <v>12863.4</v>
      </c>
      <c r="I114" s="305"/>
      <c r="J114" s="870">
        <f t="shared" si="3"/>
        <v>19704059.608999982</v>
      </c>
    </row>
    <row r="115" spans="1:10" x14ac:dyDescent="0.25">
      <c r="A115" s="869" t="s">
        <v>3753</v>
      </c>
      <c r="B115" s="302">
        <v>45736</v>
      </c>
      <c r="C115" s="307"/>
      <c r="D115" s="305"/>
      <c r="E115" s="303"/>
      <c r="F115" s="305"/>
      <c r="G115" s="304"/>
      <c r="H115" s="304">
        <v>155572.92000000001</v>
      </c>
      <c r="I115" s="305"/>
      <c r="J115" s="870">
        <f t="shared" si="3"/>
        <v>19548486.688999981</v>
      </c>
    </row>
    <row r="116" spans="1:10" x14ac:dyDescent="0.25">
      <c r="A116" s="869" t="s">
        <v>3753</v>
      </c>
      <c r="B116" s="302">
        <v>45736</v>
      </c>
      <c r="C116" s="307"/>
      <c r="D116" s="305"/>
      <c r="E116" s="303"/>
      <c r="F116" s="305"/>
      <c r="G116" s="304"/>
      <c r="H116" s="304">
        <v>309977.48</v>
      </c>
      <c r="I116" s="305"/>
      <c r="J116" s="870">
        <f t="shared" si="3"/>
        <v>19238509.20899998</v>
      </c>
    </row>
    <row r="117" spans="1:10" x14ac:dyDescent="0.25">
      <c r="A117" s="869" t="s">
        <v>3753</v>
      </c>
      <c r="B117" s="302">
        <v>45736</v>
      </c>
      <c r="C117" s="307"/>
      <c r="D117" s="305"/>
      <c r="E117" s="303"/>
      <c r="F117" s="305"/>
      <c r="G117" s="304"/>
      <c r="H117" s="304">
        <v>504</v>
      </c>
      <c r="I117" s="305"/>
      <c r="J117" s="870">
        <f t="shared" si="3"/>
        <v>19238005.20899998</v>
      </c>
    </row>
    <row r="118" spans="1:10" x14ac:dyDescent="0.25">
      <c r="A118" s="869" t="s">
        <v>4215</v>
      </c>
      <c r="B118" s="302">
        <v>45737</v>
      </c>
      <c r="C118" s="307"/>
      <c r="D118" s="305"/>
      <c r="E118" s="303"/>
      <c r="F118" s="305"/>
      <c r="G118" s="304"/>
      <c r="H118" s="304">
        <v>1396</v>
      </c>
      <c r="I118" s="305"/>
      <c r="J118" s="870">
        <f t="shared" si="3"/>
        <v>19236609.20899998</v>
      </c>
    </row>
    <row r="119" spans="1:10" x14ac:dyDescent="0.25">
      <c r="A119" s="869" t="s">
        <v>1014</v>
      </c>
      <c r="B119" s="302">
        <v>45747</v>
      </c>
      <c r="C119" s="307"/>
      <c r="D119" s="305"/>
      <c r="E119" s="303"/>
      <c r="F119" s="305"/>
      <c r="G119" s="304"/>
      <c r="H119" s="304">
        <v>77169.399999999994</v>
      </c>
      <c r="I119" s="305"/>
      <c r="J119" s="870">
        <f t="shared" si="3"/>
        <v>19159439.808999982</v>
      </c>
    </row>
    <row r="120" spans="1:10" x14ac:dyDescent="0.25">
      <c r="A120" s="869" t="s">
        <v>4166</v>
      </c>
      <c r="B120" s="302">
        <v>45737</v>
      </c>
      <c r="C120" s="307"/>
      <c r="D120" s="305"/>
      <c r="E120" s="303"/>
      <c r="F120" s="305"/>
      <c r="G120" s="304"/>
      <c r="H120" s="304">
        <v>212345.21</v>
      </c>
      <c r="I120" s="305"/>
      <c r="J120" s="870">
        <f t="shared" si="3"/>
        <v>18947094.598999981</v>
      </c>
    </row>
    <row r="121" spans="1:10" x14ac:dyDescent="0.25">
      <c r="A121" s="1055" t="s">
        <v>1010</v>
      </c>
      <c r="B121" s="1056">
        <v>45757</v>
      </c>
      <c r="C121" s="1057" t="s">
        <v>4246</v>
      </c>
      <c r="D121" s="689"/>
      <c r="E121" s="1058">
        <v>77617.279999999999</v>
      </c>
      <c r="F121" s="689"/>
      <c r="G121" s="1059"/>
      <c r="H121" s="1059"/>
      <c r="I121" s="689"/>
      <c r="J121" s="870">
        <f t="shared" si="3"/>
        <v>19024711.878999982</v>
      </c>
    </row>
    <row r="122" spans="1:10" x14ac:dyDescent="0.25">
      <c r="A122" s="1055" t="s">
        <v>1019</v>
      </c>
      <c r="B122" s="1056">
        <v>45757</v>
      </c>
      <c r="C122" s="1057" t="s">
        <v>4247</v>
      </c>
      <c r="D122" s="689"/>
      <c r="E122" s="1058">
        <v>432554.37</v>
      </c>
      <c r="F122" s="689"/>
      <c r="G122" s="1059"/>
      <c r="H122" s="1059"/>
      <c r="I122" s="689"/>
      <c r="J122" s="870">
        <f t="shared" si="3"/>
        <v>19457266.248999983</v>
      </c>
    </row>
    <row r="123" spans="1:10" x14ac:dyDescent="0.25">
      <c r="A123" s="1055" t="s">
        <v>1027</v>
      </c>
      <c r="B123" s="1056">
        <v>45757</v>
      </c>
      <c r="C123" s="1057" t="s">
        <v>4248</v>
      </c>
      <c r="D123" s="689"/>
      <c r="E123" s="1058">
        <v>54068.800000000003</v>
      </c>
      <c r="F123" s="689"/>
      <c r="G123" s="1059"/>
      <c r="H123" s="1059"/>
      <c r="I123" s="689"/>
      <c r="J123" s="870">
        <f t="shared" si="3"/>
        <v>19511335.048999984</v>
      </c>
    </row>
    <row r="124" spans="1:10" x14ac:dyDescent="0.25">
      <c r="A124" s="1055" t="s">
        <v>1017</v>
      </c>
      <c r="B124" s="1056">
        <v>45757</v>
      </c>
      <c r="C124" s="1057" t="s">
        <v>4249</v>
      </c>
      <c r="D124" s="689"/>
      <c r="E124" s="1058">
        <v>12721.58</v>
      </c>
      <c r="F124" s="689"/>
      <c r="G124" s="1059"/>
      <c r="H124" s="1059"/>
      <c r="I124" s="689"/>
      <c r="J124" s="870">
        <f t="shared" si="3"/>
        <v>19524056.628999982</v>
      </c>
    </row>
    <row r="125" spans="1:10" x14ac:dyDescent="0.25">
      <c r="A125" s="1055" t="s">
        <v>1016</v>
      </c>
      <c r="B125" s="1056">
        <v>45757</v>
      </c>
      <c r="C125" s="1057" t="s">
        <v>4250</v>
      </c>
      <c r="D125" s="689"/>
      <c r="E125" s="1058">
        <v>382067.66</v>
      </c>
      <c r="F125" s="689"/>
      <c r="G125" s="1059"/>
      <c r="H125" s="1059"/>
      <c r="I125" s="689"/>
      <c r="J125" s="870">
        <f t="shared" si="3"/>
        <v>19906124.288999982</v>
      </c>
    </row>
    <row r="126" spans="1:10" x14ac:dyDescent="0.25">
      <c r="A126" s="1055" t="s">
        <v>4142</v>
      </c>
      <c r="B126" s="1056">
        <v>45757</v>
      </c>
      <c r="C126" s="1057" t="s">
        <v>4251</v>
      </c>
      <c r="D126" s="689"/>
      <c r="E126" s="1058">
        <v>32922.74</v>
      </c>
      <c r="F126" s="689"/>
      <c r="G126" s="1059"/>
      <c r="H126" s="1059"/>
      <c r="I126" s="689"/>
      <c r="J126" s="870">
        <f t="shared" si="3"/>
        <v>19939047.028999981</v>
      </c>
    </row>
    <row r="127" spans="1:10" x14ac:dyDescent="0.25">
      <c r="A127" s="1055" t="s">
        <v>1011</v>
      </c>
      <c r="B127" s="1056">
        <v>45757</v>
      </c>
      <c r="C127" s="1057" t="s">
        <v>4252</v>
      </c>
      <c r="D127" s="689"/>
      <c r="E127" s="1058">
        <v>55860.67</v>
      </c>
      <c r="F127" s="689"/>
      <c r="G127" s="1059"/>
      <c r="H127" s="1059"/>
      <c r="I127" s="689"/>
      <c r="J127" s="870">
        <f t="shared" si="3"/>
        <v>19994907.698999982</v>
      </c>
    </row>
    <row r="128" spans="1:10" x14ac:dyDescent="0.25">
      <c r="A128" s="1055" t="s">
        <v>1022</v>
      </c>
      <c r="B128" s="1056">
        <v>45757</v>
      </c>
      <c r="C128" s="1057" t="s">
        <v>4253</v>
      </c>
      <c r="D128" s="689"/>
      <c r="E128" s="1058">
        <v>37897.65</v>
      </c>
      <c r="F128" s="689"/>
      <c r="G128" s="1059"/>
      <c r="H128" s="1059"/>
      <c r="I128" s="689"/>
      <c r="J128" s="870">
        <f t="shared" si="3"/>
        <v>20032805.348999981</v>
      </c>
    </row>
    <row r="129" spans="1:10" x14ac:dyDescent="0.25">
      <c r="A129" s="1055" t="s">
        <v>1018</v>
      </c>
      <c r="B129" s="1056">
        <v>45757</v>
      </c>
      <c r="C129" s="1057" t="s">
        <v>4254</v>
      </c>
      <c r="D129" s="689"/>
      <c r="E129" s="1058">
        <v>12257.4</v>
      </c>
      <c r="F129" s="689"/>
      <c r="G129" s="1059"/>
      <c r="H129" s="1059"/>
      <c r="I129" s="689"/>
      <c r="J129" s="870">
        <f t="shared" si="3"/>
        <v>20045062.748999979</v>
      </c>
    </row>
    <row r="130" spans="1:10" x14ac:dyDescent="0.25">
      <c r="A130" s="1055" t="s">
        <v>1032</v>
      </c>
      <c r="B130" s="1056">
        <v>45757</v>
      </c>
      <c r="C130" s="1057" t="s">
        <v>4255</v>
      </c>
      <c r="D130" s="689"/>
      <c r="E130" s="1058">
        <v>395799.78</v>
      </c>
      <c r="F130" s="689"/>
      <c r="G130" s="1059"/>
      <c r="H130" s="1059"/>
      <c r="I130" s="689"/>
      <c r="J130" s="870">
        <f t="shared" si="3"/>
        <v>20440862.528999981</v>
      </c>
    </row>
    <row r="131" spans="1:10" x14ac:dyDescent="0.25">
      <c r="A131" s="1055" t="s">
        <v>1024</v>
      </c>
      <c r="B131" s="1056">
        <v>45757</v>
      </c>
      <c r="C131" s="1057" t="s">
        <v>4256</v>
      </c>
      <c r="D131" s="689"/>
      <c r="E131" s="1058">
        <v>119188.62</v>
      </c>
      <c r="F131" s="689"/>
      <c r="G131" s="1059"/>
      <c r="H131" s="1059"/>
      <c r="I131" s="689"/>
      <c r="J131" s="870">
        <f t="shared" si="3"/>
        <v>20560051.148999982</v>
      </c>
    </row>
    <row r="132" spans="1:10" x14ac:dyDescent="0.25">
      <c r="A132" s="1055" t="s">
        <v>1021</v>
      </c>
      <c r="B132" s="1056">
        <v>45757</v>
      </c>
      <c r="C132" s="1057" t="s">
        <v>4257</v>
      </c>
      <c r="D132" s="689"/>
      <c r="E132" s="1058">
        <v>61346.15</v>
      </c>
      <c r="F132" s="689"/>
      <c r="G132" s="1059"/>
      <c r="H132" s="1059"/>
      <c r="I132" s="689"/>
      <c r="J132" s="870">
        <f t="shared" si="3"/>
        <v>20621397.29899998</v>
      </c>
    </row>
    <row r="133" spans="1:10" x14ac:dyDescent="0.25">
      <c r="A133" s="1055" t="s">
        <v>1026</v>
      </c>
      <c r="B133" s="1056">
        <v>45757</v>
      </c>
      <c r="C133" s="1057" t="s">
        <v>4258</v>
      </c>
      <c r="D133" s="689"/>
      <c r="E133" s="1058">
        <v>61608.05</v>
      </c>
      <c r="F133" s="689"/>
      <c r="G133" s="1059"/>
      <c r="H133" s="1059"/>
      <c r="I133" s="689"/>
      <c r="J133" s="870">
        <f t="shared" si="3"/>
        <v>20683005.348999981</v>
      </c>
    </row>
    <row r="134" spans="1:10" x14ac:dyDescent="0.25">
      <c r="A134" s="1055" t="s">
        <v>4143</v>
      </c>
      <c r="B134" s="1056">
        <v>45757</v>
      </c>
      <c r="C134" s="1060" t="s">
        <v>4261</v>
      </c>
      <c r="D134" s="689"/>
      <c r="E134" s="1058">
        <v>1604</v>
      </c>
      <c r="F134" s="689"/>
      <c r="G134" s="1059"/>
      <c r="H134" s="1059"/>
      <c r="I134" s="689"/>
      <c r="J134" s="870">
        <f t="shared" si="3"/>
        <v>20684609.348999981</v>
      </c>
    </row>
    <row r="135" spans="1:10" x14ac:dyDescent="0.25">
      <c r="A135" s="1055" t="s">
        <v>1031</v>
      </c>
      <c r="B135" s="1056">
        <v>45757</v>
      </c>
      <c r="C135" s="1057" t="s">
        <v>4259</v>
      </c>
      <c r="D135" s="689"/>
      <c r="E135" s="1058">
        <v>83229.31</v>
      </c>
      <c r="F135" s="689"/>
      <c r="G135" s="1059"/>
      <c r="H135" s="1059"/>
      <c r="I135" s="689"/>
      <c r="J135" s="870">
        <f t="shared" si="3"/>
        <v>20767838.658999979</v>
      </c>
    </row>
    <row r="136" spans="1:10" x14ac:dyDescent="0.25">
      <c r="A136" s="1055" t="s">
        <v>4144</v>
      </c>
      <c r="B136" s="1056">
        <v>45757</v>
      </c>
      <c r="C136" s="1057" t="s">
        <v>4260</v>
      </c>
      <c r="D136" s="689"/>
      <c r="E136" s="1058">
        <v>27941.11</v>
      </c>
      <c r="F136" s="689"/>
      <c r="G136" s="1059"/>
      <c r="H136" s="1059"/>
      <c r="I136" s="689"/>
      <c r="J136" s="870">
        <f t="shared" si="3"/>
        <v>20795779.768999979</v>
      </c>
    </row>
    <row r="137" spans="1:10" x14ac:dyDescent="0.25">
      <c r="A137" s="1055" t="s">
        <v>4145</v>
      </c>
      <c r="B137" s="1056">
        <v>45757</v>
      </c>
      <c r="C137" s="1060" t="s">
        <v>4260</v>
      </c>
      <c r="D137" s="689"/>
      <c r="E137" s="1058">
        <v>6959.16</v>
      </c>
      <c r="F137" s="689"/>
      <c r="G137" s="1059"/>
      <c r="H137" s="1059"/>
      <c r="I137" s="689"/>
      <c r="J137" s="870">
        <f t="shared" si="3"/>
        <v>20802738.928999979</v>
      </c>
    </row>
    <row r="138" spans="1:10" x14ac:dyDescent="0.25">
      <c r="A138" s="1055" t="s">
        <v>4146</v>
      </c>
      <c r="B138" s="1056">
        <v>45757</v>
      </c>
      <c r="C138" s="1060" t="s">
        <v>4262</v>
      </c>
      <c r="D138" s="689"/>
      <c r="E138" s="1058">
        <v>1939523.55</v>
      </c>
      <c r="F138" s="689"/>
      <c r="G138" s="1059"/>
      <c r="H138" s="1059"/>
      <c r="I138" s="689"/>
      <c r="J138" s="870">
        <f t="shared" si="3"/>
        <v>22742262.47899998</v>
      </c>
    </row>
    <row r="139" spans="1:10" x14ac:dyDescent="0.25">
      <c r="A139" s="1055" t="s">
        <v>1012</v>
      </c>
      <c r="B139" s="1056">
        <v>45754</v>
      </c>
      <c r="C139" s="1057"/>
      <c r="D139" s="689"/>
      <c r="E139" s="1058"/>
      <c r="F139" s="689"/>
      <c r="G139" s="1059"/>
      <c r="H139" s="1059">
        <v>73057.08</v>
      </c>
      <c r="I139" s="689"/>
      <c r="J139" s="870">
        <f t="shared" si="3"/>
        <v>22669205.398999982</v>
      </c>
    </row>
    <row r="140" spans="1:10" x14ac:dyDescent="0.25">
      <c r="A140" s="1055" t="s">
        <v>4175</v>
      </c>
      <c r="B140" s="1056">
        <v>45756</v>
      </c>
      <c r="C140" s="1057"/>
      <c r="D140" s="689"/>
      <c r="E140" s="1058"/>
      <c r="F140" s="689"/>
      <c r="G140" s="1059"/>
      <c r="H140" s="1059">
        <v>10949.64</v>
      </c>
      <c r="I140" s="689"/>
      <c r="J140" s="870">
        <f t="shared" si="3"/>
        <v>22658255.758999981</v>
      </c>
    </row>
    <row r="141" spans="1:10" x14ac:dyDescent="0.25">
      <c r="A141" s="1055" t="s">
        <v>3749</v>
      </c>
      <c r="B141" s="1056">
        <v>45757</v>
      </c>
      <c r="C141" s="1057"/>
      <c r="D141" s="689"/>
      <c r="E141" s="1058"/>
      <c r="F141" s="689"/>
      <c r="G141" s="1059"/>
      <c r="H141" s="1059">
        <v>19489.759999999998</v>
      </c>
      <c r="I141" s="689"/>
      <c r="J141" s="870">
        <f t="shared" si="3"/>
        <v>22638765.998999979</v>
      </c>
    </row>
    <row r="142" spans="1:10" x14ac:dyDescent="0.25">
      <c r="A142" s="1055" t="s">
        <v>3750</v>
      </c>
      <c r="B142" s="1056">
        <v>45758</v>
      </c>
      <c r="C142" s="1057"/>
      <c r="D142" s="689"/>
      <c r="E142" s="1058"/>
      <c r="F142" s="689"/>
      <c r="G142" s="1059"/>
      <c r="H142" s="1059">
        <v>22435.77</v>
      </c>
      <c r="I142" s="689"/>
      <c r="J142" s="870">
        <f t="shared" si="3"/>
        <v>22616330.22899998</v>
      </c>
    </row>
    <row r="143" spans="1:10" x14ac:dyDescent="0.25">
      <c r="A143" s="1055" t="s">
        <v>4175</v>
      </c>
      <c r="B143" s="1056">
        <v>45762</v>
      </c>
      <c r="C143" s="1057"/>
      <c r="D143" s="689"/>
      <c r="E143" s="1058"/>
      <c r="F143" s="689"/>
      <c r="G143" s="1059"/>
      <c r="H143" s="1059">
        <v>2326714.9500000002</v>
      </c>
      <c r="I143" s="689"/>
      <c r="J143" s="870">
        <f t="shared" si="3"/>
        <v>20289615.278999981</v>
      </c>
    </row>
    <row r="144" spans="1:10" x14ac:dyDescent="0.25">
      <c r="A144" s="1055" t="s">
        <v>1014</v>
      </c>
      <c r="B144" s="1056">
        <v>45762</v>
      </c>
      <c r="C144" s="1057"/>
      <c r="D144" s="689"/>
      <c r="E144" s="1058"/>
      <c r="F144" s="689"/>
      <c r="G144" s="1059"/>
      <c r="H144" s="1059">
        <v>28868.13</v>
      </c>
      <c r="I144" s="689"/>
      <c r="J144" s="870">
        <f t="shared" si="3"/>
        <v>20260747.148999982</v>
      </c>
    </row>
    <row r="145" spans="1:10" x14ac:dyDescent="0.25">
      <c r="A145" s="1055" t="s">
        <v>4244</v>
      </c>
      <c r="B145" s="1056">
        <v>45763</v>
      </c>
      <c r="C145" s="1057"/>
      <c r="D145" s="689"/>
      <c r="E145" s="1058"/>
      <c r="F145" s="689"/>
      <c r="G145" s="1059"/>
      <c r="H145" s="1059">
        <v>51140.7</v>
      </c>
      <c r="I145" s="689"/>
      <c r="J145" s="870">
        <f t="shared" si="3"/>
        <v>20209606.448999982</v>
      </c>
    </row>
    <row r="146" spans="1:10" x14ac:dyDescent="0.25">
      <c r="A146" s="1055" t="s">
        <v>4244</v>
      </c>
      <c r="B146" s="1056">
        <v>45763</v>
      </c>
      <c r="C146" s="1057"/>
      <c r="D146" s="689"/>
      <c r="E146" s="1058"/>
      <c r="F146" s="689"/>
      <c r="G146" s="1059"/>
      <c r="H146" s="1059">
        <v>129754.16</v>
      </c>
      <c r="I146" s="689"/>
      <c r="J146" s="870">
        <f t="shared" si="3"/>
        <v>20079852.288999982</v>
      </c>
    </row>
    <row r="147" spans="1:10" x14ac:dyDescent="0.25">
      <c r="A147" s="1055" t="s">
        <v>4244</v>
      </c>
      <c r="B147" s="1056">
        <v>45763</v>
      </c>
      <c r="C147" s="1057"/>
      <c r="D147" s="689"/>
      <c r="E147" s="1058"/>
      <c r="F147" s="689"/>
      <c r="G147" s="1059"/>
      <c r="H147" s="1059">
        <v>6696.74</v>
      </c>
      <c r="I147" s="689"/>
      <c r="J147" s="870">
        <f t="shared" si="3"/>
        <v>20073155.548999984</v>
      </c>
    </row>
    <row r="148" spans="1:10" x14ac:dyDescent="0.25">
      <c r="A148" s="1055" t="s">
        <v>1014</v>
      </c>
      <c r="B148" s="1056">
        <v>45771</v>
      </c>
      <c r="C148" s="1057"/>
      <c r="D148" s="689"/>
      <c r="E148" s="1058"/>
      <c r="F148" s="689"/>
      <c r="G148" s="1059"/>
      <c r="H148" s="1059">
        <v>6393.05</v>
      </c>
      <c r="I148" s="689"/>
      <c r="J148" s="870">
        <f t="shared" si="3"/>
        <v>20066762.498999983</v>
      </c>
    </row>
    <row r="149" spans="1:10" x14ac:dyDescent="0.25">
      <c r="A149" s="1055" t="s">
        <v>3746</v>
      </c>
      <c r="B149" s="1056">
        <v>45771</v>
      </c>
      <c r="C149" s="1057"/>
      <c r="D149" s="689"/>
      <c r="E149" s="1058"/>
      <c r="F149" s="689"/>
      <c r="G149" s="1059"/>
      <c r="H149" s="1059">
        <v>6619.63</v>
      </c>
      <c r="I149" s="689"/>
      <c r="J149" s="870">
        <f t="shared" si="3"/>
        <v>20060142.868999984</v>
      </c>
    </row>
    <row r="150" spans="1:10" x14ac:dyDescent="0.25">
      <c r="A150" s="1055" t="s">
        <v>3747</v>
      </c>
      <c r="B150" s="1056">
        <v>45776</v>
      </c>
      <c r="C150" s="1057"/>
      <c r="D150" s="689"/>
      <c r="E150" s="1058"/>
      <c r="F150" s="689"/>
      <c r="G150" s="1059"/>
      <c r="H150" s="1059">
        <v>388735.9</v>
      </c>
      <c r="I150" s="689"/>
      <c r="J150" s="870">
        <f t="shared" si="3"/>
        <v>19671406.968999986</v>
      </c>
    </row>
    <row r="151" spans="1:10" x14ac:dyDescent="0.25">
      <c r="A151" s="1055" t="s">
        <v>4214</v>
      </c>
      <c r="B151" s="1056">
        <v>45775</v>
      </c>
      <c r="C151" s="1057"/>
      <c r="D151" s="689"/>
      <c r="E151" s="1058"/>
      <c r="F151" s="689"/>
      <c r="G151" s="1059"/>
      <c r="H151" s="1059">
        <v>97704.2</v>
      </c>
      <c r="I151" s="689"/>
      <c r="J151" s="870">
        <f t="shared" si="3"/>
        <v>19573702.768999986</v>
      </c>
    </row>
    <row r="152" spans="1:10" x14ac:dyDescent="0.25">
      <c r="A152" s="1055" t="s">
        <v>4223</v>
      </c>
      <c r="B152" s="1056">
        <v>45775</v>
      </c>
      <c r="C152" s="1057"/>
      <c r="D152" s="689"/>
      <c r="E152" s="1058"/>
      <c r="F152" s="689"/>
      <c r="G152" s="1059"/>
      <c r="H152" s="1059">
        <v>534014.43000000005</v>
      </c>
      <c r="I152" s="689"/>
      <c r="J152" s="870">
        <f t="shared" si="3"/>
        <v>19039688.338999987</v>
      </c>
    </row>
    <row r="153" spans="1:10" x14ac:dyDescent="0.25">
      <c r="A153" s="1055" t="s">
        <v>3751</v>
      </c>
      <c r="B153" s="1056">
        <v>45775</v>
      </c>
      <c r="C153" s="1057"/>
      <c r="D153" s="689"/>
      <c r="E153" s="1058"/>
      <c r="F153" s="689"/>
      <c r="G153" s="1059"/>
      <c r="H153" s="1059">
        <v>146560.32000000001</v>
      </c>
      <c r="I153" s="689"/>
      <c r="J153" s="870">
        <f t="shared" si="3"/>
        <v>18893128.018999986</v>
      </c>
    </row>
    <row r="154" spans="1:10" ht="15.75" thickBot="1" x14ac:dyDescent="0.3">
      <c r="A154" s="944" t="s">
        <v>157</v>
      </c>
      <c r="B154" s="945"/>
      <c r="C154" s="945"/>
      <c r="D154" s="945"/>
      <c r="E154" s="871">
        <f>SUM(E26:E153)</f>
        <v>14944313.709999999</v>
      </c>
      <c r="F154" s="871">
        <f t="shared" ref="F154:I154" si="4">SUM(F26:F153)</f>
        <v>0</v>
      </c>
      <c r="G154" s="871">
        <f t="shared" si="4"/>
        <v>93538.340000000011</v>
      </c>
      <c r="H154" s="871">
        <f t="shared" si="4"/>
        <v>11596204.899999999</v>
      </c>
      <c r="I154" s="871">
        <f t="shared" si="4"/>
        <v>0</v>
      </c>
      <c r="J154" s="1061">
        <f>+J153</f>
        <v>18893128.018999986</v>
      </c>
    </row>
    <row r="155" spans="1:10" x14ac:dyDescent="0.25">
      <c r="G155" s="308"/>
      <c r="J155" s="685"/>
    </row>
    <row r="156" spans="1:10" x14ac:dyDescent="0.25">
      <c r="A156" s="946" t="s">
        <v>1033</v>
      </c>
      <c r="B156" s="946"/>
      <c r="J156" s="685"/>
    </row>
    <row r="157" spans="1:10" ht="15" customHeight="1" x14ac:dyDescent="0.25">
      <c r="A157" s="310" t="s">
        <v>1034</v>
      </c>
      <c r="B157" s="294">
        <f>+K20</f>
        <v>-684646.34999999916</v>
      </c>
      <c r="J157" s="685"/>
    </row>
    <row r="158" spans="1:10" ht="15" customHeight="1" x14ac:dyDescent="0.25">
      <c r="A158" s="310" t="s">
        <v>1035</v>
      </c>
      <c r="B158" s="294">
        <f>+J154</f>
        <v>18893128.018999986</v>
      </c>
      <c r="J158" s="309"/>
    </row>
    <row r="159" spans="1:10" ht="15" customHeight="1" x14ac:dyDescent="0.25">
      <c r="A159" s="311" t="s">
        <v>157</v>
      </c>
      <c r="B159" s="312">
        <f>SUM(B157:B158)</f>
        <v>18208481.668999989</v>
      </c>
      <c r="J159" s="309"/>
    </row>
    <row r="160" spans="1:10" ht="15" customHeight="1" x14ac:dyDescent="0.25">
      <c r="J160" s="309"/>
    </row>
    <row r="161" spans="1:10" x14ac:dyDescent="0.25">
      <c r="J161" s="309"/>
    </row>
    <row r="162" spans="1:10" ht="15" customHeight="1" x14ac:dyDescent="0.25">
      <c r="A162" s="1062" t="s">
        <v>4266</v>
      </c>
      <c r="B162" s="1063">
        <v>63940333.700000003</v>
      </c>
      <c r="J162" s="309"/>
    </row>
    <row r="163" spans="1:10" ht="15" customHeight="1" x14ac:dyDescent="0.25">
      <c r="J163" s="309"/>
    </row>
    <row r="164" spans="1:10" ht="15" customHeight="1" x14ac:dyDescent="0.25">
      <c r="J164" s="309"/>
    </row>
    <row r="165" spans="1:10" ht="15" customHeight="1" x14ac:dyDescent="0.25">
      <c r="J165" s="309"/>
    </row>
    <row r="166" spans="1:10" ht="15" customHeight="1" x14ac:dyDescent="0.25">
      <c r="J166" s="301"/>
    </row>
    <row r="167" spans="1:10" ht="15" customHeight="1" x14ac:dyDescent="0.25">
      <c r="J167" s="301"/>
    </row>
    <row r="168" spans="1:10" ht="15" customHeight="1" x14ac:dyDescent="0.25"/>
    <row r="169" spans="1:10" ht="15" customHeight="1" x14ac:dyDescent="0.25"/>
    <row r="170" spans="1:10" ht="15" customHeight="1" x14ac:dyDescent="0.25"/>
    <row r="171" spans="1:10" ht="15" customHeight="1" x14ac:dyDescent="0.25"/>
    <row r="172" spans="1:10" ht="15" customHeight="1" x14ac:dyDescent="0.25"/>
    <row r="173" spans="1:10" ht="15" customHeight="1" x14ac:dyDescent="0.25"/>
    <row r="174" spans="1:10" ht="15" customHeight="1" x14ac:dyDescent="0.25"/>
    <row r="175" spans="1:10" ht="15" customHeight="1" x14ac:dyDescent="0.25"/>
    <row r="176" spans="1:10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9.5" customHeight="1" x14ac:dyDescent="0.25"/>
    <row r="205" ht="19.5" customHeight="1" x14ac:dyDescent="0.25"/>
    <row r="206" ht="19.5" customHeight="1" x14ac:dyDescent="0.25"/>
    <row r="207" ht="19.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4" ht="15" customHeight="1" x14ac:dyDescent="0.25"/>
    <row r="295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</sheetData>
  <mergeCells count="7">
    <mergeCell ref="A154:D154"/>
    <mergeCell ref="A156:B156"/>
    <mergeCell ref="A4:L4"/>
    <mergeCell ref="A5:L5"/>
    <mergeCell ref="A7:L7"/>
    <mergeCell ref="A23:J23"/>
    <mergeCell ref="G24:H24"/>
  </mergeCells>
  <pageMargins left="0.7" right="0.7" top="0.75" bottom="0.75" header="0.3" footer="0.3"/>
  <pageSetup scale="38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7"/>
  <sheetViews>
    <sheetView tabSelected="1" view="pageBreakPreview" topLeftCell="A70" zoomScale="30" zoomScaleNormal="96" zoomScaleSheetLayoutView="30" workbookViewId="0">
      <selection activeCell="Q118" sqref="Q118"/>
    </sheetView>
  </sheetViews>
  <sheetFormatPr baseColWidth="10" defaultColWidth="23.5703125" defaultRowHeight="15" x14ac:dyDescent="0.25"/>
  <cols>
    <col min="1" max="1" width="18" bestFit="1" customWidth="1"/>
    <col min="2" max="2" width="53.7109375" bestFit="1" customWidth="1"/>
    <col min="3" max="3" width="16.85546875" style="464" bestFit="1" customWidth="1"/>
    <col min="4" max="4" width="24.5703125" style="290" bestFit="1" customWidth="1"/>
    <col min="5" max="5" width="19.5703125" bestFit="1" customWidth="1"/>
    <col min="6" max="8" width="20.28515625" bestFit="1" customWidth="1"/>
    <col min="9" max="9" width="20" bestFit="1" customWidth="1"/>
    <col min="10" max="10" width="19.28515625" bestFit="1" customWidth="1"/>
    <col min="11" max="11" width="21.28515625" bestFit="1" customWidth="1"/>
    <col min="12" max="12" width="17.42578125" bestFit="1" customWidth="1"/>
    <col min="13" max="13" width="17.42578125" customWidth="1"/>
  </cols>
  <sheetData>
    <row r="1" spans="1:14" ht="22.5" x14ac:dyDescent="0.3">
      <c r="A1" s="953" t="s">
        <v>4121</v>
      </c>
      <c r="B1" s="953"/>
      <c r="C1" s="953"/>
      <c r="D1" s="953"/>
      <c r="E1" s="953"/>
      <c r="F1" s="953"/>
      <c r="G1" s="953"/>
      <c r="H1" s="953"/>
      <c r="I1" s="953"/>
      <c r="J1" s="953"/>
      <c r="K1" s="953"/>
      <c r="L1" s="953"/>
      <c r="M1" s="953"/>
      <c r="N1" s="953"/>
    </row>
    <row r="2" spans="1:14" ht="15.75" x14ac:dyDescent="0.25">
      <c r="A2" s="954" t="s">
        <v>4122</v>
      </c>
      <c r="B2" s="954"/>
      <c r="C2" s="954"/>
      <c r="D2" s="954"/>
      <c r="E2" s="954"/>
      <c r="F2" s="954"/>
      <c r="G2" s="954"/>
      <c r="H2" s="954"/>
      <c r="I2" s="954"/>
      <c r="J2" s="954"/>
      <c r="K2" s="954"/>
      <c r="L2" s="954"/>
      <c r="M2" s="954"/>
      <c r="N2" s="954"/>
    </row>
    <row r="3" spans="1:14" ht="15.75" x14ac:dyDescent="0.25">
      <c r="A3" s="954" t="s">
        <v>4123</v>
      </c>
      <c r="B3" s="954"/>
      <c r="C3" s="954"/>
      <c r="D3" s="954"/>
      <c r="E3" s="954"/>
      <c r="F3" s="954"/>
      <c r="G3" s="954"/>
      <c r="H3" s="954"/>
      <c r="I3" s="954"/>
      <c r="J3" s="954"/>
      <c r="K3" s="954"/>
      <c r="L3" s="954"/>
      <c r="M3" s="954"/>
      <c r="N3" s="954"/>
    </row>
    <row r="4" spans="1:14" x14ac:dyDescent="0.25">
      <c r="A4" s="898" t="s">
        <v>4124</v>
      </c>
      <c r="B4" s="795" t="s">
        <v>989</v>
      </c>
      <c r="D4" s="298" t="s">
        <v>4125</v>
      </c>
      <c r="E4" s="797">
        <v>45748</v>
      </c>
    </row>
    <row r="6" spans="1:14" s="47" customFormat="1" ht="30" x14ac:dyDescent="0.25">
      <c r="A6" s="798" t="s">
        <v>3715</v>
      </c>
      <c r="B6" s="799" t="s">
        <v>3716</v>
      </c>
      <c r="C6" s="1064" t="s">
        <v>1697</v>
      </c>
      <c r="D6" s="849" t="s">
        <v>4190</v>
      </c>
      <c r="E6" s="798" t="s">
        <v>4126</v>
      </c>
      <c r="F6" s="798" t="s">
        <v>3717</v>
      </c>
      <c r="G6" s="798" t="s">
        <v>3718</v>
      </c>
      <c r="H6" s="798" t="s">
        <v>4127</v>
      </c>
      <c r="I6" s="798" t="s">
        <v>4128</v>
      </c>
      <c r="J6" s="798" t="s">
        <v>4129</v>
      </c>
      <c r="K6" s="798" t="s">
        <v>4130</v>
      </c>
      <c r="L6" s="798" t="s">
        <v>4191</v>
      </c>
      <c r="M6" s="798" t="s">
        <v>4267</v>
      </c>
      <c r="N6" s="798" t="s">
        <v>4131</v>
      </c>
    </row>
    <row r="7" spans="1:14" x14ac:dyDescent="0.25">
      <c r="A7" s="483">
        <v>1</v>
      </c>
      <c r="B7" s="802" t="s">
        <v>3720</v>
      </c>
      <c r="C7" s="1065"/>
      <c r="D7" s="850" t="s">
        <v>4132</v>
      </c>
      <c r="E7" s="801"/>
      <c r="F7" s="801"/>
      <c r="G7" s="801"/>
      <c r="H7" s="801">
        <v>94965</v>
      </c>
      <c r="I7" s="801"/>
      <c r="J7" s="801"/>
      <c r="K7" s="801"/>
      <c r="L7" s="801"/>
      <c r="M7" s="801"/>
      <c r="N7" s="801">
        <f t="shared" ref="N7:N62" si="0">SUM(E7:M7)</f>
        <v>94965</v>
      </c>
    </row>
    <row r="8" spans="1:14" x14ac:dyDescent="0.25">
      <c r="A8" s="483">
        <f>+A7+1</f>
        <v>2</v>
      </c>
      <c r="B8" s="802" t="s">
        <v>3720</v>
      </c>
      <c r="C8" s="1065"/>
      <c r="D8" s="850" t="s">
        <v>4132</v>
      </c>
      <c r="E8" s="801"/>
      <c r="F8" s="801"/>
      <c r="G8" s="801"/>
      <c r="H8" s="801">
        <v>11375</v>
      </c>
      <c r="I8" s="801"/>
      <c r="J8" s="801"/>
      <c r="K8" s="801"/>
      <c r="L8" s="801"/>
      <c r="M8" s="801"/>
      <c r="N8" s="801">
        <f t="shared" si="0"/>
        <v>11375</v>
      </c>
    </row>
    <row r="9" spans="1:14" x14ac:dyDescent="0.25">
      <c r="A9" s="483">
        <f t="shared" ref="A9:A72" si="1">+A8+1</f>
        <v>3</v>
      </c>
      <c r="B9" s="802" t="s">
        <v>3722</v>
      </c>
      <c r="C9" s="1065"/>
      <c r="D9" s="850" t="s">
        <v>4132</v>
      </c>
      <c r="E9" s="801"/>
      <c r="F9" s="801"/>
      <c r="G9" s="801"/>
      <c r="H9" s="801">
        <v>224775</v>
      </c>
      <c r="I9" s="801"/>
      <c r="J9" s="801"/>
      <c r="K9" s="801"/>
      <c r="L9" s="801"/>
      <c r="M9" s="801"/>
      <c r="N9" s="801">
        <f t="shared" si="0"/>
        <v>224775</v>
      </c>
    </row>
    <row r="10" spans="1:14" x14ac:dyDescent="0.25">
      <c r="A10" s="483">
        <f t="shared" si="1"/>
        <v>4</v>
      </c>
      <c r="B10" s="802" t="s">
        <v>442</v>
      </c>
      <c r="C10" s="1065"/>
      <c r="D10" s="850" t="s">
        <v>4132</v>
      </c>
      <c r="E10" s="801"/>
      <c r="F10" s="801"/>
      <c r="G10" s="801"/>
      <c r="H10" s="801">
        <v>287920</v>
      </c>
      <c r="I10" s="801"/>
      <c r="J10" s="801"/>
      <c r="K10" s="801"/>
      <c r="L10" s="801"/>
      <c r="M10" s="801"/>
      <c r="N10" s="801">
        <f t="shared" si="0"/>
        <v>287920</v>
      </c>
    </row>
    <row r="11" spans="1:14" x14ac:dyDescent="0.25">
      <c r="A11" s="483">
        <f t="shared" si="1"/>
        <v>5</v>
      </c>
      <c r="B11" s="802" t="s">
        <v>3723</v>
      </c>
      <c r="C11" s="1065"/>
      <c r="D11" s="850" t="s">
        <v>4132</v>
      </c>
      <c r="E11" s="801"/>
      <c r="F11" s="801"/>
      <c r="G11" s="801"/>
      <c r="H11" s="801">
        <v>220483.05</v>
      </c>
      <c r="I11" s="801"/>
      <c r="J11" s="801"/>
      <c r="K11" s="801"/>
      <c r="L11" s="801"/>
      <c r="M11" s="801"/>
      <c r="N11" s="801">
        <f t="shared" si="0"/>
        <v>220483.05</v>
      </c>
    </row>
    <row r="12" spans="1:14" x14ac:dyDescent="0.25">
      <c r="A12" s="483">
        <f t="shared" si="1"/>
        <v>6</v>
      </c>
      <c r="B12" s="802" t="s">
        <v>777</v>
      </c>
      <c r="C12" s="1065"/>
      <c r="D12" s="850" t="s">
        <v>4132</v>
      </c>
      <c r="E12" s="801"/>
      <c r="F12" s="801"/>
      <c r="G12" s="801"/>
      <c r="H12" s="801">
        <v>58382.86</v>
      </c>
      <c r="I12" s="801"/>
      <c r="J12" s="801"/>
      <c r="K12" s="801"/>
      <c r="L12" s="801"/>
      <c r="M12" s="801"/>
      <c r="N12" s="801">
        <f t="shared" si="0"/>
        <v>58382.86</v>
      </c>
    </row>
    <row r="13" spans="1:14" x14ac:dyDescent="0.25">
      <c r="A13" s="483">
        <f t="shared" si="1"/>
        <v>7</v>
      </c>
      <c r="B13" s="802" t="s">
        <v>3722</v>
      </c>
      <c r="C13" s="1065"/>
      <c r="D13" s="850" t="s">
        <v>4132</v>
      </c>
      <c r="E13" s="801"/>
      <c r="F13" s="801"/>
      <c r="G13" s="801"/>
      <c r="H13" s="801">
        <v>171690</v>
      </c>
      <c r="I13" s="801"/>
      <c r="J13" s="801"/>
      <c r="K13" s="801"/>
      <c r="L13" s="801"/>
      <c r="M13" s="801"/>
      <c r="N13" s="801">
        <f t="shared" si="0"/>
        <v>171690</v>
      </c>
    </row>
    <row r="14" spans="1:14" x14ac:dyDescent="0.25">
      <c r="A14" s="483">
        <f t="shared" si="1"/>
        <v>8</v>
      </c>
      <c r="B14" s="802" t="s">
        <v>4133</v>
      </c>
      <c r="C14" s="1065"/>
      <c r="D14" s="850" t="s">
        <v>4132</v>
      </c>
      <c r="E14" s="801"/>
      <c r="F14" s="801"/>
      <c r="G14" s="801"/>
      <c r="H14" s="801">
        <v>213260</v>
      </c>
      <c r="I14" s="801"/>
      <c r="J14" s="801"/>
      <c r="K14" s="801"/>
      <c r="L14" s="801"/>
      <c r="M14" s="801"/>
      <c r="N14" s="801">
        <f t="shared" si="0"/>
        <v>213260</v>
      </c>
    </row>
    <row r="15" spans="1:14" x14ac:dyDescent="0.25">
      <c r="A15" s="483">
        <f t="shared" si="1"/>
        <v>9</v>
      </c>
      <c r="B15" s="802" t="s">
        <v>3724</v>
      </c>
      <c r="C15" s="1065"/>
      <c r="D15" s="850" t="s">
        <v>4132</v>
      </c>
      <c r="E15" s="801"/>
      <c r="F15" s="801"/>
      <c r="G15" s="801"/>
      <c r="H15" s="801">
        <v>167208</v>
      </c>
      <c r="I15" s="801"/>
      <c r="J15" s="801"/>
      <c r="K15" s="801"/>
      <c r="L15" s="801"/>
      <c r="M15" s="801"/>
      <c r="N15" s="801">
        <f t="shared" si="0"/>
        <v>167208</v>
      </c>
    </row>
    <row r="16" spans="1:14" x14ac:dyDescent="0.25">
      <c r="A16" s="483">
        <f t="shared" si="1"/>
        <v>10</v>
      </c>
      <c r="B16" s="802" t="s">
        <v>4134</v>
      </c>
      <c r="C16" s="1065"/>
      <c r="D16" s="850" t="s">
        <v>4132</v>
      </c>
      <c r="E16" s="801"/>
      <c r="F16" s="801"/>
      <c r="G16" s="801"/>
      <c r="H16" s="801">
        <v>400</v>
      </c>
      <c r="I16" s="801"/>
      <c r="J16" s="801"/>
      <c r="K16" s="801"/>
      <c r="L16" s="801"/>
      <c r="M16" s="801"/>
      <c r="N16" s="801">
        <f t="shared" si="0"/>
        <v>400</v>
      </c>
    </row>
    <row r="17" spans="1:14" x14ac:dyDescent="0.25">
      <c r="A17" s="483">
        <f t="shared" si="1"/>
        <v>11</v>
      </c>
      <c r="B17" s="802" t="s">
        <v>3725</v>
      </c>
      <c r="C17" s="1066"/>
      <c r="D17" s="850" t="s">
        <v>4132</v>
      </c>
      <c r="E17" s="801"/>
      <c r="F17" s="801"/>
      <c r="G17" s="801"/>
      <c r="H17" s="801">
        <v>150096</v>
      </c>
      <c r="I17" s="801"/>
      <c r="J17" s="801"/>
      <c r="K17" s="801"/>
      <c r="L17" s="801"/>
      <c r="M17" s="801"/>
      <c r="N17" s="801">
        <f t="shared" si="0"/>
        <v>150096</v>
      </c>
    </row>
    <row r="18" spans="1:14" x14ac:dyDescent="0.25">
      <c r="A18" s="483">
        <f t="shared" si="1"/>
        <v>12</v>
      </c>
      <c r="B18" s="802" t="s">
        <v>960</v>
      </c>
      <c r="C18" s="1065"/>
      <c r="D18" s="850" t="s">
        <v>4132</v>
      </c>
      <c r="E18" s="801"/>
      <c r="F18" s="801"/>
      <c r="G18" s="801"/>
      <c r="H18" s="801"/>
      <c r="I18" s="801">
        <v>39361.26</v>
      </c>
      <c r="J18" s="801"/>
      <c r="K18" s="801"/>
      <c r="L18" s="801"/>
      <c r="M18" s="801"/>
      <c r="N18" s="801">
        <f t="shared" si="0"/>
        <v>39361.26</v>
      </c>
    </row>
    <row r="19" spans="1:14" x14ac:dyDescent="0.25">
      <c r="A19" s="483">
        <f t="shared" si="1"/>
        <v>13</v>
      </c>
      <c r="B19" s="802" t="s">
        <v>685</v>
      </c>
      <c r="C19" s="1065"/>
      <c r="D19" s="850" t="s">
        <v>4132</v>
      </c>
      <c r="E19" s="801"/>
      <c r="F19" s="801"/>
      <c r="G19" s="801"/>
      <c r="H19" s="801"/>
      <c r="I19" s="801">
        <v>88100</v>
      </c>
      <c r="J19" s="801"/>
      <c r="K19" s="801"/>
      <c r="L19" s="801"/>
      <c r="M19" s="801"/>
      <c r="N19" s="801">
        <f t="shared" si="0"/>
        <v>88100</v>
      </c>
    </row>
    <row r="20" spans="1:14" x14ac:dyDescent="0.25">
      <c r="A20" s="483">
        <f t="shared" si="1"/>
        <v>14</v>
      </c>
      <c r="B20" s="802" t="s">
        <v>3726</v>
      </c>
      <c r="C20" s="1065"/>
      <c r="D20" s="850" t="s">
        <v>4132</v>
      </c>
      <c r="E20" s="801"/>
      <c r="F20" s="801"/>
      <c r="G20" s="801"/>
      <c r="H20" s="801"/>
      <c r="I20" s="801">
        <v>215000</v>
      </c>
      <c r="J20" s="801"/>
      <c r="K20" s="801"/>
      <c r="L20" s="801"/>
      <c r="M20" s="801"/>
      <c r="N20" s="801">
        <f t="shared" si="0"/>
        <v>215000</v>
      </c>
    </row>
    <row r="21" spans="1:14" x14ac:dyDescent="0.25">
      <c r="A21" s="483">
        <f t="shared" si="1"/>
        <v>15</v>
      </c>
      <c r="B21" s="802" t="s">
        <v>1751</v>
      </c>
      <c r="C21" s="1065"/>
      <c r="D21" s="850" t="s">
        <v>4132</v>
      </c>
      <c r="E21" s="801"/>
      <c r="F21" s="801"/>
      <c r="G21" s="801"/>
      <c r="H21" s="801"/>
      <c r="I21" s="801">
        <v>48852</v>
      </c>
      <c r="J21" s="801"/>
      <c r="K21" s="801"/>
      <c r="L21" s="801"/>
      <c r="M21" s="801"/>
      <c r="N21" s="801">
        <f t="shared" si="0"/>
        <v>48852</v>
      </c>
    </row>
    <row r="22" spans="1:14" x14ac:dyDescent="0.25">
      <c r="A22" s="483">
        <f t="shared" si="1"/>
        <v>16</v>
      </c>
      <c r="B22" s="802" t="s">
        <v>1751</v>
      </c>
      <c r="C22" s="1065"/>
      <c r="D22" s="850" t="s">
        <v>4132</v>
      </c>
      <c r="E22" s="801"/>
      <c r="F22" s="801"/>
      <c r="G22" s="801"/>
      <c r="H22" s="801"/>
      <c r="I22" s="801">
        <v>48852</v>
      </c>
      <c r="J22" s="801"/>
      <c r="K22" s="801"/>
      <c r="L22" s="801"/>
      <c r="M22" s="801"/>
      <c r="N22" s="801">
        <f t="shared" si="0"/>
        <v>48852</v>
      </c>
    </row>
    <row r="23" spans="1:14" x14ac:dyDescent="0.25">
      <c r="A23" s="483">
        <f t="shared" si="1"/>
        <v>17</v>
      </c>
      <c r="B23" s="802" t="s">
        <v>4192</v>
      </c>
      <c r="C23" s="1065"/>
      <c r="D23" s="850" t="s">
        <v>4132</v>
      </c>
      <c r="E23" s="801"/>
      <c r="F23" s="801"/>
      <c r="G23" s="801"/>
      <c r="H23" s="801"/>
      <c r="I23" s="801">
        <v>14391</v>
      </c>
      <c r="J23" s="801"/>
      <c r="K23" s="801"/>
      <c r="L23" s="801"/>
      <c r="M23" s="801"/>
      <c r="N23" s="801">
        <f t="shared" si="0"/>
        <v>14391</v>
      </c>
    </row>
    <row r="24" spans="1:14" x14ac:dyDescent="0.25">
      <c r="A24" s="483">
        <f t="shared" si="1"/>
        <v>18</v>
      </c>
      <c r="B24" s="802" t="s">
        <v>685</v>
      </c>
      <c r="C24" s="1065"/>
      <c r="D24" s="850" t="s">
        <v>4132</v>
      </c>
      <c r="E24" s="801"/>
      <c r="F24" s="801"/>
      <c r="G24" s="801"/>
      <c r="H24" s="801"/>
      <c r="I24" s="801">
        <v>3450</v>
      </c>
      <c r="J24" s="801"/>
      <c r="K24" s="801"/>
      <c r="L24" s="801"/>
      <c r="M24" s="801"/>
      <c r="N24" s="801">
        <f t="shared" si="0"/>
        <v>3450</v>
      </c>
    </row>
    <row r="25" spans="1:14" x14ac:dyDescent="0.25">
      <c r="A25" s="483">
        <f t="shared" si="1"/>
        <v>19</v>
      </c>
      <c r="B25" s="802" t="s">
        <v>3725</v>
      </c>
      <c r="C25" s="1065"/>
      <c r="D25" s="850" t="s">
        <v>4132</v>
      </c>
      <c r="E25" s="801"/>
      <c r="F25" s="801"/>
      <c r="G25" s="801"/>
      <c r="H25" s="801"/>
      <c r="I25" s="801">
        <v>162462.39999999999</v>
      </c>
      <c r="J25" s="801"/>
      <c r="K25" s="801"/>
      <c r="L25" s="801"/>
      <c r="M25" s="801"/>
      <c r="N25" s="801">
        <f t="shared" si="0"/>
        <v>162462.39999999999</v>
      </c>
    </row>
    <row r="26" spans="1:14" x14ac:dyDescent="0.25">
      <c r="A26" s="483">
        <f t="shared" si="1"/>
        <v>20</v>
      </c>
      <c r="B26" s="802" t="s">
        <v>685</v>
      </c>
      <c r="C26" s="1065"/>
      <c r="D26" s="850" t="s">
        <v>4132</v>
      </c>
      <c r="E26" s="801"/>
      <c r="F26" s="801"/>
      <c r="G26" s="801"/>
      <c r="H26" s="801"/>
      <c r="I26" s="801">
        <v>77150</v>
      </c>
      <c r="J26" s="801"/>
      <c r="K26" s="801"/>
      <c r="L26" s="801"/>
      <c r="M26" s="801"/>
      <c r="N26" s="801">
        <f t="shared" si="0"/>
        <v>77150</v>
      </c>
    </row>
    <row r="27" spans="1:14" x14ac:dyDescent="0.25">
      <c r="A27" s="483">
        <f t="shared" si="1"/>
        <v>21</v>
      </c>
      <c r="B27" s="804" t="s">
        <v>3728</v>
      </c>
      <c r="C27" s="1065"/>
      <c r="D27" s="850" t="s">
        <v>4132</v>
      </c>
      <c r="E27" s="801"/>
      <c r="F27" s="801"/>
      <c r="G27" s="801"/>
      <c r="H27" s="801"/>
      <c r="I27" s="801">
        <v>80363.899999999994</v>
      </c>
      <c r="J27" s="801"/>
      <c r="K27" s="801"/>
      <c r="L27" s="801"/>
      <c r="M27" s="801"/>
      <c r="N27" s="801">
        <f t="shared" si="0"/>
        <v>80363.899999999994</v>
      </c>
    </row>
    <row r="28" spans="1:14" x14ac:dyDescent="0.25">
      <c r="A28" s="483">
        <f t="shared" si="1"/>
        <v>22</v>
      </c>
      <c r="B28" s="802" t="s">
        <v>960</v>
      </c>
      <c r="C28" s="1065"/>
      <c r="D28" s="850" t="s">
        <v>4132</v>
      </c>
      <c r="E28" s="801"/>
      <c r="F28" s="801"/>
      <c r="G28" s="801"/>
      <c r="H28" s="801"/>
      <c r="I28" s="801">
        <v>240720</v>
      </c>
      <c r="J28" s="801"/>
      <c r="K28" s="801"/>
      <c r="L28" s="801"/>
      <c r="M28" s="801"/>
      <c r="N28" s="801">
        <f t="shared" si="0"/>
        <v>240720</v>
      </c>
    </row>
    <row r="29" spans="1:14" x14ac:dyDescent="0.25">
      <c r="A29" s="483">
        <f t="shared" si="1"/>
        <v>23</v>
      </c>
      <c r="B29" s="802" t="s">
        <v>3722</v>
      </c>
      <c r="C29" s="1065"/>
      <c r="D29" s="850" t="s">
        <v>4132</v>
      </c>
      <c r="E29" s="801"/>
      <c r="F29" s="801"/>
      <c r="G29" s="801"/>
      <c r="H29" s="801"/>
      <c r="I29" s="801">
        <v>190410</v>
      </c>
      <c r="J29" s="801"/>
      <c r="K29" s="801"/>
      <c r="L29" s="801"/>
      <c r="M29" s="801"/>
      <c r="N29" s="801">
        <f t="shared" si="0"/>
        <v>190410</v>
      </c>
    </row>
    <row r="30" spans="1:14" x14ac:dyDescent="0.25">
      <c r="A30" s="483">
        <f t="shared" si="1"/>
        <v>24</v>
      </c>
      <c r="B30" s="802" t="s">
        <v>3714</v>
      </c>
      <c r="C30" s="1065"/>
      <c r="D30" s="850" t="s">
        <v>4132</v>
      </c>
      <c r="E30" s="801"/>
      <c r="F30" s="801"/>
      <c r="G30" s="801"/>
      <c r="H30" s="801"/>
      <c r="I30" s="801">
        <v>145848</v>
      </c>
      <c r="J30" s="801"/>
      <c r="K30" s="801"/>
      <c r="L30" s="801"/>
      <c r="M30" s="801"/>
      <c r="N30" s="801">
        <f t="shared" si="0"/>
        <v>145848</v>
      </c>
    </row>
    <row r="31" spans="1:14" x14ac:dyDescent="0.25">
      <c r="A31" s="483">
        <f t="shared" si="1"/>
        <v>25</v>
      </c>
      <c r="B31" s="802" t="s">
        <v>1751</v>
      </c>
      <c r="C31" s="1065"/>
      <c r="D31" s="850" t="s">
        <v>4132</v>
      </c>
      <c r="E31" s="801"/>
      <c r="F31" s="801"/>
      <c r="G31" s="801"/>
      <c r="H31" s="801"/>
      <c r="I31" s="801">
        <v>48852</v>
      </c>
      <c r="J31" s="801"/>
      <c r="K31" s="801"/>
      <c r="L31" s="801"/>
      <c r="M31" s="801"/>
      <c r="N31" s="801">
        <f t="shared" si="0"/>
        <v>48852</v>
      </c>
    </row>
    <row r="32" spans="1:14" x14ac:dyDescent="0.25">
      <c r="A32" s="483">
        <f t="shared" si="1"/>
        <v>26</v>
      </c>
      <c r="B32" s="802" t="s">
        <v>1751</v>
      </c>
      <c r="C32" s="1065"/>
      <c r="D32" s="850" t="s">
        <v>4132</v>
      </c>
      <c r="E32" s="801"/>
      <c r="F32" s="801"/>
      <c r="G32" s="801"/>
      <c r="H32" s="801"/>
      <c r="I32" s="801">
        <v>48852</v>
      </c>
      <c r="J32" s="801"/>
      <c r="K32" s="801"/>
      <c r="L32" s="801"/>
      <c r="M32" s="801"/>
      <c r="N32" s="801">
        <f t="shared" si="0"/>
        <v>48852</v>
      </c>
    </row>
    <row r="33" spans="1:14" x14ac:dyDescent="0.25">
      <c r="A33" s="483">
        <f t="shared" si="1"/>
        <v>27</v>
      </c>
      <c r="B33" s="802" t="s">
        <v>783</v>
      </c>
      <c r="C33" s="1065"/>
      <c r="D33" s="850" t="s">
        <v>4132</v>
      </c>
      <c r="E33" s="801"/>
      <c r="F33" s="801"/>
      <c r="G33" s="801"/>
      <c r="H33" s="801"/>
      <c r="I33" s="801">
        <v>112271.1</v>
      </c>
      <c r="J33" s="801"/>
      <c r="K33" s="801"/>
      <c r="L33" s="801"/>
      <c r="M33" s="801"/>
      <c r="N33" s="801">
        <f t="shared" si="0"/>
        <v>112271.1</v>
      </c>
    </row>
    <row r="34" spans="1:14" x14ac:dyDescent="0.25">
      <c r="A34" s="483">
        <f t="shared" si="1"/>
        <v>28</v>
      </c>
      <c r="B34" s="802" t="s">
        <v>3730</v>
      </c>
      <c r="C34" s="1065"/>
      <c r="D34" s="850" t="s">
        <v>4132</v>
      </c>
      <c r="E34" s="801"/>
      <c r="F34" s="801"/>
      <c r="G34" s="801"/>
      <c r="H34" s="801"/>
      <c r="I34" s="801">
        <v>53100</v>
      </c>
      <c r="J34" s="801"/>
      <c r="K34" s="801"/>
      <c r="L34" s="801"/>
      <c r="M34" s="801"/>
      <c r="N34" s="801">
        <f t="shared" si="0"/>
        <v>53100</v>
      </c>
    </row>
    <row r="35" spans="1:14" x14ac:dyDescent="0.25">
      <c r="A35" s="483">
        <f t="shared" si="1"/>
        <v>29</v>
      </c>
      <c r="B35" s="802" t="s">
        <v>1062</v>
      </c>
      <c r="C35" s="1065"/>
      <c r="D35" s="850" t="s">
        <v>4132</v>
      </c>
      <c r="E35" s="801"/>
      <c r="F35" s="801"/>
      <c r="G35" s="801"/>
      <c r="H35" s="801"/>
      <c r="I35" s="801">
        <v>100069.88</v>
      </c>
      <c r="J35" s="801"/>
      <c r="K35" s="801"/>
      <c r="L35" s="801"/>
      <c r="M35" s="801"/>
      <c r="N35" s="801">
        <f t="shared" si="0"/>
        <v>100069.88</v>
      </c>
    </row>
    <row r="36" spans="1:14" x14ac:dyDescent="0.25">
      <c r="A36" s="483">
        <f t="shared" si="1"/>
        <v>30</v>
      </c>
      <c r="B36" s="802" t="s">
        <v>358</v>
      </c>
      <c r="C36" s="1065"/>
      <c r="D36" s="850" t="s">
        <v>4132</v>
      </c>
      <c r="E36" s="801"/>
      <c r="F36" s="801"/>
      <c r="G36" s="801"/>
      <c r="H36" s="801"/>
      <c r="I36" s="801">
        <v>198475</v>
      </c>
      <c r="J36" s="801"/>
      <c r="K36" s="801"/>
      <c r="L36" s="801"/>
      <c r="M36" s="801"/>
      <c r="N36" s="801">
        <f t="shared" si="0"/>
        <v>198475</v>
      </c>
    </row>
    <row r="37" spans="1:14" x14ac:dyDescent="0.25">
      <c r="A37" s="483">
        <f t="shared" si="1"/>
        <v>31</v>
      </c>
      <c r="B37" s="802" t="s">
        <v>3732</v>
      </c>
      <c r="C37" s="1065"/>
      <c r="D37" s="850" t="s">
        <v>4132</v>
      </c>
      <c r="E37" s="801"/>
      <c r="F37" s="801"/>
      <c r="G37" s="801"/>
      <c r="H37" s="801"/>
      <c r="I37" s="801">
        <v>16520</v>
      </c>
      <c r="J37" s="801"/>
      <c r="K37" s="801"/>
      <c r="L37" s="801"/>
      <c r="M37" s="801"/>
      <c r="N37" s="801">
        <f t="shared" si="0"/>
        <v>16520</v>
      </c>
    </row>
    <row r="38" spans="1:14" x14ac:dyDescent="0.25">
      <c r="A38" s="483">
        <f t="shared" si="1"/>
        <v>32</v>
      </c>
      <c r="B38" s="802" t="s">
        <v>3798</v>
      </c>
      <c r="C38" s="1065"/>
      <c r="D38" s="850" t="s">
        <v>4132</v>
      </c>
      <c r="E38" s="801"/>
      <c r="F38" s="801"/>
      <c r="G38" s="801"/>
      <c r="H38" s="801"/>
      <c r="I38" s="801">
        <v>57151.44</v>
      </c>
      <c r="J38" s="801"/>
      <c r="K38" s="801"/>
      <c r="L38" s="801"/>
      <c r="M38" s="801"/>
      <c r="N38" s="801">
        <f t="shared" si="0"/>
        <v>57151.44</v>
      </c>
    </row>
    <row r="39" spans="1:14" x14ac:dyDescent="0.25">
      <c r="A39" s="483">
        <f t="shared" si="1"/>
        <v>33</v>
      </c>
      <c r="B39" s="802" t="s">
        <v>685</v>
      </c>
      <c r="C39" s="1065"/>
      <c r="D39" s="850" t="s">
        <v>4132</v>
      </c>
      <c r="E39" s="801"/>
      <c r="F39" s="801"/>
      <c r="G39" s="801"/>
      <c r="H39" s="801"/>
      <c r="I39" s="801">
        <v>10775</v>
      </c>
      <c r="J39" s="801"/>
      <c r="K39" s="801"/>
      <c r="L39" s="801"/>
      <c r="M39" s="801"/>
      <c r="N39" s="801">
        <f t="shared" si="0"/>
        <v>10775</v>
      </c>
    </row>
    <row r="40" spans="1:14" x14ac:dyDescent="0.25">
      <c r="A40" s="483">
        <f t="shared" si="1"/>
        <v>34</v>
      </c>
      <c r="B40" s="802" t="s">
        <v>4268</v>
      </c>
      <c r="C40" s="1065"/>
      <c r="D40" s="850" t="s">
        <v>4132</v>
      </c>
      <c r="E40" s="801"/>
      <c r="F40" s="801"/>
      <c r="G40" s="801"/>
      <c r="H40" s="801"/>
      <c r="I40" s="801">
        <v>939471.78</v>
      </c>
      <c r="J40" s="801"/>
      <c r="K40" s="801"/>
      <c r="L40" s="801"/>
      <c r="M40" s="801"/>
      <c r="N40" s="801">
        <f t="shared" si="0"/>
        <v>939471.78</v>
      </c>
    </row>
    <row r="41" spans="1:14" x14ac:dyDescent="0.25">
      <c r="A41" s="483">
        <f t="shared" si="1"/>
        <v>35</v>
      </c>
      <c r="B41" s="802" t="s">
        <v>3727</v>
      </c>
      <c r="C41" s="1065"/>
      <c r="D41" s="850" t="s">
        <v>4132</v>
      </c>
      <c r="E41" s="801"/>
      <c r="F41" s="801"/>
      <c r="G41" s="801"/>
      <c r="H41" s="801"/>
      <c r="I41" s="801">
        <v>39530</v>
      </c>
      <c r="J41" s="801"/>
      <c r="K41" s="801"/>
      <c r="L41" s="801"/>
      <c r="M41" s="801"/>
      <c r="N41" s="801">
        <f t="shared" si="0"/>
        <v>39530</v>
      </c>
    </row>
    <row r="42" spans="1:14" x14ac:dyDescent="0.25">
      <c r="A42" s="483">
        <f t="shared" si="1"/>
        <v>36</v>
      </c>
      <c r="B42" s="802" t="s">
        <v>3725</v>
      </c>
      <c r="C42" s="1065"/>
      <c r="D42" s="850" t="s">
        <v>4132</v>
      </c>
      <c r="E42" s="801"/>
      <c r="F42" s="801"/>
      <c r="G42" s="801"/>
      <c r="H42" s="801"/>
      <c r="I42" s="801"/>
      <c r="J42" s="801">
        <v>20060</v>
      </c>
      <c r="K42" s="801"/>
      <c r="L42" s="801"/>
      <c r="M42" s="801"/>
      <c r="N42" s="801">
        <f t="shared" si="0"/>
        <v>20060</v>
      </c>
    </row>
    <row r="43" spans="1:14" x14ac:dyDescent="0.25">
      <c r="A43" s="483">
        <f t="shared" si="1"/>
        <v>37</v>
      </c>
      <c r="B43" s="802" t="s">
        <v>447</v>
      </c>
      <c r="C43" s="1065"/>
      <c r="D43" s="850" t="s">
        <v>4132</v>
      </c>
      <c r="E43" s="801"/>
      <c r="F43" s="801"/>
      <c r="G43" s="801"/>
      <c r="H43" s="801"/>
      <c r="I43" s="801"/>
      <c r="J43" s="801"/>
      <c r="K43" s="801">
        <v>54008.6</v>
      </c>
      <c r="L43" s="801"/>
      <c r="M43" s="801"/>
      <c r="N43" s="801">
        <f t="shared" si="0"/>
        <v>54008.6</v>
      </c>
    </row>
    <row r="44" spans="1:14" x14ac:dyDescent="0.25">
      <c r="A44" s="483">
        <f t="shared" si="1"/>
        <v>38</v>
      </c>
      <c r="B44" s="802" t="s">
        <v>4135</v>
      </c>
      <c r="C44" s="1065"/>
      <c r="D44" s="850" t="s">
        <v>4132</v>
      </c>
      <c r="E44" s="801"/>
      <c r="F44" s="801"/>
      <c r="G44" s="801"/>
      <c r="H44" s="801"/>
      <c r="I44" s="801"/>
      <c r="J44" s="801"/>
      <c r="K44" s="801">
        <v>271400</v>
      </c>
      <c r="L44" s="801"/>
      <c r="M44" s="801"/>
      <c r="N44" s="801">
        <f t="shared" si="0"/>
        <v>271400</v>
      </c>
    </row>
    <row r="45" spans="1:14" x14ac:dyDescent="0.25">
      <c r="A45" s="483">
        <f t="shared" si="1"/>
        <v>39</v>
      </c>
      <c r="B45" s="802" t="s">
        <v>4135</v>
      </c>
      <c r="C45" s="1065"/>
      <c r="D45" s="850" t="s">
        <v>4132</v>
      </c>
      <c r="E45" s="801"/>
      <c r="F45" s="801"/>
      <c r="G45" s="801"/>
      <c r="H45" s="801"/>
      <c r="I45" s="801"/>
      <c r="J45" s="801"/>
      <c r="K45" s="801">
        <v>227500</v>
      </c>
      <c r="L45" s="801"/>
      <c r="M45" s="801"/>
      <c r="N45" s="801">
        <f t="shared" si="0"/>
        <v>227500</v>
      </c>
    </row>
    <row r="46" spans="1:14" x14ac:dyDescent="0.25">
      <c r="A46" s="483">
        <f t="shared" si="1"/>
        <v>40</v>
      </c>
      <c r="B46" s="803" t="s">
        <v>4194</v>
      </c>
      <c r="C46" s="1065"/>
      <c r="D46" s="850" t="s">
        <v>4132</v>
      </c>
      <c r="E46" s="801"/>
      <c r="F46" s="801"/>
      <c r="G46" s="801"/>
      <c r="H46" s="801"/>
      <c r="I46" s="801"/>
      <c r="J46" s="801"/>
      <c r="K46" s="801">
        <v>1692273.2</v>
      </c>
      <c r="L46" s="801"/>
      <c r="M46" s="801"/>
      <c r="N46" s="801">
        <f t="shared" si="0"/>
        <v>1692273.2</v>
      </c>
    </row>
    <row r="47" spans="1:14" x14ac:dyDescent="0.25">
      <c r="A47" s="483">
        <f t="shared" si="1"/>
        <v>41</v>
      </c>
      <c r="B47" s="802" t="s">
        <v>3725</v>
      </c>
      <c r="C47" s="1065"/>
      <c r="D47" s="850" t="s">
        <v>4132</v>
      </c>
      <c r="E47" s="801"/>
      <c r="F47" s="801"/>
      <c r="G47" s="801"/>
      <c r="H47" s="801"/>
      <c r="I47" s="801"/>
      <c r="J47" s="801"/>
      <c r="K47" s="801">
        <v>137691.84</v>
      </c>
      <c r="L47" s="801"/>
      <c r="M47" s="801"/>
      <c r="N47" s="801">
        <f t="shared" si="0"/>
        <v>137691.84</v>
      </c>
    </row>
    <row r="48" spans="1:14" x14ac:dyDescent="0.25">
      <c r="A48" s="483">
        <f t="shared" si="1"/>
        <v>42</v>
      </c>
      <c r="B48" s="802" t="s">
        <v>4269</v>
      </c>
      <c r="C48" s="1065"/>
      <c r="D48" s="850" t="s">
        <v>4132</v>
      </c>
      <c r="E48" s="801"/>
      <c r="F48" s="801"/>
      <c r="G48" s="801"/>
      <c r="H48" s="801"/>
      <c r="I48" s="801"/>
      <c r="J48" s="801"/>
      <c r="K48" s="801">
        <v>846850</v>
      </c>
      <c r="L48" s="801"/>
      <c r="M48" s="801"/>
      <c r="N48" s="801">
        <f t="shared" si="0"/>
        <v>846850</v>
      </c>
    </row>
    <row r="49" spans="1:14" x14ac:dyDescent="0.25">
      <c r="A49" s="483">
        <f t="shared" si="1"/>
        <v>43</v>
      </c>
      <c r="B49" s="802" t="s">
        <v>4137</v>
      </c>
      <c r="C49" s="1065"/>
      <c r="D49" s="850" t="s">
        <v>4132</v>
      </c>
      <c r="E49" s="801"/>
      <c r="F49" s="801"/>
      <c r="G49" s="801"/>
      <c r="H49" s="801"/>
      <c r="I49" s="801"/>
      <c r="J49" s="801"/>
      <c r="K49" s="801">
        <v>263328.8</v>
      </c>
      <c r="L49" s="801"/>
      <c r="M49" s="801"/>
      <c r="N49" s="801">
        <f t="shared" si="0"/>
        <v>263328.8</v>
      </c>
    </row>
    <row r="50" spans="1:14" x14ac:dyDescent="0.25">
      <c r="A50" s="483">
        <f t="shared" si="1"/>
        <v>44</v>
      </c>
      <c r="B50" s="802" t="s">
        <v>4195</v>
      </c>
      <c r="C50" s="1065"/>
      <c r="D50" s="850" t="s">
        <v>4132</v>
      </c>
      <c r="E50" s="801"/>
      <c r="F50" s="801"/>
      <c r="G50" s="801"/>
      <c r="H50" s="801"/>
      <c r="I50" s="801"/>
      <c r="J50" s="801"/>
      <c r="K50" s="801"/>
      <c r="L50" s="801">
        <v>413000</v>
      </c>
      <c r="M50" s="801"/>
      <c r="N50" s="801">
        <f t="shared" si="0"/>
        <v>413000</v>
      </c>
    </row>
    <row r="51" spans="1:14" x14ac:dyDescent="0.25">
      <c r="A51" s="483">
        <f t="shared" si="1"/>
        <v>45</v>
      </c>
      <c r="B51" s="802" t="s">
        <v>3799</v>
      </c>
      <c r="C51" s="1065"/>
      <c r="D51" s="850" t="s">
        <v>4132</v>
      </c>
      <c r="E51" s="801"/>
      <c r="F51" s="801"/>
      <c r="G51" s="801"/>
      <c r="H51" s="801"/>
      <c r="I51" s="801"/>
      <c r="J51" s="801"/>
      <c r="K51" s="801"/>
      <c r="L51" s="801">
        <v>3500</v>
      </c>
      <c r="M51" s="801"/>
      <c r="N51" s="801">
        <f t="shared" si="0"/>
        <v>3500</v>
      </c>
    </row>
    <row r="52" spans="1:14" x14ac:dyDescent="0.25">
      <c r="A52" s="483">
        <f t="shared" si="1"/>
        <v>46</v>
      </c>
      <c r="B52" s="802" t="s">
        <v>3731</v>
      </c>
      <c r="C52" s="1065"/>
      <c r="D52" s="850" t="s">
        <v>4132</v>
      </c>
      <c r="E52" s="801"/>
      <c r="F52" s="801"/>
      <c r="G52" s="801"/>
      <c r="H52" s="801"/>
      <c r="I52" s="801"/>
      <c r="J52" s="801"/>
      <c r="K52" s="801"/>
      <c r="L52" s="801">
        <v>229450</v>
      </c>
      <c r="M52" s="801"/>
      <c r="N52" s="801">
        <f t="shared" si="0"/>
        <v>229450</v>
      </c>
    </row>
    <row r="53" spans="1:14" x14ac:dyDescent="0.25">
      <c r="A53" s="483">
        <f t="shared" si="1"/>
        <v>47</v>
      </c>
      <c r="B53" s="802" t="s">
        <v>4270</v>
      </c>
      <c r="C53" s="1065"/>
      <c r="D53" s="850" t="s">
        <v>4132</v>
      </c>
      <c r="E53" s="801"/>
      <c r="F53" s="801"/>
      <c r="G53" s="801"/>
      <c r="H53" s="801"/>
      <c r="I53" s="801"/>
      <c r="J53" s="801"/>
      <c r="K53" s="801"/>
      <c r="L53" s="801">
        <v>53025</v>
      </c>
      <c r="M53" s="801"/>
      <c r="N53" s="801">
        <f t="shared" si="0"/>
        <v>53025</v>
      </c>
    </row>
    <row r="54" spans="1:14" x14ac:dyDescent="0.25">
      <c r="A54" s="483">
        <f t="shared" si="1"/>
        <v>48</v>
      </c>
      <c r="B54" s="802" t="s">
        <v>4192</v>
      </c>
      <c r="C54" s="1065"/>
      <c r="D54" s="850" t="s">
        <v>4132</v>
      </c>
      <c r="E54" s="801"/>
      <c r="F54" s="801"/>
      <c r="G54" s="801"/>
      <c r="H54" s="801"/>
      <c r="I54" s="801"/>
      <c r="J54" s="801"/>
      <c r="K54" s="801"/>
      <c r="L54" s="801">
        <v>107989.6</v>
      </c>
      <c r="M54" s="801"/>
      <c r="N54" s="801">
        <f t="shared" si="0"/>
        <v>107989.6</v>
      </c>
    </row>
    <row r="55" spans="1:14" x14ac:dyDescent="0.25">
      <c r="A55" s="483">
        <f t="shared" si="1"/>
        <v>49</v>
      </c>
      <c r="B55" s="802" t="s">
        <v>4196</v>
      </c>
      <c r="C55" s="1065"/>
      <c r="D55" s="850" t="s">
        <v>4132</v>
      </c>
      <c r="E55" s="801"/>
      <c r="F55" s="801"/>
      <c r="G55" s="801"/>
      <c r="H55" s="801"/>
      <c r="I55" s="801"/>
      <c r="J55" s="801"/>
      <c r="K55" s="801"/>
      <c r="L55" s="801">
        <v>29500</v>
      </c>
      <c r="M55" s="801"/>
      <c r="N55" s="801">
        <f t="shared" si="0"/>
        <v>29500</v>
      </c>
    </row>
    <row r="56" spans="1:14" x14ac:dyDescent="0.25">
      <c r="A56" s="483">
        <f t="shared" si="1"/>
        <v>50</v>
      </c>
      <c r="B56" s="802" t="s">
        <v>3733</v>
      </c>
      <c r="C56" s="1065"/>
      <c r="D56" s="850" t="s">
        <v>4132</v>
      </c>
      <c r="E56" s="801"/>
      <c r="F56" s="801"/>
      <c r="G56" s="801"/>
      <c r="H56" s="801"/>
      <c r="I56" s="801"/>
      <c r="J56" s="801"/>
      <c r="K56" s="801"/>
      <c r="L56" s="801">
        <v>216333.29</v>
      </c>
      <c r="M56" s="801"/>
      <c r="N56" s="801">
        <f t="shared" si="0"/>
        <v>216333.29</v>
      </c>
    </row>
    <row r="57" spans="1:14" x14ac:dyDescent="0.25">
      <c r="A57" s="483">
        <f t="shared" si="1"/>
        <v>51</v>
      </c>
      <c r="B57" s="802" t="s">
        <v>4138</v>
      </c>
      <c r="C57" s="1065"/>
      <c r="D57" s="850" t="s">
        <v>4132</v>
      </c>
      <c r="E57" s="801"/>
      <c r="F57" s="801"/>
      <c r="G57" s="801"/>
      <c r="H57" s="801"/>
      <c r="I57" s="801"/>
      <c r="J57" s="801"/>
      <c r="K57" s="801"/>
      <c r="L57" s="801">
        <v>112460</v>
      </c>
      <c r="M57" s="801"/>
      <c r="N57" s="801">
        <f t="shared" si="0"/>
        <v>112460</v>
      </c>
    </row>
    <row r="58" spans="1:14" x14ac:dyDescent="0.25">
      <c r="A58" s="483">
        <f t="shared" si="1"/>
        <v>52</v>
      </c>
      <c r="B58" s="802" t="s">
        <v>4271</v>
      </c>
      <c r="C58" s="1065"/>
      <c r="D58" s="850" t="s">
        <v>4132</v>
      </c>
      <c r="E58" s="801"/>
      <c r="F58" s="801"/>
      <c r="G58" s="801"/>
      <c r="H58" s="801"/>
      <c r="I58" s="801"/>
      <c r="J58" s="801"/>
      <c r="K58" s="801"/>
      <c r="L58" s="801">
        <v>161090</v>
      </c>
      <c r="M58" s="801"/>
      <c r="N58" s="801">
        <f t="shared" si="0"/>
        <v>161090</v>
      </c>
    </row>
    <row r="59" spans="1:14" x14ac:dyDescent="0.25">
      <c r="A59" s="483">
        <f t="shared" si="1"/>
        <v>53</v>
      </c>
      <c r="B59" s="802" t="s">
        <v>4194</v>
      </c>
      <c r="C59" s="1065"/>
      <c r="D59" s="850" t="s">
        <v>4132</v>
      </c>
      <c r="E59" s="801"/>
      <c r="F59" s="801"/>
      <c r="G59" s="801"/>
      <c r="H59" s="801"/>
      <c r="I59" s="801"/>
      <c r="J59" s="801"/>
      <c r="K59" s="801"/>
      <c r="L59" s="801">
        <v>943434.36</v>
      </c>
      <c r="M59" s="801"/>
      <c r="N59" s="801">
        <f t="shared" si="0"/>
        <v>943434.36</v>
      </c>
    </row>
    <row r="60" spans="1:14" x14ac:dyDescent="0.25">
      <c r="A60" s="483">
        <f t="shared" si="1"/>
        <v>54</v>
      </c>
      <c r="B60" s="802" t="s">
        <v>4272</v>
      </c>
      <c r="C60" s="1065"/>
      <c r="D60" s="850" t="s">
        <v>4132</v>
      </c>
      <c r="E60" s="801"/>
      <c r="F60" s="801"/>
      <c r="G60" s="801"/>
      <c r="H60" s="801"/>
      <c r="I60" s="801"/>
      <c r="J60" s="801"/>
      <c r="K60" s="801"/>
      <c r="L60" s="801">
        <v>664800</v>
      </c>
      <c r="M60" s="801"/>
      <c r="N60" s="801">
        <f t="shared" si="0"/>
        <v>664800</v>
      </c>
    </row>
    <row r="61" spans="1:14" x14ac:dyDescent="0.25">
      <c r="A61" s="483">
        <f t="shared" si="1"/>
        <v>55</v>
      </c>
      <c r="B61" s="802" t="s">
        <v>4136</v>
      </c>
      <c r="C61" s="1065"/>
      <c r="D61" s="850" t="s">
        <v>4132</v>
      </c>
      <c r="E61" s="801"/>
      <c r="F61" s="801"/>
      <c r="G61" s="801"/>
      <c r="H61" s="801"/>
      <c r="I61" s="801"/>
      <c r="J61" s="801"/>
      <c r="K61" s="801"/>
      <c r="L61" s="801">
        <v>188564</v>
      </c>
      <c r="M61" s="801"/>
      <c r="N61" s="801">
        <f t="shared" si="0"/>
        <v>188564</v>
      </c>
    </row>
    <row r="62" spans="1:14" x14ac:dyDescent="0.25">
      <c r="A62" s="483">
        <f t="shared" si="1"/>
        <v>56</v>
      </c>
      <c r="B62" s="802" t="s">
        <v>4270</v>
      </c>
      <c r="C62" s="1065"/>
      <c r="D62" s="850" t="s">
        <v>4132</v>
      </c>
      <c r="E62" s="801"/>
      <c r="F62" s="801"/>
      <c r="G62" s="801"/>
      <c r="H62" s="801"/>
      <c r="I62" s="801"/>
      <c r="J62" s="801"/>
      <c r="K62" s="801"/>
      <c r="L62" s="801">
        <v>41825</v>
      </c>
      <c r="M62" s="801"/>
      <c r="N62" s="801">
        <f t="shared" si="0"/>
        <v>41825</v>
      </c>
    </row>
    <row r="63" spans="1:14" x14ac:dyDescent="0.25">
      <c r="A63" s="483">
        <f t="shared" si="1"/>
        <v>57</v>
      </c>
      <c r="B63" s="802" t="s">
        <v>3734</v>
      </c>
      <c r="C63" s="1065"/>
      <c r="D63" s="850" t="s">
        <v>4132</v>
      </c>
      <c r="E63" s="801"/>
      <c r="F63" s="801"/>
      <c r="G63" s="801"/>
      <c r="H63" s="801"/>
      <c r="I63" s="801"/>
      <c r="J63" s="801"/>
      <c r="K63" s="801"/>
      <c r="L63" s="801"/>
      <c r="M63" s="801">
        <v>271400</v>
      </c>
      <c r="N63" s="801">
        <f>SUM(E63:M63)</f>
        <v>271400</v>
      </c>
    </row>
    <row r="64" spans="1:14" x14ac:dyDescent="0.25">
      <c r="A64" s="483">
        <f t="shared" si="1"/>
        <v>58</v>
      </c>
      <c r="B64" s="802" t="s">
        <v>358</v>
      </c>
      <c r="C64" s="1065"/>
      <c r="D64" s="850" t="s">
        <v>4132</v>
      </c>
      <c r="E64" s="801"/>
      <c r="F64" s="801"/>
      <c r="G64" s="801"/>
      <c r="H64" s="801"/>
      <c r="I64" s="801"/>
      <c r="J64" s="801"/>
      <c r="K64" s="801"/>
      <c r="L64" s="801"/>
      <c r="M64" s="801">
        <v>110250</v>
      </c>
      <c r="N64" s="801">
        <f t="shared" ref="N64:N104" si="2">SUM(E64:M64)</f>
        <v>110250</v>
      </c>
    </row>
    <row r="65" spans="1:14" x14ac:dyDescent="0.25">
      <c r="A65" s="483">
        <f t="shared" si="1"/>
        <v>59</v>
      </c>
      <c r="B65" s="802" t="s">
        <v>358</v>
      </c>
      <c r="C65" s="1065"/>
      <c r="D65" s="850" t="s">
        <v>4132</v>
      </c>
      <c r="E65" s="801"/>
      <c r="F65" s="801"/>
      <c r="G65" s="801"/>
      <c r="H65" s="801"/>
      <c r="I65" s="801"/>
      <c r="J65" s="801"/>
      <c r="K65" s="801"/>
      <c r="L65" s="801"/>
      <c r="M65" s="801">
        <v>272500</v>
      </c>
      <c r="N65" s="801">
        <f t="shared" si="2"/>
        <v>272500</v>
      </c>
    </row>
    <row r="66" spans="1:14" x14ac:dyDescent="0.25">
      <c r="A66" s="483">
        <f t="shared" si="1"/>
        <v>60</v>
      </c>
      <c r="B66" s="802" t="s">
        <v>3799</v>
      </c>
      <c r="C66" s="1065"/>
      <c r="D66" s="850" t="s">
        <v>4132</v>
      </c>
      <c r="E66" s="801"/>
      <c r="F66" s="801"/>
      <c r="G66" s="801"/>
      <c r="H66" s="801"/>
      <c r="I66" s="801"/>
      <c r="J66" s="801"/>
      <c r="K66" s="801"/>
      <c r="L66" s="801"/>
      <c r="M66" s="801">
        <v>44763</v>
      </c>
      <c r="N66" s="801">
        <f t="shared" si="2"/>
        <v>44763</v>
      </c>
    </row>
    <row r="67" spans="1:14" x14ac:dyDescent="0.25">
      <c r="A67" s="483">
        <f t="shared" si="1"/>
        <v>61</v>
      </c>
      <c r="B67" s="802" t="s">
        <v>3721</v>
      </c>
      <c r="C67" s="1065"/>
      <c r="D67" s="850" t="s">
        <v>4132</v>
      </c>
      <c r="E67" s="801"/>
      <c r="F67" s="801"/>
      <c r="G67" s="801"/>
      <c r="H67" s="801"/>
      <c r="I67" s="801"/>
      <c r="J67" s="801"/>
      <c r="K67" s="801"/>
      <c r="L67" s="801"/>
      <c r="M67" s="801">
        <v>2400</v>
      </c>
      <c r="N67" s="801">
        <f t="shared" si="2"/>
        <v>2400</v>
      </c>
    </row>
    <row r="68" spans="1:14" x14ac:dyDescent="0.25">
      <c r="A68" s="483">
        <f t="shared" si="1"/>
        <v>62</v>
      </c>
      <c r="B68" s="802" t="s">
        <v>3733</v>
      </c>
      <c r="C68" s="1065"/>
      <c r="D68" s="850" t="s">
        <v>4132</v>
      </c>
      <c r="E68" s="801"/>
      <c r="F68" s="801"/>
      <c r="G68" s="801"/>
      <c r="H68" s="801"/>
      <c r="I68" s="801"/>
      <c r="J68" s="801"/>
      <c r="K68" s="801"/>
      <c r="L68" s="801"/>
      <c r="M68" s="801">
        <v>199851.39</v>
      </c>
      <c r="N68" s="801">
        <f t="shared" si="2"/>
        <v>199851.39</v>
      </c>
    </row>
    <row r="69" spans="1:14" x14ac:dyDescent="0.25">
      <c r="A69" s="483">
        <f t="shared" si="1"/>
        <v>63</v>
      </c>
      <c r="B69" s="802" t="s">
        <v>3733</v>
      </c>
      <c r="C69" s="1065"/>
      <c r="D69" s="850" t="s">
        <v>4132</v>
      </c>
      <c r="E69" s="801"/>
      <c r="F69" s="801"/>
      <c r="G69" s="801"/>
      <c r="H69" s="801"/>
      <c r="I69" s="801"/>
      <c r="J69" s="801"/>
      <c r="K69" s="801"/>
      <c r="L69" s="801"/>
      <c r="M69" s="801">
        <v>71293.48</v>
      </c>
      <c r="N69" s="801">
        <f t="shared" si="2"/>
        <v>71293.48</v>
      </c>
    </row>
    <row r="70" spans="1:14" x14ac:dyDescent="0.25">
      <c r="A70" s="483">
        <f t="shared" si="1"/>
        <v>64</v>
      </c>
      <c r="B70" s="802" t="s">
        <v>4273</v>
      </c>
      <c r="C70" s="1065"/>
      <c r="D70" s="850" t="s">
        <v>4132</v>
      </c>
      <c r="E70" s="801"/>
      <c r="F70" s="801"/>
      <c r="G70" s="801"/>
      <c r="H70" s="801"/>
      <c r="I70" s="801"/>
      <c r="J70" s="801"/>
      <c r="K70" s="801"/>
      <c r="L70" s="801"/>
      <c r="M70" s="801">
        <v>148379.1</v>
      </c>
      <c r="N70" s="801">
        <f t="shared" si="2"/>
        <v>148379.1</v>
      </c>
    </row>
    <row r="71" spans="1:14" x14ac:dyDescent="0.25">
      <c r="A71" s="483">
        <f t="shared" si="1"/>
        <v>65</v>
      </c>
      <c r="B71" s="802" t="s">
        <v>754</v>
      </c>
      <c r="C71" s="1065"/>
      <c r="D71" s="850" t="s">
        <v>4132</v>
      </c>
      <c r="E71" s="801"/>
      <c r="F71" s="801"/>
      <c r="G71" s="801"/>
      <c r="H71" s="801"/>
      <c r="I71" s="801"/>
      <c r="J71" s="801"/>
      <c r="K71" s="801"/>
      <c r="L71" s="801"/>
      <c r="M71" s="801">
        <v>252000</v>
      </c>
      <c r="N71" s="801">
        <f t="shared" si="2"/>
        <v>252000</v>
      </c>
    </row>
    <row r="72" spans="1:14" x14ac:dyDescent="0.25">
      <c r="A72" s="483">
        <f t="shared" si="1"/>
        <v>66</v>
      </c>
      <c r="B72" s="802" t="s">
        <v>4271</v>
      </c>
      <c r="C72" s="1065"/>
      <c r="D72" s="850" t="s">
        <v>4132</v>
      </c>
      <c r="E72" s="801"/>
      <c r="F72" s="801"/>
      <c r="G72" s="801"/>
      <c r="H72" s="801"/>
      <c r="I72" s="801"/>
      <c r="J72" s="801"/>
      <c r="K72" s="801"/>
      <c r="L72" s="801"/>
      <c r="M72" s="801">
        <v>91355</v>
      </c>
      <c r="N72" s="801">
        <f t="shared" si="2"/>
        <v>91355</v>
      </c>
    </row>
    <row r="73" spans="1:14" x14ac:dyDescent="0.25">
      <c r="A73" s="483">
        <f t="shared" ref="A73:A104" si="3">+A72+1</f>
        <v>67</v>
      </c>
      <c r="B73" s="802" t="s">
        <v>3738</v>
      </c>
      <c r="C73" s="1065"/>
      <c r="D73" s="850" t="s">
        <v>4132</v>
      </c>
      <c r="E73" s="801"/>
      <c r="F73" s="801"/>
      <c r="G73" s="801"/>
      <c r="H73" s="801"/>
      <c r="I73" s="801"/>
      <c r="J73" s="801"/>
      <c r="K73" s="801"/>
      <c r="L73" s="801"/>
      <c r="M73" s="801">
        <v>577560</v>
      </c>
      <c r="N73" s="801">
        <f t="shared" si="2"/>
        <v>577560</v>
      </c>
    </row>
    <row r="74" spans="1:14" x14ac:dyDescent="0.25">
      <c r="A74" s="483">
        <f t="shared" si="3"/>
        <v>68</v>
      </c>
      <c r="B74" s="802" t="s">
        <v>3737</v>
      </c>
      <c r="C74" s="1065"/>
      <c r="D74" s="850" t="s">
        <v>4132</v>
      </c>
      <c r="E74" s="801"/>
      <c r="F74" s="801"/>
      <c r="G74" s="801"/>
      <c r="H74" s="801"/>
      <c r="I74" s="801"/>
      <c r="J74" s="801"/>
      <c r="K74" s="801"/>
      <c r="L74" s="801"/>
      <c r="M74" s="801">
        <v>49106.2</v>
      </c>
      <c r="N74" s="801">
        <f t="shared" si="2"/>
        <v>49106.2</v>
      </c>
    </row>
    <row r="75" spans="1:14" x14ac:dyDescent="0.25">
      <c r="A75" s="483">
        <f t="shared" si="3"/>
        <v>69</v>
      </c>
      <c r="B75" s="802" t="s">
        <v>3729</v>
      </c>
      <c r="C75" s="1065"/>
      <c r="D75" s="850" t="s">
        <v>4132</v>
      </c>
      <c r="E75" s="801"/>
      <c r="F75" s="801"/>
      <c r="G75" s="801"/>
      <c r="H75" s="801"/>
      <c r="I75" s="801"/>
      <c r="J75" s="801"/>
      <c r="K75" s="801"/>
      <c r="L75" s="801"/>
      <c r="M75" s="801">
        <v>151659.5</v>
      </c>
      <c r="N75" s="801">
        <f t="shared" si="2"/>
        <v>151659.5</v>
      </c>
    </row>
    <row r="76" spans="1:14" x14ac:dyDescent="0.25">
      <c r="A76" s="483">
        <f t="shared" si="3"/>
        <v>70</v>
      </c>
      <c r="B76" s="802" t="s">
        <v>4274</v>
      </c>
      <c r="C76" s="1065"/>
      <c r="D76" s="850" t="s">
        <v>4132</v>
      </c>
      <c r="E76" s="801"/>
      <c r="F76" s="801"/>
      <c r="G76" s="801"/>
      <c r="H76" s="801"/>
      <c r="I76" s="801"/>
      <c r="J76" s="801"/>
      <c r="K76" s="801"/>
      <c r="L76" s="801"/>
      <c r="M76" s="801">
        <v>199042.4</v>
      </c>
      <c r="N76" s="801">
        <f t="shared" si="2"/>
        <v>199042.4</v>
      </c>
    </row>
    <row r="77" spans="1:14" x14ac:dyDescent="0.25">
      <c r="A77" s="483">
        <f t="shared" si="3"/>
        <v>71</v>
      </c>
      <c r="B77" s="802" t="s">
        <v>4273</v>
      </c>
      <c r="C77" s="1065"/>
      <c r="D77" s="850" t="s">
        <v>4132</v>
      </c>
      <c r="E77" s="801"/>
      <c r="F77" s="801"/>
      <c r="G77" s="801"/>
      <c r="H77" s="801"/>
      <c r="I77" s="801"/>
      <c r="J77" s="801"/>
      <c r="K77" s="801"/>
      <c r="L77" s="801"/>
      <c r="M77" s="801">
        <v>132246.62</v>
      </c>
      <c r="N77" s="801">
        <f t="shared" si="2"/>
        <v>132246.62</v>
      </c>
    </row>
    <row r="78" spans="1:14" x14ac:dyDescent="0.25">
      <c r="A78" s="483">
        <f t="shared" si="3"/>
        <v>72</v>
      </c>
      <c r="B78" s="802" t="s">
        <v>4268</v>
      </c>
      <c r="C78" s="1065"/>
      <c r="D78" s="850" t="s">
        <v>4132</v>
      </c>
      <c r="E78" s="801"/>
      <c r="F78" s="801"/>
      <c r="G78" s="801"/>
      <c r="H78" s="801"/>
      <c r="I78" s="801"/>
      <c r="J78" s="801"/>
      <c r="K78" s="801"/>
      <c r="L78" s="801"/>
      <c r="M78" s="801">
        <v>666086.40000000002</v>
      </c>
      <c r="N78" s="801">
        <f t="shared" si="2"/>
        <v>666086.40000000002</v>
      </c>
    </row>
    <row r="79" spans="1:14" x14ac:dyDescent="0.25">
      <c r="A79" s="483">
        <f t="shared" si="3"/>
        <v>73</v>
      </c>
      <c r="B79" s="802" t="s">
        <v>1585</v>
      </c>
      <c r="C79" s="1065"/>
      <c r="D79" s="850" t="s">
        <v>4132</v>
      </c>
      <c r="E79" s="801"/>
      <c r="F79" s="801"/>
      <c r="G79" s="801"/>
      <c r="H79" s="801"/>
      <c r="I79" s="801"/>
      <c r="J79" s="801"/>
      <c r="K79" s="801"/>
      <c r="L79" s="801"/>
      <c r="M79" s="801">
        <v>130748.55</v>
      </c>
      <c r="N79" s="801">
        <f t="shared" si="2"/>
        <v>130748.55</v>
      </c>
    </row>
    <row r="80" spans="1:14" x14ac:dyDescent="0.25">
      <c r="A80" s="483">
        <f t="shared" si="3"/>
        <v>74</v>
      </c>
      <c r="B80" s="802" t="s">
        <v>3719</v>
      </c>
      <c r="C80" s="1065"/>
      <c r="D80" s="850" t="s">
        <v>4132</v>
      </c>
      <c r="E80" s="801"/>
      <c r="F80" s="801"/>
      <c r="G80" s="801"/>
      <c r="H80" s="801"/>
      <c r="I80" s="801"/>
      <c r="J80" s="801"/>
      <c r="K80" s="801"/>
      <c r="L80" s="801"/>
      <c r="M80" s="801">
        <v>219375</v>
      </c>
      <c r="N80" s="801">
        <f t="shared" si="2"/>
        <v>219375</v>
      </c>
    </row>
    <row r="81" spans="1:14" x14ac:dyDescent="0.25">
      <c r="A81" s="483">
        <f t="shared" si="3"/>
        <v>75</v>
      </c>
      <c r="B81" s="802" t="s">
        <v>4275</v>
      </c>
      <c r="C81" s="1065"/>
      <c r="D81" s="850" t="s">
        <v>4132</v>
      </c>
      <c r="E81" s="801"/>
      <c r="F81" s="801"/>
      <c r="G81" s="801"/>
      <c r="H81" s="801"/>
      <c r="I81" s="801"/>
      <c r="J81" s="801"/>
      <c r="K81" s="801"/>
      <c r="L81" s="801"/>
      <c r="M81" s="801">
        <v>205148</v>
      </c>
      <c r="N81" s="801">
        <f t="shared" si="2"/>
        <v>205148</v>
      </c>
    </row>
    <row r="82" spans="1:14" x14ac:dyDescent="0.25">
      <c r="A82" s="483">
        <f t="shared" si="3"/>
        <v>76</v>
      </c>
      <c r="B82" s="802" t="s">
        <v>3736</v>
      </c>
      <c r="C82" s="1065"/>
      <c r="D82" s="850" t="s">
        <v>4132</v>
      </c>
      <c r="E82" s="801"/>
      <c r="F82" s="801"/>
      <c r="G82" s="801"/>
      <c r="H82" s="801"/>
      <c r="I82" s="801"/>
      <c r="J82" s="801"/>
      <c r="K82" s="801"/>
      <c r="L82" s="801"/>
      <c r="M82" s="801">
        <v>179360</v>
      </c>
      <c r="N82" s="801">
        <f t="shared" si="2"/>
        <v>179360</v>
      </c>
    </row>
    <row r="83" spans="1:14" x14ac:dyDescent="0.25">
      <c r="A83" s="483">
        <f t="shared" si="3"/>
        <v>77</v>
      </c>
      <c r="B83" s="802" t="s">
        <v>4192</v>
      </c>
      <c r="C83" s="1065"/>
      <c r="D83" s="850" t="s">
        <v>4132</v>
      </c>
      <c r="E83" s="801"/>
      <c r="F83" s="801"/>
      <c r="G83" s="801"/>
      <c r="H83" s="801"/>
      <c r="I83" s="801"/>
      <c r="J83" s="801"/>
      <c r="K83" s="801"/>
      <c r="L83" s="801"/>
      <c r="M83" s="801">
        <v>90528</v>
      </c>
      <c r="N83" s="801">
        <f t="shared" si="2"/>
        <v>90528</v>
      </c>
    </row>
    <row r="84" spans="1:14" x14ac:dyDescent="0.25">
      <c r="A84" s="483">
        <f t="shared" si="3"/>
        <v>78</v>
      </c>
      <c r="B84" s="802" t="s">
        <v>4276</v>
      </c>
      <c r="C84" s="1065"/>
      <c r="D84" s="850" t="s">
        <v>4132</v>
      </c>
      <c r="E84" s="801"/>
      <c r="F84" s="801"/>
      <c r="G84" s="801"/>
      <c r="H84" s="801"/>
      <c r="I84" s="801"/>
      <c r="J84" s="801"/>
      <c r="K84" s="801"/>
      <c r="L84" s="801"/>
      <c r="M84" s="801">
        <v>270102</v>
      </c>
      <c r="N84" s="801">
        <f t="shared" si="2"/>
        <v>270102</v>
      </c>
    </row>
    <row r="85" spans="1:14" x14ac:dyDescent="0.25">
      <c r="A85" s="483">
        <f t="shared" si="3"/>
        <v>79</v>
      </c>
      <c r="B85" s="803" t="s">
        <v>4276</v>
      </c>
      <c r="C85" s="1065"/>
      <c r="D85" s="850" t="s">
        <v>4132</v>
      </c>
      <c r="E85" s="801"/>
      <c r="F85" s="801"/>
      <c r="G85" s="801"/>
      <c r="H85" s="801"/>
      <c r="I85" s="801"/>
      <c r="J85" s="801"/>
      <c r="K85" s="801"/>
      <c r="L85" s="801"/>
      <c r="M85" s="801">
        <v>270102</v>
      </c>
      <c r="N85" s="801">
        <f t="shared" si="2"/>
        <v>270102</v>
      </c>
    </row>
    <row r="86" spans="1:14" x14ac:dyDescent="0.25">
      <c r="A86" s="483">
        <f t="shared" si="3"/>
        <v>80</v>
      </c>
      <c r="B86" s="802" t="s">
        <v>4193</v>
      </c>
      <c r="C86" s="1065"/>
      <c r="D86" s="850" t="s">
        <v>4132</v>
      </c>
      <c r="E86" s="801"/>
      <c r="F86" s="801"/>
      <c r="G86" s="801"/>
      <c r="H86" s="801"/>
      <c r="I86" s="801"/>
      <c r="J86" s="801"/>
      <c r="K86" s="801"/>
      <c r="L86" s="801"/>
      <c r="M86" s="801">
        <v>177000</v>
      </c>
      <c r="N86" s="801">
        <f t="shared" si="2"/>
        <v>177000</v>
      </c>
    </row>
    <row r="87" spans="1:14" x14ac:dyDescent="0.25">
      <c r="A87" s="483">
        <f t="shared" si="3"/>
        <v>81</v>
      </c>
      <c r="B87" s="802" t="s">
        <v>4269</v>
      </c>
      <c r="C87" s="1065"/>
      <c r="D87" s="850" t="s">
        <v>4132</v>
      </c>
      <c r="E87" s="801"/>
      <c r="F87" s="801"/>
      <c r="G87" s="801"/>
      <c r="H87" s="801"/>
      <c r="I87" s="801"/>
      <c r="J87" s="801"/>
      <c r="K87" s="801"/>
      <c r="L87" s="801"/>
      <c r="M87" s="801">
        <v>1590510.2</v>
      </c>
      <c r="N87" s="801">
        <f t="shared" si="2"/>
        <v>1590510.2</v>
      </c>
    </row>
    <row r="88" spans="1:14" x14ac:dyDescent="0.25">
      <c r="A88" s="483">
        <f t="shared" si="3"/>
        <v>82</v>
      </c>
      <c r="B88" s="802" t="s">
        <v>358</v>
      </c>
      <c r="C88" s="1065"/>
      <c r="D88" s="850" t="s">
        <v>4132</v>
      </c>
      <c r="E88" s="801"/>
      <c r="F88" s="801"/>
      <c r="G88" s="801"/>
      <c r="H88" s="801"/>
      <c r="I88" s="801"/>
      <c r="J88" s="801"/>
      <c r="K88" s="801"/>
      <c r="L88" s="801"/>
      <c r="M88" s="801">
        <v>210000</v>
      </c>
      <c r="N88" s="801">
        <f t="shared" si="2"/>
        <v>210000</v>
      </c>
    </row>
    <row r="89" spans="1:14" x14ac:dyDescent="0.25">
      <c r="A89" s="483">
        <f t="shared" si="3"/>
        <v>83</v>
      </c>
      <c r="B89" s="800" t="s">
        <v>4277</v>
      </c>
      <c r="C89" s="1065"/>
      <c r="D89" s="850" t="s">
        <v>4132</v>
      </c>
      <c r="E89" s="801"/>
      <c r="F89" s="801"/>
      <c r="G89" s="801"/>
      <c r="H89" s="801"/>
      <c r="I89" s="801"/>
      <c r="J89" s="801"/>
      <c r="K89" s="801"/>
      <c r="L89" s="801"/>
      <c r="M89" s="801">
        <v>65468.29</v>
      </c>
      <c r="N89" s="801">
        <f t="shared" si="2"/>
        <v>65468.29</v>
      </c>
    </row>
    <row r="90" spans="1:14" x14ac:dyDescent="0.25">
      <c r="A90" s="483">
        <f t="shared" si="3"/>
        <v>84</v>
      </c>
      <c r="B90" s="802" t="s">
        <v>3729</v>
      </c>
      <c r="C90" s="1065"/>
      <c r="D90" s="850" t="s">
        <v>4132</v>
      </c>
      <c r="E90" s="801"/>
      <c r="F90" s="801"/>
      <c r="G90" s="801"/>
      <c r="H90" s="801"/>
      <c r="I90" s="801"/>
      <c r="J90" s="801"/>
      <c r="K90" s="801"/>
      <c r="L90" s="801"/>
      <c r="M90" s="801">
        <v>171592.71</v>
      </c>
      <c r="N90" s="801">
        <f t="shared" si="2"/>
        <v>171592.71</v>
      </c>
    </row>
    <row r="91" spans="1:14" x14ac:dyDescent="0.25">
      <c r="A91" s="483">
        <f t="shared" si="3"/>
        <v>85</v>
      </c>
      <c r="B91" s="802" t="s">
        <v>3733</v>
      </c>
      <c r="C91" s="1065"/>
      <c r="D91" s="850" t="s">
        <v>4132</v>
      </c>
      <c r="E91" s="801"/>
      <c r="F91" s="801"/>
      <c r="G91" s="801"/>
      <c r="H91" s="801"/>
      <c r="I91" s="801"/>
      <c r="J91" s="801"/>
      <c r="K91" s="801"/>
      <c r="L91" s="801"/>
      <c r="M91" s="801">
        <v>148119.29</v>
      </c>
      <c r="N91" s="801">
        <f t="shared" si="2"/>
        <v>148119.29</v>
      </c>
    </row>
    <row r="92" spans="1:14" x14ac:dyDescent="0.25">
      <c r="A92" s="483">
        <f t="shared" si="3"/>
        <v>86</v>
      </c>
      <c r="B92" s="802" t="s">
        <v>4278</v>
      </c>
      <c r="C92" s="1065"/>
      <c r="D92" s="850" t="s">
        <v>4132</v>
      </c>
      <c r="E92" s="801"/>
      <c r="F92" s="801"/>
      <c r="G92" s="801"/>
      <c r="H92" s="801"/>
      <c r="I92" s="801"/>
      <c r="J92" s="850"/>
      <c r="K92" s="801"/>
      <c r="L92" s="801"/>
      <c r="M92" s="801">
        <v>621205.1</v>
      </c>
      <c r="N92" s="801">
        <f t="shared" si="2"/>
        <v>621205.1</v>
      </c>
    </row>
    <row r="93" spans="1:14" x14ac:dyDescent="0.25">
      <c r="A93" s="483">
        <f t="shared" si="3"/>
        <v>87</v>
      </c>
      <c r="B93" s="802" t="s">
        <v>3735</v>
      </c>
      <c r="C93" s="1065"/>
      <c r="D93" s="850" t="s">
        <v>4132</v>
      </c>
      <c r="E93" s="801"/>
      <c r="F93" s="801"/>
      <c r="G93" s="801"/>
      <c r="H93" s="801"/>
      <c r="I93" s="801"/>
      <c r="J93" s="850"/>
      <c r="K93" s="801"/>
      <c r="L93" s="801"/>
      <c r="M93" s="801">
        <v>271282</v>
      </c>
      <c r="N93" s="801">
        <f t="shared" si="2"/>
        <v>271282</v>
      </c>
    </row>
    <row r="94" spans="1:14" x14ac:dyDescent="0.25">
      <c r="A94" s="483">
        <f t="shared" si="3"/>
        <v>88</v>
      </c>
      <c r="B94" s="802" t="s">
        <v>3726</v>
      </c>
      <c r="C94" s="1065"/>
      <c r="D94" s="850" t="s">
        <v>4132</v>
      </c>
      <c r="E94" s="801"/>
      <c r="F94" s="801"/>
      <c r="G94" s="801"/>
      <c r="H94" s="801"/>
      <c r="I94" s="801"/>
      <c r="J94" s="850"/>
      <c r="K94" s="801"/>
      <c r="L94" s="801"/>
      <c r="M94" s="801">
        <v>216441.60000000001</v>
      </c>
      <c r="N94" s="801">
        <f t="shared" si="2"/>
        <v>216441.60000000001</v>
      </c>
    </row>
    <row r="95" spans="1:14" x14ac:dyDescent="0.25">
      <c r="A95" s="483">
        <f t="shared" si="3"/>
        <v>89</v>
      </c>
      <c r="B95" s="802" t="s">
        <v>4138</v>
      </c>
      <c r="C95" s="1065"/>
      <c r="D95" s="850" t="s">
        <v>4132</v>
      </c>
      <c r="E95" s="801"/>
      <c r="F95" s="801"/>
      <c r="G95" s="801"/>
      <c r="H95" s="801"/>
      <c r="I95" s="801"/>
      <c r="J95" s="850"/>
      <c r="K95" s="801"/>
      <c r="L95" s="801"/>
      <c r="M95" s="801">
        <v>259101.2</v>
      </c>
      <c r="N95" s="801">
        <f t="shared" si="2"/>
        <v>259101.2</v>
      </c>
    </row>
    <row r="96" spans="1:14" x14ac:dyDescent="0.25">
      <c r="A96" s="483">
        <f t="shared" si="3"/>
        <v>90</v>
      </c>
      <c r="B96" s="805" t="s">
        <v>4279</v>
      </c>
      <c r="C96" s="1065"/>
      <c r="D96" s="850" t="s">
        <v>4132</v>
      </c>
      <c r="E96" s="801"/>
      <c r="F96" s="801"/>
      <c r="G96" s="801"/>
      <c r="H96" s="801"/>
      <c r="I96" s="801"/>
      <c r="J96" s="850"/>
      <c r="K96" s="801"/>
      <c r="L96" s="801"/>
      <c r="M96" s="801">
        <v>91596.9</v>
      </c>
      <c r="N96" s="801">
        <f t="shared" si="2"/>
        <v>91596.9</v>
      </c>
    </row>
    <row r="97" spans="1:14" x14ac:dyDescent="0.25">
      <c r="A97" s="483">
        <f t="shared" si="3"/>
        <v>91</v>
      </c>
      <c r="B97" s="802" t="s">
        <v>447</v>
      </c>
      <c r="C97" s="1065"/>
      <c r="D97" s="850" t="s">
        <v>4132</v>
      </c>
      <c r="E97" s="801"/>
      <c r="F97" s="801"/>
      <c r="G97" s="801"/>
      <c r="H97" s="801"/>
      <c r="I97" s="801"/>
      <c r="J97" s="850"/>
      <c r="K97" s="801"/>
      <c r="L97" s="801"/>
      <c r="M97" s="801">
        <v>152500</v>
      </c>
      <c r="N97" s="801">
        <f t="shared" si="2"/>
        <v>152500</v>
      </c>
    </row>
    <row r="98" spans="1:14" x14ac:dyDescent="0.25">
      <c r="A98" s="483">
        <f t="shared" si="3"/>
        <v>92</v>
      </c>
      <c r="B98" s="806" t="s">
        <v>3733</v>
      </c>
      <c r="C98" s="1065"/>
      <c r="D98" s="850" t="s">
        <v>4132</v>
      </c>
      <c r="E98" s="801"/>
      <c r="F98" s="801"/>
      <c r="G98" s="801"/>
      <c r="H98" s="801"/>
      <c r="I98" s="801"/>
      <c r="J98" s="850"/>
      <c r="K98" s="801"/>
      <c r="L98" s="801"/>
      <c r="M98" s="801">
        <v>135485.59</v>
      </c>
      <c r="N98" s="801">
        <f t="shared" si="2"/>
        <v>135485.59</v>
      </c>
    </row>
    <row r="99" spans="1:14" x14ac:dyDescent="0.25">
      <c r="A99" s="483">
        <f t="shared" si="3"/>
        <v>93</v>
      </c>
      <c r="B99" s="802" t="s">
        <v>3725</v>
      </c>
      <c r="C99" s="1065"/>
      <c r="D99" s="850" t="s">
        <v>4132</v>
      </c>
      <c r="E99" s="801"/>
      <c r="F99" s="801"/>
      <c r="G99" s="801"/>
      <c r="H99" s="801"/>
      <c r="I99" s="801"/>
      <c r="J99" s="850"/>
      <c r="K99" s="801"/>
      <c r="L99" s="801"/>
      <c r="M99" s="801">
        <v>239687.5</v>
      </c>
      <c r="N99" s="801">
        <f t="shared" si="2"/>
        <v>239687.5</v>
      </c>
    </row>
    <row r="100" spans="1:14" x14ac:dyDescent="0.25">
      <c r="A100" s="483">
        <f t="shared" si="3"/>
        <v>94</v>
      </c>
      <c r="B100" s="802" t="s">
        <v>4280</v>
      </c>
      <c r="C100" s="1065"/>
      <c r="D100" s="850" t="s">
        <v>4132</v>
      </c>
      <c r="E100" s="801"/>
      <c r="F100" s="801"/>
      <c r="G100" s="801"/>
      <c r="H100" s="801"/>
      <c r="I100" s="801"/>
      <c r="J100" s="850"/>
      <c r="K100" s="801"/>
      <c r="L100" s="801"/>
      <c r="M100" s="801">
        <v>247030.86</v>
      </c>
      <c r="N100" s="801">
        <f t="shared" si="2"/>
        <v>247030.86</v>
      </c>
    </row>
    <row r="101" spans="1:14" x14ac:dyDescent="0.25">
      <c r="A101" s="483">
        <f t="shared" si="3"/>
        <v>95</v>
      </c>
      <c r="B101" s="802" t="s">
        <v>4281</v>
      </c>
      <c r="C101" s="1065"/>
      <c r="D101" s="850" t="s">
        <v>4132</v>
      </c>
      <c r="E101" s="801"/>
      <c r="F101" s="801"/>
      <c r="G101" s="801"/>
      <c r="H101" s="801"/>
      <c r="I101" s="801"/>
      <c r="J101" s="850"/>
      <c r="K101" s="801"/>
      <c r="L101" s="801"/>
      <c r="M101" s="801">
        <v>698555.7</v>
      </c>
      <c r="N101" s="801">
        <f t="shared" si="2"/>
        <v>698555.7</v>
      </c>
    </row>
    <row r="102" spans="1:14" x14ac:dyDescent="0.25">
      <c r="A102" s="483">
        <f t="shared" si="3"/>
        <v>96</v>
      </c>
      <c r="B102" s="802" t="s">
        <v>4282</v>
      </c>
      <c r="C102" s="1065"/>
      <c r="D102" s="850" t="s">
        <v>4132</v>
      </c>
      <c r="E102" s="801"/>
      <c r="F102" s="801"/>
      <c r="G102" s="801"/>
      <c r="H102" s="801"/>
      <c r="I102" s="801"/>
      <c r="J102" s="850"/>
      <c r="K102" s="801"/>
      <c r="L102" s="801"/>
      <c r="M102" s="801">
        <v>24000</v>
      </c>
      <c r="N102" s="801">
        <f t="shared" si="2"/>
        <v>24000</v>
      </c>
    </row>
    <row r="103" spans="1:14" x14ac:dyDescent="0.25">
      <c r="A103" s="483">
        <f t="shared" si="3"/>
        <v>97</v>
      </c>
      <c r="B103" s="802" t="s">
        <v>4139</v>
      </c>
      <c r="C103" s="1065"/>
      <c r="D103" s="850" t="s">
        <v>4132</v>
      </c>
      <c r="E103" s="801"/>
      <c r="F103" s="801"/>
      <c r="G103" s="801"/>
      <c r="H103" s="801"/>
      <c r="I103" s="801"/>
      <c r="J103" s="850"/>
      <c r="K103" s="801"/>
      <c r="L103" s="801"/>
      <c r="M103" s="801">
        <v>247068.4</v>
      </c>
      <c r="N103" s="801">
        <f t="shared" si="2"/>
        <v>247068.4</v>
      </c>
    </row>
    <row r="104" spans="1:14" x14ac:dyDescent="0.25">
      <c r="A104" s="483">
        <f t="shared" si="3"/>
        <v>98</v>
      </c>
      <c r="B104" s="802" t="s">
        <v>3721</v>
      </c>
      <c r="C104" s="1065"/>
      <c r="D104" s="850" t="s">
        <v>4132</v>
      </c>
      <c r="E104" s="801"/>
      <c r="F104" s="801"/>
      <c r="G104" s="801"/>
      <c r="H104" s="801"/>
      <c r="I104" s="801"/>
      <c r="J104" s="850"/>
      <c r="K104" s="801"/>
      <c r="L104" s="801"/>
      <c r="M104" s="801">
        <v>2400</v>
      </c>
      <c r="N104" s="801">
        <f t="shared" si="2"/>
        <v>2400</v>
      </c>
    </row>
    <row r="105" spans="1:14" x14ac:dyDescent="0.25">
      <c r="A105" s="955" t="s">
        <v>4140</v>
      </c>
      <c r="B105" s="956"/>
      <c r="C105" s="956"/>
      <c r="D105" s="956"/>
      <c r="E105" s="807">
        <f>SUM(E7:E104)</f>
        <v>0</v>
      </c>
      <c r="F105" s="807"/>
      <c r="G105" s="807">
        <f t="shared" ref="G105:N105" si="4">SUM(G7:G104)</f>
        <v>0</v>
      </c>
      <c r="H105" s="807">
        <f t="shared" si="4"/>
        <v>1600554.9100000001</v>
      </c>
      <c r="I105" s="807">
        <f t="shared" si="4"/>
        <v>2980028.76</v>
      </c>
      <c r="J105" s="807">
        <f t="shared" si="4"/>
        <v>20060</v>
      </c>
      <c r="K105" s="807">
        <f t="shared" si="4"/>
        <v>3493052.4399999995</v>
      </c>
      <c r="L105" s="807">
        <f t="shared" si="4"/>
        <v>3164971.25</v>
      </c>
      <c r="M105" s="807">
        <f t="shared" si="4"/>
        <v>10174301.979999999</v>
      </c>
      <c r="N105" s="808">
        <f t="shared" si="4"/>
        <v>21432969.339999996</v>
      </c>
    </row>
    <row r="118" ht="18.75" customHeight="1" x14ac:dyDescent="0.25"/>
    <row r="127" ht="18.75" customHeight="1" x14ac:dyDescent="0.25"/>
  </sheetData>
  <mergeCells count="4">
    <mergeCell ref="A1:N1"/>
    <mergeCell ref="A2:N2"/>
    <mergeCell ref="A3:N3"/>
    <mergeCell ref="A105:D105"/>
  </mergeCells>
  <conditionalFormatting sqref="F8:F300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{6E148974-2B78-4EDC-A511-D306E2A409CF}</x14:id>
        </ext>
      </extLst>
    </cfRule>
  </conditionalFormatting>
  <printOptions headings="1"/>
  <pageMargins left="0.70866141732283472" right="0.70866141732283472" top="0.74803149606299213" bottom="0.74803149606299213" header="0.31496062992125984" footer="0.31496062992125984"/>
  <pageSetup scale="38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E148974-2B78-4EDC-A511-D306E2A409C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F8:F300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1"/>
  <sheetViews>
    <sheetView topLeftCell="A19" workbookViewId="0">
      <selection sqref="A1:J501"/>
    </sheetView>
  </sheetViews>
  <sheetFormatPr baseColWidth="10" defaultRowHeight="15" x14ac:dyDescent="0.25"/>
  <cols>
    <col min="7" max="7" width="13.28515625" bestFit="1" customWidth="1"/>
    <col min="9" max="9" width="13.28515625" bestFit="1" customWidth="1"/>
    <col min="10" max="10" width="5.5703125" bestFit="1" customWidth="1"/>
  </cols>
  <sheetData>
    <row r="1" spans="1:10" x14ac:dyDescent="0.25">
      <c r="A1" s="690" t="s">
        <v>3808</v>
      </c>
      <c r="B1" s="691"/>
      <c r="C1" s="691"/>
      <c r="D1" s="691"/>
      <c r="E1" s="691"/>
      <c r="F1" s="691"/>
      <c r="G1" s="691"/>
      <c r="H1" s="691"/>
      <c r="I1" s="692"/>
      <c r="J1" s="693"/>
    </row>
    <row r="2" spans="1:10" ht="23.25" x14ac:dyDescent="0.35">
      <c r="A2" s="983"/>
      <c r="B2" s="984"/>
      <c r="C2" s="984"/>
      <c r="D2" s="984"/>
      <c r="E2" s="984"/>
      <c r="F2" s="984"/>
      <c r="G2" s="984"/>
      <c r="H2" s="984"/>
      <c r="I2" s="695"/>
      <c r="J2" s="696"/>
    </row>
    <row r="3" spans="1:10" ht="26.25" x14ac:dyDescent="0.4">
      <c r="A3" s="985" t="s">
        <v>455</v>
      </c>
      <c r="B3" s="986"/>
      <c r="C3" s="986"/>
      <c r="D3" s="986"/>
      <c r="E3" s="986"/>
      <c r="F3" s="986"/>
      <c r="G3" s="986"/>
      <c r="H3" s="986"/>
      <c r="I3" s="986"/>
      <c r="J3" s="987"/>
    </row>
    <row r="4" spans="1:10" ht="18.75" x14ac:dyDescent="0.3">
      <c r="A4" s="1067" t="s">
        <v>3809</v>
      </c>
      <c r="B4" s="1068"/>
      <c r="C4" s="1068"/>
      <c r="D4" s="1068"/>
      <c r="E4" s="1068"/>
      <c r="F4" s="1068"/>
      <c r="G4" s="1068"/>
      <c r="H4" s="1068"/>
      <c r="I4" s="1068"/>
      <c r="J4" s="1069"/>
    </row>
    <row r="5" spans="1:10" x14ac:dyDescent="0.25">
      <c r="A5" s="991" t="s">
        <v>3810</v>
      </c>
      <c r="B5" s="992"/>
      <c r="C5" s="992"/>
      <c r="D5" s="992"/>
      <c r="E5" s="992"/>
      <c r="F5" s="992"/>
      <c r="G5" s="992"/>
      <c r="H5" s="992"/>
      <c r="I5" s="992"/>
      <c r="J5" s="993"/>
    </row>
    <row r="6" spans="1:10" ht="15.75" x14ac:dyDescent="0.25">
      <c r="A6" s="994" t="s">
        <v>989</v>
      </c>
      <c r="B6" s="995"/>
      <c r="C6" s="995"/>
      <c r="D6" s="995"/>
      <c r="E6" s="995"/>
      <c r="F6" s="995"/>
      <c r="G6" s="995"/>
      <c r="H6" s="995"/>
      <c r="I6" s="995"/>
      <c r="J6" s="996"/>
    </row>
    <row r="7" spans="1:10" ht="15.75" x14ac:dyDescent="0.25">
      <c r="A7" s="980" t="s">
        <v>4300</v>
      </c>
      <c r="B7" s="981"/>
      <c r="C7" s="981"/>
      <c r="D7" s="981"/>
      <c r="E7" s="981"/>
      <c r="F7" s="981"/>
      <c r="G7" s="981"/>
      <c r="H7" s="981"/>
      <c r="I7" s="981"/>
      <c r="J7" s="982"/>
    </row>
    <row r="8" spans="1:10" ht="15.75" x14ac:dyDescent="0.25">
      <c r="A8" s="697"/>
      <c r="B8" s="698"/>
      <c r="C8" s="698" t="s">
        <v>3811</v>
      </c>
      <c r="D8" s="698"/>
      <c r="E8" s="698"/>
      <c r="F8" s="698"/>
      <c r="G8" s="698"/>
      <c r="H8" s="698"/>
      <c r="I8" s="698"/>
      <c r="J8" s="699"/>
    </row>
    <row r="9" spans="1:10" ht="15.75" x14ac:dyDescent="0.25">
      <c r="A9" s="700"/>
      <c r="B9" s="701"/>
      <c r="C9" s="701"/>
      <c r="D9" s="701"/>
      <c r="E9" s="702" t="s">
        <v>3812</v>
      </c>
      <c r="F9" s="703"/>
      <c r="G9" s="704"/>
      <c r="H9" s="704"/>
      <c r="I9" s="704"/>
      <c r="J9" s="705"/>
    </row>
    <row r="10" spans="1:10" ht="15.75" x14ac:dyDescent="0.25">
      <c r="A10" s="700"/>
      <c r="B10" s="701"/>
      <c r="C10" s="701"/>
      <c r="D10" s="701"/>
      <c r="E10" s="706" t="s">
        <v>3813</v>
      </c>
      <c r="F10" s="703"/>
      <c r="G10" s="707"/>
      <c r="H10" s="708" t="s">
        <v>3814</v>
      </c>
      <c r="I10" s="707"/>
      <c r="J10" s="705"/>
    </row>
    <row r="11" spans="1:10" ht="15.75" x14ac:dyDescent="0.25">
      <c r="A11" s="700"/>
      <c r="B11" s="701"/>
      <c r="C11" s="701"/>
      <c r="D11" s="701"/>
      <c r="E11" s="706" t="s">
        <v>3816</v>
      </c>
      <c r="F11" s="703"/>
      <c r="G11" s="707"/>
      <c r="H11" s="710"/>
      <c r="I11" s="711"/>
      <c r="J11" s="705"/>
    </row>
    <row r="12" spans="1:10" ht="15.75" x14ac:dyDescent="0.25">
      <c r="A12" s="700"/>
      <c r="B12" s="701"/>
      <c r="C12" s="701"/>
      <c r="D12" s="701"/>
      <c r="E12" s="706" t="s">
        <v>3817</v>
      </c>
      <c r="F12" s="703"/>
      <c r="G12" s="712">
        <v>4614.79</v>
      </c>
      <c r="H12" s="713"/>
      <c r="I12" s="711"/>
      <c r="J12" s="705"/>
    </row>
    <row r="13" spans="1:10" ht="15.75" x14ac:dyDescent="0.25">
      <c r="A13" s="700"/>
      <c r="B13" s="701"/>
      <c r="C13" s="701"/>
      <c r="D13" s="701"/>
      <c r="E13" s="714" t="s">
        <v>3818</v>
      </c>
      <c r="F13" s="703"/>
      <c r="G13" s="711"/>
      <c r="H13" s="711"/>
      <c r="I13" s="711"/>
      <c r="J13" s="705"/>
    </row>
    <row r="14" spans="1:10" ht="15.75" x14ac:dyDescent="0.25">
      <c r="A14" s="700"/>
      <c r="B14" s="701"/>
      <c r="C14" s="701"/>
      <c r="D14" s="701"/>
      <c r="E14" s="706" t="s">
        <v>3813</v>
      </c>
      <c r="F14" s="703"/>
      <c r="G14" s="707"/>
      <c r="H14" s="708" t="s">
        <v>3814</v>
      </c>
      <c r="I14" s="707">
        <f>+'[12]INGR SEGUN ORIGEN'!E39</f>
        <v>214750</v>
      </c>
      <c r="J14" s="1070"/>
    </row>
    <row r="15" spans="1:10" ht="15.75" x14ac:dyDescent="0.25">
      <c r="A15" s="700"/>
      <c r="B15" s="701"/>
      <c r="C15" s="701"/>
      <c r="D15" s="701"/>
      <c r="E15" s="706" t="s">
        <v>3816</v>
      </c>
      <c r="F15" s="703"/>
      <c r="G15" s="712">
        <f>+'[12]INGR SEGUN ORIGEN'!E12</f>
        <v>100779301.08</v>
      </c>
      <c r="H15" s="713" t="s">
        <v>3822</v>
      </c>
      <c r="I15" s="707">
        <v>0</v>
      </c>
      <c r="J15" s="1070"/>
    </row>
    <row r="16" spans="1:10" ht="15.75" x14ac:dyDescent="0.25">
      <c r="A16" s="700"/>
      <c r="B16" s="701"/>
      <c r="C16" s="701"/>
      <c r="D16" s="701"/>
      <c r="E16" s="706" t="s">
        <v>3817</v>
      </c>
      <c r="F16" s="703"/>
      <c r="G16" s="712">
        <f>+'[12]INGR SEGUN ORIGEN'!E32</f>
        <v>6892064.790000001</v>
      </c>
      <c r="H16" s="713"/>
      <c r="I16" s="711"/>
      <c r="J16" s="705"/>
    </row>
    <row r="17" spans="1:10" ht="15.75" x14ac:dyDescent="0.25">
      <c r="A17" s="700"/>
      <c r="B17" s="701"/>
      <c r="C17" s="701"/>
      <c r="D17" s="701"/>
      <c r="E17" s="706"/>
      <c r="F17" s="703"/>
      <c r="G17" s="717"/>
      <c r="H17" s="718" t="s">
        <v>3823</v>
      </c>
      <c r="I17" s="707">
        <f>+G10+G11+G12+I10+G14+G15+G16+I14+I15</f>
        <v>107890730.66000001</v>
      </c>
      <c r="J17" s="705"/>
    </row>
    <row r="18" spans="1:10" ht="15.75" x14ac:dyDescent="0.25">
      <c r="A18" s="700"/>
      <c r="B18" s="701"/>
      <c r="C18" s="701"/>
      <c r="D18" s="701"/>
      <c r="E18" s="720"/>
      <c r="F18" s="721"/>
      <c r="G18" s="722"/>
      <c r="H18" s="722"/>
      <c r="I18" s="703"/>
      <c r="J18" s="705"/>
    </row>
    <row r="19" spans="1:10" ht="15.75" x14ac:dyDescent="0.25">
      <c r="A19" s="723"/>
      <c r="B19" s="724"/>
      <c r="C19" s="725"/>
      <c r="D19" s="724"/>
      <c r="E19" s="726"/>
      <c r="F19" s="727"/>
      <c r="G19" s="727"/>
      <c r="H19" s="727"/>
      <c r="I19" s="728"/>
      <c r="J19" s="729"/>
    </row>
    <row r="20" spans="1:10" x14ac:dyDescent="0.25">
      <c r="A20" s="730"/>
      <c r="B20" s="703"/>
      <c r="C20" s="703"/>
      <c r="D20" s="703"/>
      <c r="E20" s="703"/>
      <c r="F20" s="703"/>
      <c r="G20" s="703"/>
      <c r="H20" s="703"/>
      <c r="I20" s="703"/>
      <c r="J20" s="705"/>
    </row>
    <row r="21" spans="1:10" x14ac:dyDescent="0.25">
      <c r="A21" s="970">
        <v>1</v>
      </c>
      <c r="B21" s="970"/>
      <c r="C21" s="970"/>
      <c r="D21" s="970"/>
      <c r="E21" s="970"/>
      <c r="F21" s="900">
        <v>2</v>
      </c>
      <c r="G21" s="971">
        <v>3</v>
      </c>
      <c r="H21" s="1071"/>
      <c r="I21" s="731">
        <v>4</v>
      </c>
      <c r="J21" s="731">
        <v>5</v>
      </c>
    </row>
    <row r="22" spans="1:10" x14ac:dyDescent="0.25">
      <c r="A22" s="973" t="s">
        <v>3824</v>
      </c>
      <c r="B22" s="973"/>
      <c r="C22" s="973"/>
      <c r="D22" s="973"/>
      <c r="E22" s="973"/>
      <c r="F22" s="974" t="s">
        <v>3825</v>
      </c>
      <c r="G22" s="977" t="s">
        <v>3826</v>
      </c>
      <c r="H22" s="979"/>
      <c r="I22" s="967" t="s">
        <v>457</v>
      </c>
      <c r="J22" s="958" t="s">
        <v>997</v>
      </c>
    </row>
    <row r="23" spans="1:10" x14ac:dyDescent="0.25">
      <c r="A23" s="961" t="s">
        <v>3827</v>
      </c>
      <c r="B23" s="961" t="s">
        <v>3828</v>
      </c>
      <c r="C23" s="961" t="s">
        <v>3829</v>
      </c>
      <c r="D23" s="961" t="s">
        <v>3830</v>
      </c>
      <c r="E23" s="961" t="s">
        <v>3831</v>
      </c>
      <c r="F23" s="975"/>
      <c r="G23" s="963" t="s">
        <v>3832</v>
      </c>
      <c r="H23" s="963" t="s">
        <v>3833</v>
      </c>
      <c r="I23" s="968"/>
      <c r="J23" s="959"/>
    </row>
    <row r="24" spans="1:10" x14ac:dyDescent="0.25">
      <c r="A24" s="962"/>
      <c r="B24" s="962"/>
      <c r="C24" s="962"/>
      <c r="D24" s="962"/>
      <c r="E24" s="962"/>
      <c r="F24" s="976"/>
      <c r="G24" s="964"/>
      <c r="H24" s="964"/>
      <c r="I24" s="969"/>
      <c r="J24" s="960"/>
    </row>
    <row r="25" spans="1:10" ht="15.75" thickBot="1" x14ac:dyDescent="0.3">
      <c r="A25" s="733">
        <v>2</v>
      </c>
      <c r="B25" s="734"/>
      <c r="C25" s="734"/>
      <c r="D25" s="734"/>
      <c r="E25" s="734"/>
      <c r="F25" s="735" t="s">
        <v>3834</v>
      </c>
      <c r="G25" s="872">
        <f>+G26+G87+G212+G330+G336+G463</f>
        <v>91800339.5</v>
      </c>
      <c r="H25" s="872">
        <f>+H26+H87+H212+H330+H336+H463</f>
        <v>4881550.2899999991</v>
      </c>
      <c r="I25" s="872">
        <f>SUM(G25:H25)</f>
        <v>96681889.789999992</v>
      </c>
      <c r="J25" s="736">
        <f>+J26+J87+J212+J330+J336+J463</f>
        <v>1</v>
      </c>
    </row>
    <row r="26" spans="1:10" ht="15.75" thickTop="1" x14ac:dyDescent="0.25">
      <c r="A26" s="737">
        <v>2</v>
      </c>
      <c r="B26" s="738">
        <v>1</v>
      </c>
      <c r="C26" s="738"/>
      <c r="D26" s="738"/>
      <c r="E26" s="738"/>
      <c r="F26" s="739" t="s">
        <v>3835</v>
      </c>
      <c r="G26" s="873">
        <f>+G27+G51+G64+G71+G78</f>
        <v>66556155.68</v>
      </c>
      <c r="H26" s="873">
        <f>+H27+H51+H64+H71+H78</f>
        <v>0</v>
      </c>
      <c r="I26" s="873">
        <f t="shared" ref="I26:I88" si="0">SUM(G26:H26)</f>
        <v>66556155.68</v>
      </c>
      <c r="J26" s="740">
        <f>I26/$I$25</f>
        <v>0.68840354511651303</v>
      </c>
    </row>
    <row r="27" spans="1:10" x14ac:dyDescent="0.25">
      <c r="A27" s="741">
        <v>2</v>
      </c>
      <c r="B27" s="742">
        <v>1</v>
      </c>
      <c r="C27" s="742">
        <v>1</v>
      </c>
      <c r="D27" s="742"/>
      <c r="E27" s="742"/>
      <c r="F27" s="741" t="s">
        <v>3836</v>
      </c>
      <c r="G27" s="874">
        <f>+G28+G35+G42+G44+G46</f>
        <v>54771097.32</v>
      </c>
      <c r="H27" s="874">
        <f>+H28+H35+H42+H44+H46</f>
        <v>0</v>
      </c>
      <c r="I27" s="874">
        <f t="shared" si="0"/>
        <v>54771097.32</v>
      </c>
      <c r="J27" s="740">
        <f>I27/$I$25</f>
        <v>0.56650834441658882</v>
      </c>
    </row>
    <row r="28" spans="1:10" x14ac:dyDescent="0.25">
      <c r="A28" s="743">
        <v>2</v>
      </c>
      <c r="B28" s="744">
        <v>1</v>
      </c>
      <c r="C28" s="744">
        <v>1</v>
      </c>
      <c r="D28" s="744">
        <v>1</v>
      </c>
      <c r="E28" s="744"/>
      <c r="F28" s="743" t="s">
        <v>2245</v>
      </c>
      <c r="G28" s="745">
        <f>SUM(G29:G34)</f>
        <v>53482455.210000001</v>
      </c>
      <c r="H28" s="745">
        <f>SUM(H29:H34)</f>
        <v>0</v>
      </c>
      <c r="I28" s="745">
        <f t="shared" si="0"/>
        <v>53482455.210000001</v>
      </c>
      <c r="J28" s="746">
        <f>I28/$I$25</f>
        <v>0.55317966297687948</v>
      </c>
    </row>
    <row r="29" spans="1:10" x14ac:dyDescent="0.25">
      <c r="A29" s="747">
        <v>2</v>
      </c>
      <c r="B29" s="748">
        <v>1</v>
      </c>
      <c r="C29" s="748">
        <v>1</v>
      </c>
      <c r="D29" s="748">
        <v>1</v>
      </c>
      <c r="E29" s="749" t="s">
        <v>2221</v>
      </c>
      <c r="F29" s="747" t="s">
        <v>3837</v>
      </c>
      <c r="G29" s="875">
        <f>'[12]CUENTA T FONDO 100'!A127</f>
        <v>53482455.210000001</v>
      </c>
      <c r="H29" s="875">
        <f>'[12]CUENTA T VS'!A89</f>
        <v>0</v>
      </c>
      <c r="I29" s="875">
        <f t="shared" si="0"/>
        <v>53482455.210000001</v>
      </c>
      <c r="J29" s="751">
        <f t="shared" ref="J29:J34" si="1">I29/$I$25</f>
        <v>0.55317966297687948</v>
      </c>
    </row>
    <row r="30" spans="1:10" x14ac:dyDescent="0.25">
      <c r="A30" s="747">
        <v>2</v>
      </c>
      <c r="B30" s="748">
        <v>1</v>
      </c>
      <c r="C30" s="748">
        <v>1</v>
      </c>
      <c r="D30" s="748">
        <v>1</v>
      </c>
      <c r="E30" s="749" t="s">
        <v>1733</v>
      </c>
      <c r="F30" s="747" t="s">
        <v>3838</v>
      </c>
      <c r="G30" s="875">
        <f>'[12]CUENTA T FONDO 100'!B127</f>
        <v>0</v>
      </c>
      <c r="H30" s="875">
        <f>'[12]CUENTA T VS'!B89</f>
        <v>0</v>
      </c>
      <c r="I30" s="875">
        <f t="shared" si="0"/>
        <v>0</v>
      </c>
      <c r="J30" s="751">
        <f>I30/$I$25</f>
        <v>0</v>
      </c>
    </row>
    <row r="31" spans="1:10" x14ac:dyDescent="0.25">
      <c r="A31" s="747">
        <v>2</v>
      </c>
      <c r="B31" s="748">
        <v>1</v>
      </c>
      <c r="C31" s="748">
        <v>1</v>
      </c>
      <c r="D31" s="748">
        <v>1</v>
      </c>
      <c r="E31" s="749" t="s">
        <v>3839</v>
      </c>
      <c r="F31" s="747" t="s">
        <v>3840</v>
      </c>
      <c r="G31" s="875">
        <f>'[12]CUENTA T FONDO 100'!C127</f>
        <v>0</v>
      </c>
      <c r="H31" s="875">
        <f>'[12]CUENTA T VS'!C89</f>
        <v>0</v>
      </c>
      <c r="I31" s="875">
        <f t="shared" si="0"/>
        <v>0</v>
      </c>
      <c r="J31" s="751">
        <f t="shared" si="1"/>
        <v>0</v>
      </c>
    </row>
    <row r="32" spans="1:10" x14ac:dyDescent="0.25">
      <c r="A32" s="747">
        <v>2</v>
      </c>
      <c r="B32" s="748">
        <v>1</v>
      </c>
      <c r="C32" s="748">
        <v>1</v>
      </c>
      <c r="D32" s="748">
        <v>1</v>
      </c>
      <c r="E32" s="749" t="s">
        <v>625</v>
      </c>
      <c r="F32" s="747" t="s">
        <v>3841</v>
      </c>
      <c r="G32" s="875">
        <f>'[12]CUENTA T FONDO 100'!D127</f>
        <v>0</v>
      </c>
      <c r="H32" s="875">
        <f>'[12]CUENTA T VS'!D89</f>
        <v>0</v>
      </c>
      <c r="I32" s="875">
        <f t="shared" si="0"/>
        <v>0</v>
      </c>
      <c r="J32" s="751">
        <f t="shared" si="1"/>
        <v>0</v>
      </c>
    </row>
    <row r="33" spans="1:10" x14ac:dyDescent="0.25">
      <c r="A33" s="747">
        <v>2</v>
      </c>
      <c r="B33" s="748">
        <v>1</v>
      </c>
      <c r="C33" s="748">
        <v>1</v>
      </c>
      <c r="D33" s="748">
        <v>1</v>
      </c>
      <c r="E33" s="749" t="s">
        <v>3842</v>
      </c>
      <c r="F33" s="747" t="s">
        <v>3843</v>
      </c>
      <c r="G33" s="875">
        <f>'[12]CUENTA T FONDO 100'!E127</f>
        <v>0</v>
      </c>
      <c r="H33" s="875">
        <f>'[12]CUENTA T VS'!E89</f>
        <v>0</v>
      </c>
      <c r="I33" s="875">
        <f t="shared" si="0"/>
        <v>0</v>
      </c>
      <c r="J33" s="751">
        <f t="shared" si="1"/>
        <v>0</v>
      </c>
    </row>
    <row r="34" spans="1:10" x14ac:dyDescent="0.25">
      <c r="A34" s="747">
        <v>2</v>
      </c>
      <c r="B34" s="748">
        <v>1</v>
      </c>
      <c r="C34" s="748">
        <v>1</v>
      </c>
      <c r="D34" s="748">
        <v>1</v>
      </c>
      <c r="E34" s="749" t="s">
        <v>3844</v>
      </c>
      <c r="F34" s="747" t="s">
        <v>3845</v>
      </c>
      <c r="G34" s="875">
        <f>'[12]CUENTA T FONDO 100'!F127</f>
        <v>0</v>
      </c>
      <c r="H34" s="875">
        <f>'[12]CUENTA T VS'!F89</f>
        <v>0</v>
      </c>
      <c r="I34" s="875">
        <f t="shared" si="0"/>
        <v>0</v>
      </c>
      <c r="J34" s="751">
        <f t="shared" si="1"/>
        <v>0</v>
      </c>
    </row>
    <row r="35" spans="1:10" x14ac:dyDescent="0.25">
      <c r="A35" s="743">
        <v>2</v>
      </c>
      <c r="B35" s="744">
        <v>1</v>
      </c>
      <c r="C35" s="744">
        <v>1</v>
      </c>
      <c r="D35" s="744">
        <v>2</v>
      </c>
      <c r="E35" s="744"/>
      <c r="F35" s="743" t="s">
        <v>3846</v>
      </c>
      <c r="G35" s="745">
        <f>SUM(G36:G41)</f>
        <v>1107531.03</v>
      </c>
      <c r="H35" s="745">
        <f>SUM(H36:H41)</f>
        <v>0</v>
      </c>
      <c r="I35" s="745">
        <f t="shared" si="0"/>
        <v>1107531.03</v>
      </c>
      <c r="J35" s="752"/>
    </row>
    <row r="36" spans="1:10" x14ac:dyDescent="0.25">
      <c r="A36" s="747">
        <v>2</v>
      </c>
      <c r="B36" s="748">
        <v>1</v>
      </c>
      <c r="C36" s="748">
        <v>1</v>
      </c>
      <c r="D36" s="748">
        <v>2</v>
      </c>
      <c r="E36" s="749" t="s">
        <v>3839</v>
      </c>
      <c r="F36" s="747" t="s">
        <v>3847</v>
      </c>
      <c r="G36" s="875">
        <f>'[12]CUENTA T FONDO 100'!G127</f>
        <v>0</v>
      </c>
      <c r="H36" s="875">
        <f>'[12]CUENTA T VS'!G89</f>
        <v>0</v>
      </c>
      <c r="I36" s="875">
        <f t="shared" si="0"/>
        <v>0</v>
      </c>
      <c r="J36" s="751">
        <f t="shared" ref="J36:J41" si="2">I36/$I$25</f>
        <v>0</v>
      </c>
    </row>
    <row r="37" spans="1:10" x14ac:dyDescent="0.25">
      <c r="A37" s="747">
        <v>2</v>
      </c>
      <c r="B37" s="748">
        <v>1</v>
      </c>
      <c r="C37" s="748">
        <v>1</v>
      </c>
      <c r="D37" s="748">
        <v>2</v>
      </c>
      <c r="E37" s="749" t="s">
        <v>3842</v>
      </c>
      <c r="F37" s="747" t="s">
        <v>3848</v>
      </c>
      <c r="G37" s="875">
        <f>'[12]CUENTA T FONDO 100'!H127</f>
        <v>0</v>
      </c>
      <c r="H37" s="875">
        <f>'[12]CUENTA T VS'!H89</f>
        <v>0</v>
      </c>
      <c r="I37" s="875">
        <f t="shared" si="0"/>
        <v>0</v>
      </c>
      <c r="J37" s="751">
        <f t="shared" si="2"/>
        <v>0</v>
      </c>
    </row>
    <row r="38" spans="1:10" x14ac:dyDescent="0.25">
      <c r="A38" s="747">
        <v>2</v>
      </c>
      <c r="B38" s="748">
        <v>1</v>
      </c>
      <c r="C38" s="748">
        <v>1</v>
      </c>
      <c r="D38" s="748">
        <v>2</v>
      </c>
      <c r="E38" s="749" t="s">
        <v>3844</v>
      </c>
      <c r="F38" s="747" t="s">
        <v>3849</v>
      </c>
      <c r="G38" s="875">
        <f>'[12]CUENTA T FONDO 100'!I127</f>
        <v>0</v>
      </c>
      <c r="H38" s="875">
        <f>'[12]CUENTA T VS'!I89</f>
        <v>0</v>
      </c>
      <c r="I38" s="875">
        <f t="shared" si="0"/>
        <v>0</v>
      </c>
      <c r="J38" s="751">
        <f t="shared" si="2"/>
        <v>0</v>
      </c>
    </row>
    <row r="39" spans="1:10" x14ac:dyDescent="0.25">
      <c r="A39" s="747">
        <v>2</v>
      </c>
      <c r="B39" s="748">
        <v>1</v>
      </c>
      <c r="C39" s="748">
        <v>1</v>
      </c>
      <c r="D39" s="748">
        <v>2</v>
      </c>
      <c r="E39" s="749" t="s">
        <v>3850</v>
      </c>
      <c r="F39" s="747" t="s">
        <v>2273</v>
      </c>
      <c r="G39" s="875">
        <f>'[12]CUENTA T FONDO 100'!J127</f>
        <v>1107531.03</v>
      </c>
      <c r="H39" s="875">
        <f>'[12]CUENTA T VS'!J89</f>
        <v>0</v>
      </c>
      <c r="I39" s="875">
        <f t="shared" si="0"/>
        <v>1107531.03</v>
      </c>
      <c r="J39" s="751">
        <f t="shared" si="2"/>
        <v>1.1455413546483597E-2</v>
      </c>
    </row>
    <row r="40" spans="1:10" x14ac:dyDescent="0.25">
      <c r="A40" s="747">
        <v>2</v>
      </c>
      <c r="B40" s="748">
        <v>1</v>
      </c>
      <c r="C40" s="748">
        <v>1</v>
      </c>
      <c r="D40" s="748">
        <v>2</v>
      </c>
      <c r="E40" s="749" t="s">
        <v>3851</v>
      </c>
      <c r="F40" s="747" t="s">
        <v>3852</v>
      </c>
      <c r="G40" s="875">
        <f>'[12]CUENTA T FONDO 100'!K127</f>
        <v>0</v>
      </c>
      <c r="H40" s="875">
        <f>'[12]CUENTA T VS'!K89</f>
        <v>0</v>
      </c>
      <c r="I40" s="875">
        <f t="shared" si="0"/>
        <v>0</v>
      </c>
      <c r="J40" s="751">
        <f t="shared" si="2"/>
        <v>0</v>
      </c>
    </row>
    <row r="41" spans="1:10" x14ac:dyDescent="0.25">
      <c r="A41" s="747">
        <v>2</v>
      </c>
      <c r="B41" s="748">
        <v>1</v>
      </c>
      <c r="C41" s="748">
        <v>1</v>
      </c>
      <c r="D41" s="748">
        <v>2</v>
      </c>
      <c r="E41" s="749" t="s">
        <v>591</v>
      </c>
      <c r="F41" s="747" t="s">
        <v>3853</v>
      </c>
      <c r="G41" s="875">
        <f>'[12]CUENTA T FONDO 100'!L127</f>
        <v>0</v>
      </c>
      <c r="H41" s="875">
        <f>'[12]CUENTA T VS'!L89</f>
        <v>0</v>
      </c>
      <c r="I41" s="875">
        <f t="shared" si="0"/>
        <v>0</v>
      </c>
      <c r="J41" s="751">
        <f t="shared" si="2"/>
        <v>0</v>
      </c>
    </row>
    <row r="42" spans="1:10" x14ac:dyDescent="0.25">
      <c r="A42" s="743">
        <v>2</v>
      </c>
      <c r="B42" s="744">
        <v>1</v>
      </c>
      <c r="C42" s="744">
        <v>1</v>
      </c>
      <c r="D42" s="744">
        <v>3</v>
      </c>
      <c r="E42" s="744"/>
      <c r="F42" s="743" t="s">
        <v>3854</v>
      </c>
      <c r="G42" s="745">
        <f>SUM(G43)</f>
        <v>0</v>
      </c>
      <c r="H42" s="745">
        <f>SUM(H43)</f>
        <v>0</v>
      </c>
      <c r="I42" s="745">
        <f t="shared" si="0"/>
        <v>0</v>
      </c>
      <c r="J42" s="752"/>
    </row>
    <row r="43" spans="1:10" x14ac:dyDescent="0.25">
      <c r="A43" s="747">
        <v>2</v>
      </c>
      <c r="B43" s="748">
        <v>1</v>
      </c>
      <c r="C43" s="748">
        <v>1</v>
      </c>
      <c r="D43" s="748">
        <v>3</v>
      </c>
      <c r="E43" s="749" t="s">
        <v>2221</v>
      </c>
      <c r="F43" s="747" t="s">
        <v>3854</v>
      </c>
      <c r="G43" s="875">
        <f>'[12]CUENTA T FONDO 100'!M127</f>
        <v>0</v>
      </c>
      <c r="H43" s="875">
        <f>'[12]CUENTA T VS'!M89</f>
        <v>0</v>
      </c>
      <c r="I43" s="875">
        <f t="shared" si="0"/>
        <v>0</v>
      </c>
      <c r="J43" s="751">
        <f>I43/$I$25</f>
        <v>0</v>
      </c>
    </row>
    <row r="44" spans="1:10" x14ac:dyDescent="0.25">
      <c r="A44" s="743">
        <v>2</v>
      </c>
      <c r="B44" s="744">
        <v>1</v>
      </c>
      <c r="C44" s="744">
        <v>1</v>
      </c>
      <c r="D44" s="744">
        <v>4</v>
      </c>
      <c r="E44" s="744"/>
      <c r="F44" s="743" t="s">
        <v>3855</v>
      </c>
      <c r="G44" s="745">
        <f>SUM(G45)</f>
        <v>0</v>
      </c>
      <c r="H44" s="745">
        <f>SUM(H45)</f>
        <v>0</v>
      </c>
      <c r="I44" s="745">
        <f t="shared" si="0"/>
        <v>0</v>
      </c>
      <c r="J44" s="752"/>
    </row>
    <row r="45" spans="1:10" x14ac:dyDescent="0.25">
      <c r="A45" s="747">
        <v>2</v>
      </c>
      <c r="B45" s="748">
        <v>1</v>
      </c>
      <c r="C45" s="748">
        <v>1</v>
      </c>
      <c r="D45" s="748">
        <v>4</v>
      </c>
      <c r="E45" s="749" t="s">
        <v>2221</v>
      </c>
      <c r="F45" s="747" t="s">
        <v>3855</v>
      </c>
      <c r="G45" s="875">
        <f>'[12]CUENTA T FONDO 100'!N127</f>
        <v>0</v>
      </c>
      <c r="H45" s="875">
        <f>'[12]CUENTA T VS'!N89</f>
        <v>0</v>
      </c>
      <c r="I45" s="875">
        <f t="shared" si="0"/>
        <v>0</v>
      </c>
      <c r="J45" s="751">
        <f>I45/$I$25</f>
        <v>0</v>
      </c>
    </row>
    <row r="46" spans="1:10" x14ac:dyDescent="0.25">
      <c r="A46" s="743">
        <v>2</v>
      </c>
      <c r="B46" s="744">
        <v>1</v>
      </c>
      <c r="C46" s="744">
        <v>1</v>
      </c>
      <c r="D46" s="744">
        <v>5</v>
      </c>
      <c r="E46" s="744"/>
      <c r="F46" s="743" t="s">
        <v>3856</v>
      </c>
      <c r="G46" s="745">
        <f>SUM(G47:G50)</f>
        <v>181111.08000000002</v>
      </c>
      <c r="H46" s="745">
        <f>SUM(H47:H50)</f>
        <v>0</v>
      </c>
      <c r="I46" s="745">
        <f t="shared" si="0"/>
        <v>181111.08000000002</v>
      </c>
      <c r="J46" s="752"/>
    </row>
    <row r="47" spans="1:10" x14ac:dyDescent="0.25">
      <c r="A47" s="747">
        <v>2</v>
      </c>
      <c r="B47" s="748">
        <v>1</v>
      </c>
      <c r="C47" s="748">
        <v>1</v>
      </c>
      <c r="D47" s="748">
        <v>5</v>
      </c>
      <c r="E47" s="749" t="s">
        <v>2221</v>
      </c>
      <c r="F47" s="747" t="s">
        <v>3856</v>
      </c>
      <c r="G47" s="875">
        <f>'[12]CUENTA T FONDO 100'!O127</f>
        <v>0</v>
      </c>
      <c r="H47" s="875">
        <f>'[12]CUENTA T VS'!O89</f>
        <v>0</v>
      </c>
      <c r="I47" s="875">
        <f t="shared" si="0"/>
        <v>0</v>
      </c>
      <c r="J47" s="751">
        <f>I47/$I$25</f>
        <v>0</v>
      </c>
    </row>
    <row r="48" spans="1:10" x14ac:dyDescent="0.25">
      <c r="A48" s="747">
        <v>2</v>
      </c>
      <c r="B48" s="748">
        <v>1</v>
      </c>
      <c r="C48" s="748">
        <v>1</v>
      </c>
      <c r="D48" s="748">
        <v>5</v>
      </c>
      <c r="E48" s="749" t="s">
        <v>1733</v>
      </c>
      <c r="F48" s="747" t="s">
        <v>3857</v>
      </c>
      <c r="G48" s="875">
        <f>'[12]CUENTA T FONDO 100'!P127</f>
        <v>0</v>
      </c>
      <c r="H48" s="875">
        <f>'[12]CUENTA T VS'!P89</f>
        <v>0</v>
      </c>
      <c r="I48" s="875">
        <f t="shared" si="0"/>
        <v>0</v>
      </c>
      <c r="J48" s="751">
        <f>I48/$I$25</f>
        <v>0</v>
      </c>
    </row>
    <row r="49" spans="1:10" x14ac:dyDescent="0.25">
      <c r="A49" s="747">
        <v>2</v>
      </c>
      <c r="B49" s="748">
        <v>1</v>
      </c>
      <c r="C49" s="748">
        <v>1</v>
      </c>
      <c r="D49" s="748">
        <v>5</v>
      </c>
      <c r="E49" s="749" t="s">
        <v>3839</v>
      </c>
      <c r="F49" s="747" t="s">
        <v>2288</v>
      </c>
      <c r="G49" s="875">
        <f>'[12]CUENTA T FONDO 100'!Q127</f>
        <v>92400</v>
      </c>
      <c r="H49" s="875">
        <f>'[12]CUENTA T VS'!Q89</f>
        <v>0</v>
      </c>
      <c r="I49" s="875">
        <f t="shared" si="0"/>
        <v>92400</v>
      </c>
      <c r="J49" s="751">
        <f>I49/$I$25</f>
        <v>9.5571156294833946E-4</v>
      </c>
    </row>
    <row r="50" spans="1:10" x14ac:dyDescent="0.25">
      <c r="A50" s="747">
        <v>2</v>
      </c>
      <c r="B50" s="748">
        <v>1</v>
      </c>
      <c r="C50" s="748">
        <v>1</v>
      </c>
      <c r="D50" s="748">
        <v>5</v>
      </c>
      <c r="E50" s="749" t="s">
        <v>625</v>
      </c>
      <c r="F50" s="747" t="s">
        <v>2284</v>
      </c>
      <c r="G50" s="875">
        <f>'[12]CUENTA T FONDO 100'!R127</f>
        <v>88711.08</v>
      </c>
      <c r="H50" s="875">
        <f>'[12]CUENTA T VS'!R89</f>
        <v>0</v>
      </c>
      <c r="I50" s="875">
        <f t="shared" si="0"/>
        <v>88711.08</v>
      </c>
      <c r="J50" s="751">
        <f>I50/$I$25</f>
        <v>9.1755633027743705E-4</v>
      </c>
    </row>
    <row r="51" spans="1:10" x14ac:dyDescent="0.25">
      <c r="A51" s="741">
        <v>2</v>
      </c>
      <c r="B51" s="742">
        <v>1</v>
      </c>
      <c r="C51" s="742">
        <v>2</v>
      </c>
      <c r="D51" s="742"/>
      <c r="E51" s="742"/>
      <c r="F51" s="741" t="s">
        <v>3740</v>
      </c>
      <c r="G51" s="874">
        <f>+G52+G54</f>
        <v>3384964.48</v>
      </c>
      <c r="H51" s="874">
        <f>+H52+H54</f>
        <v>0</v>
      </c>
      <c r="I51" s="874">
        <f t="shared" si="0"/>
        <v>3384964.48</v>
      </c>
      <c r="J51" s="740"/>
    </row>
    <row r="52" spans="1:10" x14ac:dyDescent="0.25">
      <c r="A52" s="743">
        <v>2</v>
      </c>
      <c r="B52" s="744">
        <v>1</v>
      </c>
      <c r="C52" s="744">
        <v>2</v>
      </c>
      <c r="D52" s="744">
        <v>1</v>
      </c>
      <c r="E52" s="744"/>
      <c r="F52" s="743" t="s">
        <v>2251</v>
      </c>
      <c r="G52" s="745">
        <f>SUM(G53)</f>
        <v>2739824.52</v>
      </c>
      <c r="H52" s="745">
        <f>SUM(H53)</f>
        <v>0</v>
      </c>
      <c r="I52" s="745">
        <f t="shared" si="0"/>
        <v>2739824.52</v>
      </c>
      <c r="J52" s="752"/>
    </row>
    <row r="53" spans="1:10" x14ac:dyDescent="0.25">
      <c r="A53" s="747">
        <v>2</v>
      </c>
      <c r="B53" s="748">
        <v>1</v>
      </c>
      <c r="C53" s="748">
        <v>2</v>
      </c>
      <c r="D53" s="748">
        <v>1</v>
      </c>
      <c r="E53" s="749" t="s">
        <v>2221</v>
      </c>
      <c r="F53" s="747" t="s">
        <v>2251</v>
      </c>
      <c r="G53" s="875">
        <f>'[12]CUENTA T FONDO 100'!S127</f>
        <v>2739824.52</v>
      </c>
      <c r="H53" s="875">
        <f>'[12]CUENTA T VS'!S89</f>
        <v>0</v>
      </c>
      <c r="I53" s="875">
        <f t="shared" si="0"/>
        <v>2739824.52</v>
      </c>
      <c r="J53" s="751">
        <f>I53/$I$25</f>
        <v>2.8338549504473853E-2</v>
      </c>
    </row>
    <row r="54" spans="1:10" x14ac:dyDescent="0.25">
      <c r="A54" s="743">
        <v>2</v>
      </c>
      <c r="B54" s="744">
        <v>1</v>
      </c>
      <c r="C54" s="744">
        <v>2</v>
      </c>
      <c r="D54" s="744">
        <v>2</v>
      </c>
      <c r="E54" s="744"/>
      <c r="F54" s="743" t="s">
        <v>2254</v>
      </c>
      <c r="G54" s="745">
        <f>SUM(G55:G63)</f>
        <v>645139.96</v>
      </c>
      <c r="H54" s="745">
        <f>SUM(H55:H63)</f>
        <v>0</v>
      </c>
      <c r="I54" s="745">
        <f t="shared" si="0"/>
        <v>645139.96</v>
      </c>
      <c r="J54" s="752"/>
    </row>
    <row r="55" spans="1:10" x14ac:dyDescent="0.25">
      <c r="A55" s="747">
        <v>2</v>
      </c>
      <c r="B55" s="748">
        <v>1</v>
      </c>
      <c r="C55" s="748">
        <v>2</v>
      </c>
      <c r="D55" s="748">
        <v>2</v>
      </c>
      <c r="E55" s="749" t="s">
        <v>2221</v>
      </c>
      <c r="F55" s="747" t="s">
        <v>3858</v>
      </c>
      <c r="G55" s="875">
        <f>'[12]CUENTA T FONDO 100'!T127</f>
        <v>0</v>
      </c>
      <c r="H55" s="875">
        <f>'[12]CUENTA T VS'!T89</f>
        <v>0</v>
      </c>
      <c r="I55" s="875">
        <f t="shared" si="0"/>
        <v>0</v>
      </c>
      <c r="J55" s="751">
        <f t="shared" ref="J55:J63" si="3">I55/$I$25</f>
        <v>0</v>
      </c>
    </row>
    <row r="56" spans="1:10" ht="51" x14ac:dyDescent="0.25">
      <c r="A56" s="747">
        <v>2</v>
      </c>
      <c r="B56" s="748">
        <v>1</v>
      </c>
      <c r="C56" s="748">
        <v>2</v>
      </c>
      <c r="D56" s="748">
        <v>2</v>
      </c>
      <c r="E56" s="749" t="s">
        <v>3839</v>
      </c>
      <c r="F56" s="753" t="s">
        <v>3859</v>
      </c>
      <c r="G56" s="875">
        <f>'[12]CUENTA T FONDO 100'!U127</f>
        <v>0</v>
      </c>
      <c r="H56" s="875">
        <f>'[12]CUENTA T VS'!U89</f>
        <v>0</v>
      </c>
      <c r="I56" s="875">
        <f t="shared" si="0"/>
        <v>0</v>
      </c>
      <c r="J56" s="751">
        <f t="shared" si="3"/>
        <v>0</v>
      </c>
    </row>
    <row r="57" spans="1:10" x14ac:dyDescent="0.25">
      <c r="A57" s="747">
        <v>2</v>
      </c>
      <c r="B57" s="748">
        <v>1</v>
      </c>
      <c r="C57" s="748">
        <v>2</v>
      </c>
      <c r="D57" s="748">
        <v>2</v>
      </c>
      <c r="E57" s="749" t="s">
        <v>625</v>
      </c>
      <c r="F57" s="747" t="s">
        <v>3860</v>
      </c>
      <c r="G57" s="875">
        <f>'[12]CUENTA T FONDO 100'!V127</f>
        <v>0</v>
      </c>
      <c r="H57" s="875">
        <f>'[12]CUENTA T VS'!V89</f>
        <v>0</v>
      </c>
      <c r="I57" s="875">
        <f t="shared" si="0"/>
        <v>0</v>
      </c>
      <c r="J57" s="751">
        <f t="shared" si="3"/>
        <v>0</v>
      </c>
    </row>
    <row r="58" spans="1:10" x14ac:dyDescent="0.25">
      <c r="A58" s="747">
        <v>2</v>
      </c>
      <c r="B58" s="748">
        <v>1</v>
      </c>
      <c r="C58" s="748">
        <v>2</v>
      </c>
      <c r="D58" s="748">
        <v>2</v>
      </c>
      <c r="E58" s="749" t="s">
        <v>3842</v>
      </c>
      <c r="F58" s="747" t="s">
        <v>3861</v>
      </c>
      <c r="G58" s="875">
        <f>'[12]CUENTA T FONDO 100'!W127</f>
        <v>45000</v>
      </c>
      <c r="H58" s="875">
        <f>'[12]CUENTA T VS'!W89</f>
        <v>0</v>
      </c>
      <c r="I58" s="875">
        <f t="shared" si="0"/>
        <v>45000</v>
      </c>
      <c r="J58" s="751">
        <f t="shared" si="3"/>
        <v>4.654439429943212E-4</v>
      </c>
    </row>
    <row r="59" spans="1:10" x14ac:dyDescent="0.25">
      <c r="A59" s="747">
        <v>2</v>
      </c>
      <c r="B59" s="748">
        <v>1</v>
      </c>
      <c r="C59" s="748">
        <v>2</v>
      </c>
      <c r="D59" s="748">
        <v>2</v>
      </c>
      <c r="E59" s="749" t="s">
        <v>3844</v>
      </c>
      <c r="F59" s="747" t="s">
        <v>3862</v>
      </c>
      <c r="G59" s="875">
        <f>'[12]CUENTA T FONDO 100'!X127</f>
        <v>0</v>
      </c>
      <c r="H59" s="875">
        <f>'[12]CUENTA T VS'!X89</f>
        <v>0</v>
      </c>
      <c r="I59" s="875">
        <f t="shared" si="0"/>
        <v>0</v>
      </c>
      <c r="J59" s="751">
        <f t="shared" si="3"/>
        <v>0</v>
      </c>
    </row>
    <row r="60" spans="1:10" x14ac:dyDescent="0.25">
      <c r="A60" s="747">
        <v>2</v>
      </c>
      <c r="B60" s="748">
        <v>1</v>
      </c>
      <c r="C60" s="748">
        <v>2</v>
      </c>
      <c r="D60" s="748">
        <v>2</v>
      </c>
      <c r="E60" s="749" t="s">
        <v>3863</v>
      </c>
      <c r="F60" s="747" t="s">
        <v>3864</v>
      </c>
      <c r="G60" s="875">
        <f>'[12]CUENTA T FONDO 100'!Y127</f>
        <v>0</v>
      </c>
      <c r="H60" s="875">
        <f>'[12]CUENTA T VS'!Y89</f>
        <v>0</v>
      </c>
      <c r="I60" s="875">
        <f t="shared" si="0"/>
        <v>0</v>
      </c>
      <c r="J60" s="751">
        <f t="shared" si="3"/>
        <v>0</v>
      </c>
    </row>
    <row r="61" spans="1:10" x14ac:dyDescent="0.25">
      <c r="A61" s="747">
        <v>2</v>
      </c>
      <c r="B61" s="748">
        <v>1</v>
      </c>
      <c r="C61" s="748">
        <v>2</v>
      </c>
      <c r="D61" s="748">
        <v>2</v>
      </c>
      <c r="E61" s="749" t="s">
        <v>3850</v>
      </c>
      <c r="F61" s="747" t="s">
        <v>2256</v>
      </c>
      <c r="G61" s="875">
        <f>'[12]CUENTA T FONDO 100'!Z127</f>
        <v>339600</v>
      </c>
      <c r="H61" s="875">
        <f>'[12]CUENTA T VS'!Z89</f>
        <v>0</v>
      </c>
      <c r="I61" s="875">
        <f t="shared" si="0"/>
        <v>339600</v>
      </c>
      <c r="J61" s="751">
        <f t="shared" si="3"/>
        <v>3.5125502897971439E-3</v>
      </c>
    </row>
    <row r="62" spans="1:10" x14ac:dyDescent="0.25">
      <c r="A62" s="747">
        <v>2</v>
      </c>
      <c r="B62" s="748">
        <v>1</v>
      </c>
      <c r="C62" s="748">
        <v>2</v>
      </c>
      <c r="D62" s="748">
        <v>2</v>
      </c>
      <c r="E62" s="749" t="s">
        <v>3851</v>
      </c>
      <c r="F62" s="747" t="s">
        <v>3865</v>
      </c>
      <c r="G62" s="875">
        <f>'[12]CUENTA T FONDO 100'!AA127</f>
        <v>0</v>
      </c>
      <c r="H62" s="875">
        <f>'[12]CUENTA T VS'!AA89</f>
        <v>0</v>
      </c>
      <c r="I62" s="875">
        <f t="shared" si="0"/>
        <v>0</v>
      </c>
      <c r="J62" s="751">
        <f t="shared" si="3"/>
        <v>0</v>
      </c>
    </row>
    <row r="63" spans="1:10" ht="63.75" x14ac:dyDescent="0.25">
      <c r="A63" s="747">
        <v>2</v>
      </c>
      <c r="B63" s="748">
        <v>1</v>
      </c>
      <c r="C63" s="748">
        <v>2</v>
      </c>
      <c r="D63" s="748">
        <v>2</v>
      </c>
      <c r="E63" s="748">
        <v>10</v>
      </c>
      <c r="F63" s="753" t="s">
        <v>3866</v>
      </c>
      <c r="G63" s="875">
        <f>'[12]CUENTA T FONDO 100'!AB127</f>
        <v>260539.96</v>
      </c>
      <c r="H63" s="875">
        <f>'[12]CUENTA T VS'!AB89</f>
        <v>0</v>
      </c>
      <c r="I63" s="875">
        <f t="shared" si="0"/>
        <v>260539.96</v>
      </c>
      <c r="J63" s="751">
        <f t="shared" si="3"/>
        <v>2.6948165842218381E-3</v>
      </c>
    </row>
    <row r="64" spans="1:10" x14ac:dyDescent="0.25">
      <c r="A64" s="754">
        <v>2</v>
      </c>
      <c r="B64" s="742">
        <v>1</v>
      </c>
      <c r="C64" s="742">
        <v>3</v>
      </c>
      <c r="D64" s="742"/>
      <c r="E64" s="742"/>
      <c r="F64" s="754" t="s">
        <v>3867</v>
      </c>
      <c r="G64" s="874">
        <f>+G65+G68</f>
        <v>0</v>
      </c>
      <c r="H64" s="874">
        <f>+H65+H68</f>
        <v>0</v>
      </c>
      <c r="I64" s="874">
        <f t="shared" si="0"/>
        <v>0</v>
      </c>
      <c r="J64" s="740"/>
    </row>
    <row r="65" spans="1:10" x14ac:dyDescent="0.25">
      <c r="A65" s="755">
        <v>2</v>
      </c>
      <c r="B65" s="744">
        <v>1</v>
      </c>
      <c r="C65" s="744">
        <v>3</v>
      </c>
      <c r="D65" s="744">
        <v>1</v>
      </c>
      <c r="E65" s="744"/>
      <c r="F65" s="755" t="s">
        <v>3868</v>
      </c>
      <c r="G65" s="745">
        <f>SUM(G66:G67)</f>
        <v>0</v>
      </c>
      <c r="H65" s="745">
        <f>SUM(H66:H67)</f>
        <v>0</v>
      </c>
      <c r="I65" s="745">
        <f t="shared" si="0"/>
        <v>0</v>
      </c>
      <c r="J65" s="752"/>
    </row>
    <row r="66" spans="1:10" x14ac:dyDescent="0.25">
      <c r="A66" s="756">
        <v>2</v>
      </c>
      <c r="B66" s="748">
        <v>1</v>
      </c>
      <c r="C66" s="748">
        <v>3</v>
      </c>
      <c r="D66" s="748">
        <v>1</v>
      </c>
      <c r="E66" s="749" t="s">
        <v>2221</v>
      </c>
      <c r="F66" s="756" t="s">
        <v>3869</v>
      </c>
      <c r="G66" s="875">
        <f>'[12]CUENTA T FONDO 100'!AC127</f>
        <v>0</v>
      </c>
      <c r="H66" s="875">
        <f>'[12]CUENTA T VS'!AC89</f>
        <v>0</v>
      </c>
      <c r="I66" s="875">
        <f t="shared" si="0"/>
        <v>0</v>
      </c>
      <c r="J66" s="751">
        <f>I66/$I$25</f>
        <v>0</v>
      </c>
    </row>
    <row r="67" spans="1:10" x14ac:dyDescent="0.25">
      <c r="A67" s="756">
        <v>2</v>
      </c>
      <c r="B67" s="748">
        <v>1</v>
      </c>
      <c r="C67" s="748">
        <v>3</v>
      </c>
      <c r="D67" s="748">
        <v>1</v>
      </c>
      <c r="E67" s="749" t="s">
        <v>1733</v>
      </c>
      <c r="F67" s="756" t="s">
        <v>3870</v>
      </c>
      <c r="G67" s="875">
        <f>'[12]CUENTA T FONDO 100'!AD127</f>
        <v>0</v>
      </c>
      <c r="H67" s="875">
        <f>'[12]CUENTA T VS'!AD89</f>
        <v>0</v>
      </c>
      <c r="I67" s="875">
        <f t="shared" si="0"/>
        <v>0</v>
      </c>
      <c r="J67" s="751">
        <f>I67/$I$25</f>
        <v>0</v>
      </c>
    </row>
    <row r="68" spans="1:10" x14ac:dyDescent="0.25">
      <c r="A68" s="755">
        <v>2</v>
      </c>
      <c r="B68" s="744">
        <v>1</v>
      </c>
      <c r="C68" s="744">
        <v>3</v>
      </c>
      <c r="D68" s="744">
        <v>2</v>
      </c>
      <c r="E68" s="744"/>
      <c r="F68" s="755" t="s">
        <v>3871</v>
      </c>
      <c r="G68" s="745">
        <f>SUM(G69:G70)</f>
        <v>0</v>
      </c>
      <c r="H68" s="745">
        <f>SUM(H69:H70)</f>
        <v>0</v>
      </c>
      <c r="I68" s="745">
        <f t="shared" si="0"/>
        <v>0</v>
      </c>
      <c r="J68" s="752"/>
    </row>
    <row r="69" spans="1:10" x14ac:dyDescent="0.25">
      <c r="A69" s="756">
        <v>2</v>
      </c>
      <c r="B69" s="748">
        <v>1</v>
      </c>
      <c r="C69" s="748">
        <v>3</v>
      </c>
      <c r="D69" s="748">
        <v>2</v>
      </c>
      <c r="E69" s="749" t="s">
        <v>2221</v>
      </c>
      <c r="F69" s="756" t="s">
        <v>3872</v>
      </c>
      <c r="G69" s="875">
        <f>'[12]CUENTA T FONDO 100'!AE127</f>
        <v>0</v>
      </c>
      <c r="H69" s="875">
        <f>'[12]CUENTA T VS'!AE89</f>
        <v>0</v>
      </c>
      <c r="I69" s="875">
        <f t="shared" si="0"/>
        <v>0</v>
      </c>
      <c r="J69" s="751">
        <f>I69/$I$25</f>
        <v>0</v>
      </c>
    </row>
    <row r="70" spans="1:10" x14ac:dyDescent="0.25">
      <c r="A70" s="756">
        <v>2</v>
      </c>
      <c r="B70" s="748">
        <v>1</v>
      </c>
      <c r="C70" s="748">
        <v>3</v>
      </c>
      <c r="D70" s="748">
        <v>2</v>
      </c>
      <c r="E70" s="749" t="s">
        <v>1733</v>
      </c>
      <c r="F70" s="756" t="s">
        <v>3873</v>
      </c>
      <c r="G70" s="875">
        <f>'[12]CUENTA T FONDO 100'!AF127</f>
        <v>0</v>
      </c>
      <c r="H70" s="875">
        <f>'[12]CUENTA T VS'!AF89</f>
        <v>0</v>
      </c>
      <c r="I70" s="875">
        <f t="shared" si="0"/>
        <v>0</v>
      </c>
      <c r="J70" s="751">
        <f>I70/$I$25</f>
        <v>0</v>
      </c>
    </row>
    <row r="71" spans="1:10" x14ac:dyDescent="0.25">
      <c r="A71" s="754">
        <v>2</v>
      </c>
      <c r="B71" s="742">
        <v>1</v>
      </c>
      <c r="C71" s="742">
        <v>4</v>
      </c>
      <c r="D71" s="742"/>
      <c r="E71" s="742"/>
      <c r="F71" s="754" t="s">
        <v>3874</v>
      </c>
      <c r="G71" s="874">
        <f>+G72+G74</f>
        <v>0</v>
      </c>
      <c r="H71" s="874">
        <f>+H72+H74</f>
        <v>0</v>
      </c>
      <c r="I71" s="874">
        <f t="shared" si="0"/>
        <v>0</v>
      </c>
      <c r="J71" s="740"/>
    </row>
    <row r="72" spans="1:10" x14ac:dyDescent="0.25">
      <c r="A72" s="743">
        <v>2</v>
      </c>
      <c r="B72" s="744">
        <v>1</v>
      </c>
      <c r="C72" s="744">
        <v>4</v>
      </c>
      <c r="D72" s="744">
        <v>1</v>
      </c>
      <c r="E72" s="744"/>
      <c r="F72" s="743" t="s">
        <v>3875</v>
      </c>
      <c r="G72" s="745">
        <f>SUM(G73)</f>
        <v>0</v>
      </c>
      <c r="H72" s="745">
        <f>SUM(H73)</f>
        <v>0</v>
      </c>
      <c r="I72" s="745">
        <f t="shared" si="0"/>
        <v>0</v>
      </c>
      <c r="J72" s="752"/>
    </row>
    <row r="73" spans="1:10" x14ac:dyDescent="0.25">
      <c r="A73" s="747">
        <v>2</v>
      </c>
      <c r="B73" s="748">
        <v>1</v>
      </c>
      <c r="C73" s="748">
        <v>4</v>
      </c>
      <c r="D73" s="748">
        <v>1</v>
      </c>
      <c r="E73" s="749" t="s">
        <v>2221</v>
      </c>
      <c r="F73" s="747" t="s">
        <v>3875</v>
      </c>
      <c r="G73" s="875">
        <f>'[12]CUENTA T FONDO 100'!AG127</f>
        <v>0</v>
      </c>
      <c r="H73" s="875">
        <f>'[12]CUENTA T VS'!AG89</f>
        <v>0</v>
      </c>
      <c r="I73" s="875">
        <f t="shared" si="0"/>
        <v>0</v>
      </c>
      <c r="J73" s="751">
        <f>I73/$I$25</f>
        <v>0</v>
      </c>
    </row>
    <row r="74" spans="1:10" x14ac:dyDescent="0.25">
      <c r="A74" s="743">
        <v>2</v>
      </c>
      <c r="B74" s="744">
        <v>1</v>
      </c>
      <c r="C74" s="744">
        <v>4</v>
      </c>
      <c r="D74" s="744">
        <v>2</v>
      </c>
      <c r="E74" s="744"/>
      <c r="F74" s="743" t="s">
        <v>3876</v>
      </c>
      <c r="G74" s="745">
        <f>SUM(G75:G77)</f>
        <v>0</v>
      </c>
      <c r="H74" s="745">
        <f>SUM(H75:H77)</f>
        <v>0</v>
      </c>
      <c r="I74" s="745">
        <f t="shared" si="0"/>
        <v>0</v>
      </c>
      <c r="J74" s="752"/>
    </row>
    <row r="75" spans="1:10" x14ac:dyDescent="0.25">
      <c r="A75" s="747">
        <v>2</v>
      </c>
      <c r="B75" s="748">
        <v>1</v>
      </c>
      <c r="C75" s="748">
        <v>4</v>
      </c>
      <c r="D75" s="748">
        <v>2</v>
      </c>
      <c r="E75" s="749" t="s">
        <v>2221</v>
      </c>
      <c r="F75" s="747" t="s">
        <v>3877</v>
      </c>
      <c r="G75" s="875">
        <f>'[12]CUENTA T FONDO 100'!AH127</f>
        <v>0</v>
      </c>
      <c r="H75" s="875">
        <f>'[12]CUENTA T VS'!AH89</f>
        <v>0</v>
      </c>
      <c r="I75" s="875">
        <f t="shared" si="0"/>
        <v>0</v>
      </c>
      <c r="J75" s="751">
        <f>I75/$I$25</f>
        <v>0</v>
      </c>
    </row>
    <row r="76" spans="1:10" x14ac:dyDescent="0.25">
      <c r="A76" s="747">
        <v>2</v>
      </c>
      <c r="B76" s="748">
        <v>1</v>
      </c>
      <c r="C76" s="748">
        <v>4</v>
      </c>
      <c r="D76" s="748">
        <v>2</v>
      </c>
      <c r="E76" s="749" t="s">
        <v>1733</v>
      </c>
      <c r="F76" s="747" t="s">
        <v>3878</v>
      </c>
      <c r="G76" s="875">
        <f>'[12]CUENTA T FONDO 100'!AI127</f>
        <v>0</v>
      </c>
      <c r="H76" s="875">
        <f>'[12]CUENTA T VS'!AI89</f>
        <v>0</v>
      </c>
      <c r="I76" s="875">
        <f t="shared" si="0"/>
        <v>0</v>
      </c>
      <c r="J76" s="751">
        <f>I76/$I$25</f>
        <v>0</v>
      </c>
    </row>
    <row r="77" spans="1:10" x14ac:dyDescent="0.25">
      <c r="A77" s="747">
        <v>2</v>
      </c>
      <c r="B77" s="748">
        <v>1</v>
      </c>
      <c r="C77" s="748">
        <v>4</v>
      </c>
      <c r="D77" s="748">
        <v>2</v>
      </c>
      <c r="E77" s="749" t="s">
        <v>3839</v>
      </c>
      <c r="F77" s="747" t="s">
        <v>3879</v>
      </c>
      <c r="G77" s="875">
        <f>'[12]CUENTA T FONDO 100'!AJ127</f>
        <v>0</v>
      </c>
      <c r="H77" s="875">
        <f>'[12]CUENTA T VS'!AJ89</f>
        <v>0</v>
      </c>
      <c r="I77" s="875">
        <f t="shared" si="0"/>
        <v>0</v>
      </c>
      <c r="J77" s="751">
        <f>I77/$I$25</f>
        <v>0</v>
      </c>
    </row>
    <row r="78" spans="1:10" x14ac:dyDescent="0.25">
      <c r="A78" s="754">
        <v>2</v>
      </c>
      <c r="B78" s="742">
        <v>1</v>
      </c>
      <c r="C78" s="742">
        <v>5</v>
      </c>
      <c r="D78" s="742"/>
      <c r="E78" s="742"/>
      <c r="F78" s="754" t="s">
        <v>3880</v>
      </c>
      <c r="G78" s="874">
        <f>+G79+G81+G83+G85</f>
        <v>8400093.8800000008</v>
      </c>
      <c r="H78" s="874">
        <f>+H79+H81+H83+H85</f>
        <v>0</v>
      </c>
      <c r="I78" s="874">
        <f t="shared" si="0"/>
        <v>8400093.8800000008</v>
      </c>
      <c r="J78" s="740"/>
    </row>
    <row r="79" spans="1:10" x14ac:dyDescent="0.25">
      <c r="A79" s="743">
        <v>2</v>
      </c>
      <c r="B79" s="744">
        <v>1</v>
      </c>
      <c r="C79" s="744">
        <v>5</v>
      </c>
      <c r="D79" s="744">
        <v>1</v>
      </c>
      <c r="E79" s="744"/>
      <c r="F79" s="743" t="s">
        <v>95</v>
      </c>
      <c r="G79" s="745">
        <f>SUM(G80)</f>
        <v>3870432.33</v>
      </c>
      <c r="H79" s="745">
        <f>SUM(H80)</f>
        <v>0</v>
      </c>
      <c r="I79" s="745">
        <f t="shared" si="0"/>
        <v>3870432.33</v>
      </c>
      <c r="J79" s="752"/>
    </row>
    <row r="80" spans="1:10" x14ac:dyDescent="0.25">
      <c r="A80" s="747">
        <v>2</v>
      </c>
      <c r="B80" s="748">
        <v>1</v>
      </c>
      <c r="C80" s="748">
        <v>5</v>
      </c>
      <c r="D80" s="748">
        <v>1</v>
      </c>
      <c r="E80" s="749" t="s">
        <v>2221</v>
      </c>
      <c r="F80" s="747" t="s">
        <v>95</v>
      </c>
      <c r="G80" s="875">
        <f>'[12]CUENTA T FONDO 100'!AK127</f>
        <v>3870432.33</v>
      </c>
      <c r="H80" s="875">
        <f>'[12]CUENTA T VS'!AK89</f>
        <v>0</v>
      </c>
      <c r="I80" s="875">
        <f t="shared" si="0"/>
        <v>3870432.33</v>
      </c>
      <c r="J80" s="751">
        <f>I80/$I$25</f>
        <v>4.003265077261995E-2</v>
      </c>
    </row>
    <row r="81" spans="1:10" x14ac:dyDescent="0.25">
      <c r="A81" s="743">
        <v>2</v>
      </c>
      <c r="B81" s="744">
        <v>1</v>
      </c>
      <c r="C81" s="744">
        <v>5</v>
      </c>
      <c r="D81" s="744">
        <v>2</v>
      </c>
      <c r="E81" s="744"/>
      <c r="F81" s="743" t="s">
        <v>96</v>
      </c>
      <c r="G81" s="745">
        <f>SUM(G82)</f>
        <v>3875889.48</v>
      </c>
      <c r="H81" s="745">
        <f>SUM(H82)</f>
        <v>0</v>
      </c>
      <c r="I81" s="745">
        <f t="shared" si="0"/>
        <v>3875889.48</v>
      </c>
      <c r="J81" s="752"/>
    </row>
    <row r="82" spans="1:10" x14ac:dyDescent="0.25">
      <c r="A82" s="747">
        <v>2</v>
      </c>
      <c r="B82" s="748">
        <v>1</v>
      </c>
      <c r="C82" s="748">
        <v>5</v>
      </c>
      <c r="D82" s="748">
        <v>2</v>
      </c>
      <c r="E82" s="749" t="s">
        <v>2221</v>
      </c>
      <c r="F82" s="747" t="s">
        <v>96</v>
      </c>
      <c r="G82" s="875">
        <f>'[12]CUENTA T FONDO 100'!AL127</f>
        <v>3875889.48</v>
      </c>
      <c r="H82" s="875">
        <f>'[12]CUENTA T VS'!AL89</f>
        <v>0</v>
      </c>
      <c r="I82" s="875">
        <f t="shared" si="0"/>
        <v>3875889.48</v>
      </c>
      <c r="J82" s="751">
        <f>I82/$I$25</f>
        <v>4.008909515958687E-2</v>
      </c>
    </row>
    <row r="83" spans="1:10" x14ac:dyDescent="0.25">
      <c r="A83" s="743">
        <v>2</v>
      </c>
      <c r="B83" s="744">
        <v>1</v>
      </c>
      <c r="C83" s="744">
        <v>5</v>
      </c>
      <c r="D83" s="744">
        <v>3</v>
      </c>
      <c r="E83" s="744"/>
      <c r="F83" s="743" t="s">
        <v>97</v>
      </c>
      <c r="G83" s="745">
        <f>SUM(G84)</f>
        <v>653772.07000000007</v>
      </c>
      <c r="H83" s="745">
        <f>SUM(H84)</f>
        <v>0</v>
      </c>
      <c r="I83" s="745">
        <f t="shared" si="0"/>
        <v>653772.07000000007</v>
      </c>
      <c r="J83" s="752"/>
    </row>
    <row r="84" spans="1:10" x14ac:dyDescent="0.25">
      <c r="A84" s="747">
        <v>2</v>
      </c>
      <c r="B84" s="748">
        <v>1</v>
      </c>
      <c r="C84" s="748">
        <v>5</v>
      </c>
      <c r="D84" s="748">
        <v>3</v>
      </c>
      <c r="E84" s="749" t="s">
        <v>2221</v>
      </c>
      <c r="F84" s="747" t="s">
        <v>97</v>
      </c>
      <c r="G84" s="875">
        <f>'[12]CUENTA T FONDO 100'!AM127</f>
        <v>653772.07000000007</v>
      </c>
      <c r="H84" s="875">
        <f>'[12]CUENTA T VS'!AM89</f>
        <v>0</v>
      </c>
      <c r="I84" s="875">
        <f t="shared" si="0"/>
        <v>653772.07000000007</v>
      </c>
      <c r="J84" s="751">
        <f>I84/$I$25</f>
        <v>6.7620944462302088E-3</v>
      </c>
    </row>
    <row r="85" spans="1:10" x14ac:dyDescent="0.25">
      <c r="A85" s="743">
        <v>2</v>
      </c>
      <c r="B85" s="744">
        <v>1</v>
      </c>
      <c r="C85" s="744">
        <v>5</v>
      </c>
      <c r="D85" s="744">
        <v>4</v>
      </c>
      <c r="E85" s="744"/>
      <c r="F85" s="743" t="s">
        <v>3881</v>
      </c>
      <c r="G85" s="745">
        <f>SUM(G86)</f>
        <v>0</v>
      </c>
      <c r="H85" s="745">
        <f>SUM(H86)</f>
        <v>0</v>
      </c>
      <c r="I85" s="745">
        <f t="shared" si="0"/>
        <v>0</v>
      </c>
      <c r="J85" s="752"/>
    </row>
    <row r="86" spans="1:10" x14ac:dyDescent="0.25">
      <c r="A86" s="747">
        <v>2</v>
      </c>
      <c r="B86" s="748">
        <v>1</v>
      </c>
      <c r="C86" s="748">
        <v>5</v>
      </c>
      <c r="D86" s="748">
        <v>4</v>
      </c>
      <c r="E86" s="749" t="s">
        <v>2221</v>
      </c>
      <c r="F86" s="747" t="s">
        <v>3881</v>
      </c>
      <c r="G86" s="875">
        <f>'[12]CUENTA T FONDO 100'!AN127</f>
        <v>0</v>
      </c>
      <c r="H86" s="875">
        <f>'[12]CUENTA T VS'!AN89</f>
        <v>0</v>
      </c>
      <c r="I86" s="875">
        <f t="shared" si="0"/>
        <v>0</v>
      </c>
      <c r="J86" s="751">
        <f>I86/$I$25</f>
        <v>0</v>
      </c>
    </row>
    <row r="87" spans="1:10" x14ac:dyDescent="0.25">
      <c r="A87" s="754">
        <v>2</v>
      </c>
      <c r="B87" s="757">
        <v>2</v>
      </c>
      <c r="C87" s="742"/>
      <c r="D87" s="742"/>
      <c r="E87" s="742"/>
      <c r="F87" s="754" t="s">
        <v>3882</v>
      </c>
      <c r="G87" s="874">
        <f>G88+G106+G111+G116+G125+G148+G157+G179+G208</f>
        <v>210535</v>
      </c>
      <c r="H87" s="874">
        <f>H88+H106+H111+H116+H125+H148+H157+H179+H208</f>
        <v>1256712.0899999999</v>
      </c>
      <c r="I87" s="874">
        <f t="shared" si="0"/>
        <v>1467247.0899999999</v>
      </c>
      <c r="J87" s="740">
        <f>I87/$I$25</f>
        <v>1.5176028242589857E-2</v>
      </c>
    </row>
    <row r="88" spans="1:10" x14ac:dyDescent="0.25">
      <c r="A88" s="754">
        <v>2</v>
      </c>
      <c r="B88" s="742">
        <v>2</v>
      </c>
      <c r="C88" s="742">
        <v>1</v>
      </c>
      <c r="D88" s="742"/>
      <c r="E88" s="742"/>
      <c r="F88" s="754" t="s">
        <v>3883</v>
      </c>
      <c r="G88" s="874">
        <f>+G89+G91+G93+G95+G97+G99+G102+G104</f>
        <v>60535</v>
      </c>
      <c r="H88" s="874">
        <f>+H89+H91+H93+H95+H97+H99+H102+H104</f>
        <v>285608.3</v>
      </c>
      <c r="I88" s="874">
        <f t="shared" si="0"/>
        <v>346143.3</v>
      </c>
      <c r="J88" s="740"/>
    </row>
    <row r="89" spans="1:10" x14ac:dyDescent="0.25">
      <c r="A89" s="755">
        <v>2</v>
      </c>
      <c r="B89" s="744">
        <v>2</v>
      </c>
      <c r="C89" s="744">
        <v>1</v>
      </c>
      <c r="D89" s="744">
        <v>1</v>
      </c>
      <c r="E89" s="744"/>
      <c r="F89" s="755" t="s">
        <v>3884</v>
      </c>
      <c r="G89" s="745">
        <f>SUM(G90)</f>
        <v>0</v>
      </c>
      <c r="H89" s="745">
        <f>SUM(H90)</f>
        <v>0</v>
      </c>
      <c r="I89" s="745">
        <f t="shared" ref="I89:I152" si="4">SUM(G89:H89)</f>
        <v>0</v>
      </c>
      <c r="J89" s="752"/>
    </row>
    <row r="90" spans="1:10" x14ac:dyDescent="0.25">
      <c r="A90" s="756">
        <v>2</v>
      </c>
      <c r="B90" s="748">
        <v>2</v>
      </c>
      <c r="C90" s="748">
        <v>1</v>
      </c>
      <c r="D90" s="748">
        <v>1</v>
      </c>
      <c r="E90" s="749" t="s">
        <v>2221</v>
      </c>
      <c r="F90" s="756" t="s">
        <v>3884</v>
      </c>
      <c r="G90" s="875">
        <f>'[12]CUENTA T FONDO 100'!AO127</f>
        <v>0</v>
      </c>
      <c r="H90" s="875">
        <f>'[12]CUENTA T VS'!AO89</f>
        <v>0</v>
      </c>
      <c r="I90" s="875">
        <f t="shared" si="4"/>
        <v>0</v>
      </c>
      <c r="J90" s="751">
        <f>I90/$I$25</f>
        <v>0</v>
      </c>
    </row>
    <row r="91" spans="1:10" x14ac:dyDescent="0.25">
      <c r="A91" s="755">
        <v>2</v>
      </c>
      <c r="B91" s="744">
        <v>2</v>
      </c>
      <c r="C91" s="744">
        <v>1</v>
      </c>
      <c r="D91" s="744">
        <v>2</v>
      </c>
      <c r="E91" s="744"/>
      <c r="F91" s="755" t="s">
        <v>3885</v>
      </c>
      <c r="G91" s="745">
        <f>SUM(G92)</f>
        <v>0</v>
      </c>
      <c r="H91" s="745">
        <f>SUM(H92)</f>
        <v>0</v>
      </c>
      <c r="I91" s="745">
        <f t="shared" si="4"/>
        <v>0</v>
      </c>
      <c r="J91" s="752"/>
    </row>
    <row r="92" spans="1:10" x14ac:dyDescent="0.25">
      <c r="A92" s="756">
        <v>2</v>
      </c>
      <c r="B92" s="748">
        <v>2</v>
      </c>
      <c r="C92" s="748">
        <v>1</v>
      </c>
      <c r="D92" s="748">
        <v>2</v>
      </c>
      <c r="E92" s="749" t="s">
        <v>2221</v>
      </c>
      <c r="F92" s="756" t="s">
        <v>3885</v>
      </c>
      <c r="G92" s="875">
        <f>'[12]CUENTA T FONDO 100'!AP127</f>
        <v>0</v>
      </c>
      <c r="H92" s="875">
        <f>'[12]CUENTA T VS'!AP89</f>
        <v>0</v>
      </c>
      <c r="I92" s="875">
        <f t="shared" si="4"/>
        <v>0</v>
      </c>
      <c r="J92" s="751">
        <f>I92/$I$25</f>
        <v>0</v>
      </c>
    </row>
    <row r="93" spans="1:10" x14ac:dyDescent="0.25">
      <c r="A93" s="755">
        <v>2</v>
      </c>
      <c r="B93" s="744">
        <v>2</v>
      </c>
      <c r="C93" s="744">
        <v>1</v>
      </c>
      <c r="D93" s="744">
        <v>3</v>
      </c>
      <c r="E93" s="744"/>
      <c r="F93" s="755" t="s">
        <v>132</v>
      </c>
      <c r="G93" s="745">
        <f>SUM(G94)</f>
        <v>0</v>
      </c>
      <c r="H93" s="745">
        <f>SUM(H94)</f>
        <v>104569.42</v>
      </c>
      <c r="I93" s="745">
        <f t="shared" si="4"/>
        <v>104569.42</v>
      </c>
      <c r="J93" s="752"/>
    </row>
    <row r="94" spans="1:10" x14ac:dyDescent="0.25">
      <c r="A94" s="756">
        <v>2</v>
      </c>
      <c r="B94" s="748">
        <v>2</v>
      </c>
      <c r="C94" s="748">
        <v>1</v>
      </c>
      <c r="D94" s="748">
        <v>3</v>
      </c>
      <c r="E94" s="749" t="s">
        <v>2221</v>
      </c>
      <c r="F94" s="756" t="s">
        <v>132</v>
      </c>
      <c r="G94" s="875">
        <f>'[12]CUENTA T FONDO 100'!AQ127</f>
        <v>0</v>
      </c>
      <c r="H94" s="875">
        <f>'[12]CUENTA T VS'!AQ89</f>
        <v>104569.42</v>
      </c>
      <c r="I94" s="875">
        <f t="shared" si="4"/>
        <v>104569.42</v>
      </c>
      <c r="J94" s="751">
        <f>I94/$I$25</f>
        <v>1.0815822924762051E-3</v>
      </c>
    </row>
    <row r="95" spans="1:10" x14ac:dyDescent="0.25">
      <c r="A95" s="755">
        <v>2</v>
      </c>
      <c r="B95" s="744">
        <v>2</v>
      </c>
      <c r="C95" s="744">
        <v>1</v>
      </c>
      <c r="D95" s="744">
        <v>4</v>
      </c>
      <c r="E95" s="744"/>
      <c r="F95" s="755" t="s">
        <v>3886</v>
      </c>
      <c r="G95" s="745">
        <f>SUM(G96)</f>
        <v>0</v>
      </c>
      <c r="H95" s="745">
        <f>SUM(H96)</f>
        <v>0</v>
      </c>
      <c r="I95" s="745">
        <f t="shared" si="4"/>
        <v>0</v>
      </c>
      <c r="J95" s="752"/>
    </row>
    <row r="96" spans="1:10" x14ac:dyDescent="0.25">
      <c r="A96" s="756">
        <v>2</v>
      </c>
      <c r="B96" s="748">
        <v>2</v>
      </c>
      <c r="C96" s="748">
        <v>1</v>
      </c>
      <c r="D96" s="748">
        <v>4</v>
      </c>
      <c r="E96" s="749" t="s">
        <v>2221</v>
      </c>
      <c r="F96" s="756" t="s">
        <v>3886</v>
      </c>
      <c r="G96" s="875">
        <f>'[12]CUENTA T FONDO 100'!AR127</f>
        <v>0</v>
      </c>
      <c r="H96" s="875">
        <f>'[12]CUENTA T VS'!AR89</f>
        <v>0</v>
      </c>
      <c r="I96" s="875">
        <f t="shared" si="4"/>
        <v>0</v>
      </c>
      <c r="J96" s="751">
        <f>I96/$I$25</f>
        <v>0</v>
      </c>
    </row>
    <row r="97" spans="1:10" x14ac:dyDescent="0.25">
      <c r="A97" s="755">
        <v>2</v>
      </c>
      <c r="B97" s="744">
        <v>2</v>
      </c>
      <c r="C97" s="744">
        <v>1</v>
      </c>
      <c r="D97" s="744">
        <v>5</v>
      </c>
      <c r="E97" s="744"/>
      <c r="F97" s="755" t="s">
        <v>3887</v>
      </c>
      <c r="G97" s="745">
        <f>SUM(G98)</f>
        <v>0</v>
      </c>
      <c r="H97" s="745">
        <f>SUM(H98)</f>
        <v>106038.88</v>
      </c>
      <c r="I97" s="745">
        <f t="shared" si="4"/>
        <v>106038.88</v>
      </c>
      <c r="J97" s="752"/>
    </row>
    <row r="98" spans="1:10" x14ac:dyDescent="0.25">
      <c r="A98" s="756">
        <v>2</v>
      </c>
      <c r="B98" s="748">
        <v>2</v>
      </c>
      <c r="C98" s="748">
        <v>1</v>
      </c>
      <c r="D98" s="748">
        <v>5</v>
      </c>
      <c r="E98" s="749" t="s">
        <v>2221</v>
      </c>
      <c r="F98" s="756" t="s">
        <v>3887</v>
      </c>
      <c r="G98" s="875">
        <f>'[12]CUENTA T FONDO 100'!AS127</f>
        <v>0</v>
      </c>
      <c r="H98" s="875">
        <f>'[12]CUENTA T VS'!AS89</f>
        <v>106038.88</v>
      </c>
      <c r="I98" s="875">
        <f t="shared" si="4"/>
        <v>106038.88</v>
      </c>
      <c r="J98" s="751">
        <f>I98/$I$25</f>
        <v>1.0967812092867037E-3</v>
      </c>
    </row>
    <row r="99" spans="1:10" x14ac:dyDescent="0.25">
      <c r="A99" s="755">
        <v>2</v>
      </c>
      <c r="B99" s="744">
        <v>2</v>
      </c>
      <c r="C99" s="744">
        <v>1</v>
      </c>
      <c r="D99" s="744">
        <v>6</v>
      </c>
      <c r="E99" s="744"/>
      <c r="F99" s="755" t="s">
        <v>3888</v>
      </c>
      <c r="G99" s="745">
        <f>SUM(G100:G101)</f>
        <v>0</v>
      </c>
      <c r="H99" s="745">
        <f>SUM(H100:H101)</f>
        <v>0</v>
      </c>
      <c r="I99" s="745">
        <f t="shared" si="4"/>
        <v>0</v>
      </c>
      <c r="J99" s="752"/>
    </row>
    <row r="100" spans="1:10" x14ac:dyDescent="0.25">
      <c r="A100" s="756">
        <v>2</v>
      </c>
      <c r="B100" s="748">
        <v>2</v>
      </c>
      <c r="C100" s="748">
        <v>1</v>
      </c>
      <c r="D100" s="748">
        <v>6</v>
      </c>
      <c r="E100" s="749" t="s">
        <v>2221</v>
      </c>
      <c r="F100" s="756" t="s">
        <v>3889</v>
      </c>
      <c r="G100" s="875">
        <f>'[12]CUENTA T FONDO 100'!AT127</f>
        <v>0</v>
      </c>
      <c r="H100" s="875">
        <f>'[12]CUENTA T VS'!AT89</f>
        <v>0</v>
      </c>
      <c r="I100" s="875">
        <f t="shared" si="4"/>
        <v>0</v>
      </c>
      <c r="J100" s="751">
        <f>I100/$I$25</f>
        <v>0</v>
      </c>
    </row>
    <row r="101" spans="1:10" x14ac:dyDescent="0.25">
      <c r="A101" s="756">
        <v>2</v>
      </c>
      <c r="B101" s="748">
        <v>2</v>
      </c>
      <c r="C101" s="748">
        <v>1</v>
      </c>
      <c r="D101" s="748">
        <v>6</v>
      </c>
      <c r="E101" s="749" t="s">
        <v>1733</v>
      </c>
      <c r="F101" s="756" t="s">
        <v>3890</v>
      </c>
      <c r="G101" s="875">
        <f>'[12]CUENTA T FONDO 100'!AU127</f>
        <v>0</v>
      </c>
      <c r="H101" s="875">
        <f>'[12]CUENTA T VS'!AU89</f>
        <v>0</v>
      </c>
      <c r="I101" s="875">
        <f t="shared" si="4"/>
        <v>0</v>
      </c>
      <c r="J101" s="751">
        <f>I101/$I$25</f>
        <v>0</v>
      </c>
    </row>
    <row r="102" spans="1:10" x14ac:dyDescent="0.25">
      <c r="A102" s="755">
        <v>2</v>
      </c>
      <c r="B102" s="744">
        <v>2</v>
      </c>
      <c r="C102" s="744">
        <v>1</v>
      </c>
      <c r="D102" s="744">
        <v>7</v>
      </c>
      <c r="E102" s="744"/>
      <c r="F102" s="755" t="s">
        <v>134</v>
      </c>
      <c r="G102" s="745">
        <f>SUM(G103)</f>
        <v>60535</v>
      </c>
      <c r="H102" s="745">
        <f>SUM(H103)</f>
        <v>0</v>
      </c>
      <c r="I102" s="745">
        <f t="shared" si="4"/>
        <v>60535</v>
      </c>
      <c r="J102" s="752"/>
    </row>
    <row r="103" spans="1:10" x14ac:dyDescent="0.25">
      <c r="A103" s="756">
        <v>2</v>
      </c>
      <c r="B103" s="748">
        <v>2</v>
      </c>
      <c r="C103" s="748">
        <v>1</v>
      </c>
      <c r="D103" s="748">
        <v>7</v>
      </c>
      <c r="E103" s="749" t="s">
        <v>2221</v>
      </c>
      <c r="F103" s="756" t="s">
        <v>134</v>
      </c>
      <c r="G103" s="875">
        <f>'[12]CUENTA T FONDO 100'!AV127</f>
        <v>60535</v>
      </c>
      <c r="H103" s="875">
        <f>'[12]CUENTA T VS'!AV89</f>
        <v>0</v>
      </c>
      <c r="I103" s="875">
        <f t="shared" si="4"/>
        <v>60535</v>
      </c>
      <c r="J103" s="751">
        <f>I103/$I$25</f>
        <v>6.261255353146941E-4</v>
      </c>
    </row>
    <row r="104" spans="1:10" x14ac:dyDescent="0.25">
      <c r="A104" s="755">
        <v>2</v>
      </c>
      <c r="B104" s="744">
        <v>2</v>
      </c>
      <c r="C104" s="744">
        <v>1</v>
      </c>
      <c r="D104" s="744">
        <v>8</v>
      </c>
      <c r="E104" s="744"/>
      <c r="F104" s="755" t="s">
        <v>3891</v>
      </c>
      <c r="G104" s="745">
        <f>SUM(G105)</f>
        <v>0</v>
      </c>
      <c r="H104" s="745">
        <f>SUM(H105)</f>
        <v>75000</v>
      </c>
      <c r="I104" s="745">
        <f t="shared" si="4"/>
        <v>75000</v>
      </c>
      <c r="J104" s="752"/>
    </row>
    <row r="105" spans="1:10" x14ac:dyDescent="0.25">
      <c r="A105" s="756">
        <v>2</v>
      </c>
      <c r="B105" s="748">
        <v>2</v>
      </c>
      <c r="C105" s="748">
        <v>1</v>
      </c>
      <c r="D105" s="748">
        <v>8</v>
      </c>
      <c r="E105" s="749" t="s">
        <v>2221</v>
      </c>
      <c r="F105" s="756" t="s">
        <v>3891</v>
      </c>
      <c r="G105" s="875">
        <f>'[12]CUENTA T FONDO 100'!AW127</f>
        <v>0</v>
      </c>
      <c r="H105" s="875">
        <f>'[12]CUENTA T VS'!AW89</f>
        <v>75000</v>
      </c>
      <c r="I105" s="875">
        <f t="shared" si="4"/>
        <v>75000</v>
      </c>
      <c r="J105" s="751">
        <f>I105/$I$25</f>
        <v>7.7573990499053532E-4</v>
      </c>
    </row>
    <row r="106" spans="1:10" x14ac:dyDescent="0.25">
      <c r="A106" s="754">
        <v>2</v>
      </c>
      <c r="B106" s="742">
        <v>2</v>
      </c>
      <c r="C106" s="742">
        <v>2</v>
      </c>
      <c r="D106" s="742"/>
      <c r="E106" s="742"/>
      <c r="F106" s="754" t="s">
        <v>3892</v>
      </c>
      <c r="G106" s="874">
        <f>+G107+G109</f>
        <v>0</v>
      </c>
      <c r="H106" s="874">
        <f>+H107+H109</f>
        <v>0</v>
      </c>
      <c r="I106" s="874">
        <f t="shared" si="4"/>
        <v>0</v>
      </c>
      <c r="J106" s="740"/>
    </row>
    <row r="107" spans="1:10" x14ac:dyDescent="0.25">
      <c r="A107" s="755">
        <v>2</v>
      </c>
      <c r="B107" s="744">
        <v>2</v>
      </c>
      <c r="C107" s="744">
        <v>2</v>
      </c>
      <c r="D107" s="744">
        <v>1</v>
      </c>
      <c r="E107" s="744"/>
      <c r="F107" s="755" t="s">
        <v>3893</v>
      </c>
      <c r="G107" s="745">
        <f>SUM(G108)</f>
        <v>0</v>
      </c>
      <c r="H107" s="745">
        <f>SUM(H108)</f>
        <v>0</v>
      </c>
      <c r="I107" s="745">
        <f t="shared" si="4"/>
        <v>0</v>
      </c>
      <c r="J107" s="752"/>
    </row>
    <row r="108" spans="1:10" x14ac:dyDescent="0.25">
      <c r="A108" s="756">
        <v>2</v>
      </c>
      <c r="B108" s="748">
        <v>2</v>
      </c>
      <c r="C108" s="748">
        <v>2</v>
      </c>
      <c r="D108" s="748">
        <v>1</v>
      </c>
      <c r="E108" s="749" t="s">
        <v>2221</v>
      </c>
      <c r="F108" s="756" t="s">
        <v>3893</v>
      </c>
      <c r="G108" s="875">
        <f>'[12]CUENTA T FONDO 100'!AX127</f>
        <v>0</v>
      </c>
      <c r="H108" s="875">
        <f>'[12]CUENTA T VS'!AX89</f>
        <v>0</v>
      </c>
      <c r="I108" s="875">
        <f t="shared" si="4"/>
        <v>0</v>
      </c>
      <c r="J108" s="751">
        <f>I108/$I$25</f>
        <v>0</v>
      </c>
    </row>
    <row r="109" spans="1:10" x14ac:dyDescent="0.25">
      <c r="A109" s="755">
        <v>2</v>
      </c>
      <c r="B109" s="744">
        <v>2</v>
      </c>
      <c r="C109" s="744">
        <v>2</v>
      </c>
      <c r="D109" s="744">
        <v>2</v>
      </c>
      <c r="E109" s="744"/>
      <c r="F109" s="755" t="s">
        <v>3894</v>
      </c>
      <c r="G109" s="745">
        <f>SUM(G110)</f>
        <v>0</v>
      </c>
      <c r="H109" s="745">
        <f>SUM(H110)</f>
        <v>0</v>
      </c>
      <c r="I109" s="745">
        <f t="shared" si="4"/>
        <v>0</v>
      </c>
      <c r="J109" s="752"/>
    </row>
    <row r="110" spans="1:10" x14ac:dyDescent="0.25">
      <c r="A110" s="756">
        <v>2</v>
      </c>
      <c r="B110" s="748">
        <v>2</v>
      </c>
      <c r="C110" s="748">
        <v>2</v>
      </c>
      <c r="D110" s="748">
        <v>2</v>
      </c>
      <c r="E110" s="749" t="s">
        <v>2221</v>
      </c>
      <c r="F110" s="756" t="s">
        <v>3894</v>
      </c>
      <c r="G110" s="875">
        <f>'[12]CUENTA T FONDO 100'!AY127</f>
        <v>0</v>
      </c>
      <c r="H110" s="875">
        <f>'[12]CUENTA T VS'!AY89</f>
        <v>0</v>
      </c>
      <c r="I110" s="875">
        <f t="shared" si="4"/>
        <v>0</v>
      </c>
      <c r="J110" s="751">
        <f>I110/$I$25</f>
        <v>0</v>
      </c>
    </row>
    <row r="111" spans="1:10" x14ac:dyDescent="0.25">
      <c r="A111" s="754">
        <v>2</v>
      </c>
      <c r="B111" s="742">
        <v>2</v>
      </c>
      <c r="C111" s="742">
        <v>3</v>
      </c>
      <c r="D111" s="742"/>
      <c r="E111" s="742"/>
      <c r="F111" s="754" t="s">
        <v>3895</v>
      </c>
      <c r="G111" s="874">
        <f>+G112+G114</f>
        <v>0</v>
      </c>
      <c r="H111" s="874">
        <f>+H112+H114</f>
        <v>0</v>
      </c>
      <c r="I111" s="874">
        <f t="shared" si="4"/>
        <v>0</v>
      </c>
      <c r="J111" s="740"/>
    </row>
    <row r="112" spans="1:10" x14ac:dyDescent="0.25">
      <c r="A112" s="755">
        <v>2</v>
      </c>
      <c r="B112" s="744">
        <v>2</v>
      </c>
      <c r="C112" s="744">
        <v>3</v>
      </c>
      <c r="D112" s="744">
        <v>1</v>
      </c>
      <c r="E112" s="744"/>
      <c r="F112" s="755" t="s">
        <v>3896</v>
      </c>
      <c r="G112" s="745">
        <f>SUM(G113)</f>
        <v>0</v>
      </c>
      <c r="H112" s="745">
        <f>SUM(H113)</f>
        <v>0</v>
      </c>
      <c r="I112" s="745">
        <f t="shared" si="4"/>
        <v>0</v>
      </c>
      <c r="J112" s="752"/>
    </row>
    <row r="113" spans="1:10" x14ac:dyDescent="0.25">
      <c r="A113" s="756">
        <v>2</v>
      </c>
      <c r="B113" s="748">
        <v>2</v>
      </c>
      <c r="C113" s="748">
        <v>3</v>
      </c>
      <c r="D113" s="748">
        <v>1</v>
      </c>
      <c r="E113" s="749" t="s">
        <v>2221</v>
      </c>
      <c r="F113" s="756" t="s">
        <v>3896</v>
      </c>
      <c r="G113" s="875">
        <f>'[12]CUENTA T FONDO 100'!AZ127</f>
        <v>0</v>
      </c>
      <c r="H113" s="875">
        <f>'[12]CUENTA T VS'!AZ89</f>
        <v>0</v>
      </c>
      <c r="I113" s="875">
        <f t="shared" si="4"/>
        <v>0</v>
      </c>
      <c r="J113" s="751">
        <f>I113/$I$25</f>
        <v>0</v>
      </c>
    </row>
    <row r="114" spans="1:10" x14ac:dyDescent="0.25">
      <c r="A114" s="755">
        <v>2</v>
      </c>
      <c r="B114" s="744">
        <v>2</v>
      </c>
      <c r="C114" s="744">
        <v>3</v>
      </c>
      <c r="D114" s="744">
        <v>2</v>
      </c>
      <c r="E114" s="744"/>
      <c r="F114" s="755" t="s">
        <v>3897</v>
      </c>
      <c r="G114" s="745">
        <f>SUM(G115)</f>
        <v>0</v>
      </c>
      <c r="H114" s="745">
        <f>SUM(H115)</f>
        <v>0</v>
      </c>
      <c r="I114" s="745">
        <f t="shared" si="4"/>
        <v>0</v>
      </c>
      <c r="J114" s="752"/>
    </row>
    <row r="115" spans="1:10" x14ac:dyDescent="0.25">
      <c r="A115" s="756">
        <v>2</v>
      </c>
      <c r="B115" s="748">
        <v>2</v>
      </c>
      <c r="C115" s="748">
        <v>3</v>
      </c>
      <c r="D115" s="748">
        <v>2</v>
      </c>
      <c r="E115" s="749" t="s">
        <v>2221</v>
      </c>
      <c r="F115" s="756" t="s">
        <v>3897</v>
      </c>
      <c r="G115" s="875">
        <f>'[12]CUENTA T FONDO 100'!BA127</f>
        <v>0</v>
      </c>
      <c r="H115" s="875">
        <f>'[12]CUENTA T VS'!BA89</f>
        <v>0</v>
      </c>
      <c r="I115" s="875">
        <f t="shared" si="4"/>
        <v>0</v>
      </c>
      <c r="J115" s="751">
        <f>I115/$I$25</f>
        <v>0</v>
      </c>
    </row>
    <row r="116" spans="1:10" x14ac:dyDescent="0.25">
      <c r="A116" s="754">
        <v>2</v>
      </c>
      <c r="B116" s="742">
        <v>2</v>
      </c>
      <c r="C116" s="742">
        <v>4</v>
      </c>
      <c r="D116" s="742"/>
      <c r="E116" s="742"/>
      <c r="F116" s="754" t="s">
        <v>170</v>
      </c>
      <c r="G116" s="874">
        <f>+G117+G119+G121+G123</f>
        <v>0</v>
      </c>
      <c r="H116" s="874">
        <f>+H117+H119+H121+H123</f>
        <v>0</v>
      </c>
      <c r="I116" s="874">
        <f t="shared" si="4"/>
        <v>0</v>
      </c>
      <c r="J116" s="740"/>
    </row>
    <row r="117" spans="1:10" x14ac:dyDescent="0.25">
      <c r="A117" s="755">
        <v>2</v>
      </c>
      <c r="B117" s="744">
        <v>2</v>
      </c>
      <c r="C117" s="744">
        <v>4</v>
      </c>
      <c r="D117" s="744">
        <v>1</v>
      </c>
      <c r="E117" s="744"/>
      <c r="F117" s="755" t="s">
        <v>3898</v>
      </c>
      <c r="G117" s="745">
        <f>SUM(G118)</f>
        <v>0</v>
      </c>
      <c r="H117" s="745">
        <f>SUM(H118)</f>
        <v>0</v>
      </c>
      <c r="I117" s="745">
        <f t="shared" si="4"/>
        <v>0</v>
      </c>
      <c r="J117" s="752"/>
    </row>
    <row r="118" spans="1:10" x14ac:dyDescent="0.25">
      <c r="A118" s="756">
        <v>2</v>
      </c>
      <c r="B118" s="748">
        <v>2</v>
      </c>
      <c r="C118" s="748">
        <v>4</v>
      </c>
      <c r="D118" s="748">
        <v>1</v>
      </c>
      <c r="E118" s="749" t="s">
        <v>2221</v>
      </c>
      <c r="F118" s="756" t="s">
        <v>3898</v>
      </c>
      <c r="G118" s="875">
        <f>'[12]CUENTA T FONDO 100'!BB127</f>
        <v>0</v>
      </c>
      <c r="H118" s="875">
        <f>'[12]CUENTA T VS'!BB89</f>
        <v>0</v>
      </c>
      <c r="I118" s="875">
        <f t="shared" si="4"/>
        <v>0</v>
      </c>
      <c r="J118" s="751">
        <f>I118/$I$25</f>
        <v>0</v>
      </c>
    </row>
    <row r="119" spans="1:10" x14ac:dyDescent="0.25">
      <c r="A119" s="755">
        <v>2</v>
      </c>
      <c r="B119" s="744">
        <v>2</v>
      </c>
      <c r="C119" s="744">
        <v>4</v>
      </c>
      <c r="D119" s="744">
        <v>2</v>
      </c>
      <c r="E119" s="744"/>
      <c r="F119" s="755" t="s">
        <v>137</v>
      </c>
      <c r="G119" s="745">
        <f>SUM(G120)</f>
        <v>0</v>
      </c>
      <c r="H119" s="745">
        <f>SUM(H120)</f>
        <v>0</v>
      </c>
      <c r="I119" s="745">
        <f t="shared" si="4"/>
        <v>0</v>
      </c>
      <c r="J119" s="752"/>
    </row>
    <row r="120" spans="1:10" x14ac:dyDescent="0.25">
      <c r="A120" s="756">
        <v>2</v>
      </c>
      <c r="B120" s="748">
        <v>2</v>
      </c>
      <c r="C120" s="748">
        <v>4</v>
      </c>
      <c r="D120" s="748">
        <v>2</v>
      </c>
      <c r="E120" s="749" t="s">
        <v>2221</v>
      </c>
      <c r="F120" s="756" t="s">
        <v>137</v>
      </c>
      <c r="G120" s="875">
        <f>'[12]CUENTA T FONDO 100'!BC127</f>
        <v>0</v>
      </c>
      <c r="H120" s="875">
        <f>'[12]CUENTA T VS'!BC89</f>
        <v>0</v>
      </c>
      <c r="I120" s="875">
        <f t="shared" si="4"/>
        <v>0</v>
      </c>
      <c r="J120" s="751">
        <f>I120/$I$25</f>
        <v>0</v>
      </c>
    </row>
    <row r="121" spans="1:10" x14ac:dyDescent="0.25">
      <c r="A121" s="755">
        <v>2</v>
      </c>
      <c r="B121" s="744">
        <v>2</v>
      </c>
      <c r="C121" s="744">
        <v>4</v>
      </c>
      <c r="D121" s="744">
        <v>3</v>
      </c>
      <c r="E121" s="744"/>
      <c r="F121" s="755" t="s">
        <v>3899</v>
      </c>
      <c r="G121" s="745">
        <f>SUM(G122)</f>
        <v>0</v>
      </c>
      <c r="H121" s="745">
        <f>SUM(H122)</f>
        <v>0</v>
      </c>
      <c r="I121" s="745">
        <f t="shared" si="4"/>
        <v>0</v>
      </c>
      <c r="J121" s="752"/>
    </row>
    <row r="122" spans="1:10" x14ac:dyDescent="0.25">
      <c r="A122" s="756">
        <v>2</v>
      </c>
      <c r="B122" s="748">
        <v>2</v>
      </c>
      <c r="C122" s="748">
        <v>4</v>
      </c>
      <c r="D122" s="748">
        <v>3</v>
      </c>
      <c r="E122" s="749" t="s">
        <v>2221</v>
      </c>
      <c r="F122" s="756" t="s">
        <v>3899</v>
      </c>
      <c r="G122" s="875">
        <f>'[12]CUENTA T FONDO 100'!BD127</f>
        <v>0</v>
      </c>
      <c r="H122" s="875">
        <f>'[12]CUENTA T VS'!BD89</f>
        <v>0</v>
      </c>
      <c r="I122" s="875">
        <f t="shared" si="4"/>
        <v>0</v>
      </c>
      <c r="J122" s="751">
        <f>I122/$I$25</f>
        <v>0</v>
      </c>
    </row>
    <row r="123" spans="1:10" x14ac:dyDescent="0.25">
      <c r="A123" s="755">
        <v>2</v>
      </c>
      <c r="B123" s="744">
        <v>2</v>
      </c>
      <c r="C123" s="744">
        <v>4</v>
      </c>
      <c r="D123" s="744">
        <v>4</v>
      </c>
      <c r="E123" s="744"/>
      <c r="F123" s="755" t="s">
        <v>3900</v>
      </c>
      <c r="G123" s="745">
        <f>SUM(G124)</f>
        <v>0</v>
      </c>
      <c r="H123" s="745">
        <f>SUM(H124)</f>
        <v>0</v>
      </c>
      <c r="I123" s="745">
        <f t="shared" si="4"/>
        <v>0</v>
      </c>
      <c r="J123" s="752"/>
    </row>
    <row r="124" spans="1:10" x14ac:dyDescent="0.25">
      <c r="A124" s="756">
        <v>2</v>
      </c>
      <c r="B124" s="748">
        <v>2</v>
      </c>
      <c r="C124" s="748">
        <v>4</v>
      </c>
      <c r="D124" s="748">
        <v>4</v>
      </c>
      <c r="E124" s="749" t="s">
        <v>2221</v>
      </c>
      <c r="F124" s="756" t="s">
        <v>3900</v>
      </c>
      <c r="G124" s="875">
        <f>'[12]CUENTA T FONDO 100'!BE127</f>
        <v>0</v>
      </c>
      <c r="H124" s="875">
        <f>'[12]CUENTA T VS'!BE89</f>
        <v>0</v>
      </c>
      <c r="I124" s="875">
        <f t="shared" si="4"/>
        <v>0</v>
      </c>
      <c r="J124" s="751">
        <f>I124/$I$25</f>
        <v>0</v>
      </c>
    </row>
    <row r="125" spans="1:10" x14ac:dyDescent="0.25">
      <c r="A125" s="741">
        <v>2</v>
      </c>
      <c r="B125" s="742">
        <v>2</v>
      </c>
      <c r="C125" s="742">
        <v>5</v>
      </c>
      <c r="D125" s="742"/>
      <c r="E125" s="742"/>
      <c r="F125" s="754" t="s">
        <v>3901</v>
      </c>
      <c r="G125" s="874">
        <f>+G126+G128+G130+G136+G138+G140+G142+G144+G146</f>
        <v>150000</v>
      </c>
      <c r="H125" s="874">
        <f t="shared" ref="H125" si="5">+H126+H128+H130+H136+H138+H140+H142+H144+H146</f>
        <v>229519.78</v>
      </c>
      <c r="I125" s="874">
        <f t="shared" si="4"/>
        <v>379519.78</v>
      </c>
      <c r="J125" s="740"/>
    </row>
    <row r="126" spans="1:10" x14ac:dyDescent="0.25">
      <c r="A126" s="755">
        <v>2</v>
      </c>
      <c r="B126" s="744">
        <v>2</v>
      </c>
      <c r="C126" s="744">
        <v>5</v>
      </c>
      <c r="D126" s="744">
        <v>1</v>
      </c>
      <c r="E126" s="758"/>
      <c r="F126" s="755" t="s">
        <v>3902</v>
      </c>
      <c r="G126" s="745">
        <f>SUM(G127)</f>
        <v>0</v>
      </c>
      <c r="H126" s="745">
        <f>SUM(H127)</f>
        <v>0</v>
      </c>
      <c r="I126" s="745">
        <f t="shared" si="4"/>
        <v>0</v>
      </c>
      <c r="J126" s="752"/>
    </row>
    <row r="127" spans="1:10" x14ac:dyDescent="0.25">
      <c r="A127" s="756">
        <v>2</v>
      </c>
      <c r="B127" s="748">
        <v>2</v>
      </c>
      <c r="C127" s="748">
        <v>5</v>
      </c>
      <c r="D127" s="748">
        <v>1</v>
      </c>
      <c r="E127" s="749" t="s">
        <v>2221</v>
      </c>
      <c r="F127" s="756" t="s">
        <v>3902</v>
      </c>
      <c r="G127" s="875">
        <f>'[12]CUENTA T FONDO 100'!BF127</f>
        <v>0</v>
      </c>
      <c r="H127" s="875">
        <f>'[12]CUENTA T VS'!BF89</f>
        <v>0</v>
      </c>
      <c r="I127" s="875">
        <f t="shared" si="4"/>
        <v>0</v>
      </c>
      <c r="J127" s="751">
        <f>I127/$I$25</f>
        <v>0</v>
      </c>
    </row>
    <row r="128" spans="1:10" x14ac:dyDescent="0.25">
      <c r="A128" s="755">
        <v>2</v>
      </c>
      <c r="B128" s="744">
        <v>2</v>
      </c>
      <c r="C128" s="744">
        <v>5</v>
      </c>
      <c r="D128" s="744">
        <v>2</v>
      </c>
      <c r="E128" s="758"/>
      <c r="F128" s="755" t="s">
        <v>3903</v>
      </c>
      <c r="G128" s="745">
        <f>SUM(G129)</f>
        <v>0</v>
      </c>
      <c r="H128" s="745">
        <f>SUM(H129)</f>
        <v>0</v>
      </c>
      <c r="I128" s="745">
        <f t="shared" si="4"/>
        <v>0</v>
      </c>
      <c r="J128" s="752"/>
    </row>
    <row r="129" spans="1:10" x14ac:dyDescent="0.25">
      <c r="A129" s="756">
        <v>2</v>
      </c>
      <c r="B129" s="748">
        <v>2</v>
      </c>
      <c r="C129" s="748">
        <v>5</v>
      </c>
      <c r="D129" s="748">
        <v>2</v>
      </c>
      <c r="E129" s="749" t="s">
        <v>2221</v>
      </c>
      <c r="F129" s="756" t="s">
        <v>3904</v>
      </c>
      <c r="G129" s="875">
        <f>'[12]CUENTA T FONDO 100'!BG127</f>
        <v>0</v>
      </c>
      <c r="H129" s="875">
        <f>'[12]CUENTA T VS'!BG89</f>
        <v>0</v>
      </c>
      <c r="I129" s="875">
        <f t="shared" si="4"/>
        <v>0</v>
      </c>
      <c r="J129" s="751">
        <f>I129/$I$25</f>
        <v>0</v>
      </c>
    </row>
    <row r="130" spans="1:10" x14ac:dyDescent="0.25">
      <c r="A130" s="755">
        <v>2</v>
      </c>
      <c r="B130" s="744">
        <v>2</v>
      </c>
      <c r="C130" s="744">
        <v>5</v>
      </c>
      <c r="D130" s="744">
        <v>3</v>
      </c>
      <c r="E130" s="758"/>
      <c r="F130" s="755" t="s">
        <v>3905</v>
      </c>
      <c r="G130" s="745">
        <f>SUM(G131:G135)</f>
        <v>0</v>
      </c>
      <c r="H130" s="745">
        <f>SUM(H131:H135)</f>
        <v>229519.78</v>
      </c>
      <c r="I130" s="745">
        <f t="shared" si="4"/>
        <v>229519.78</v>
      </c>
      <c r="J130" s="752"/>
    </row>
    <row r="131" spans="1:10" x14ac:dyDescent="0.25">
      <c r="A131" s="756">
        <v>2</v>
      </c>
      <c r="B131" s="748">
        <v>2</v>
      </c>
      <c r="C131" s="748">
        <v>5</v>
      </c>
      <c r="D131" s="748">
        <v>3</v>
      </c>
      <c r="E131" s="749" t="s">
        <v>2221</v>
      </c>
      <c r="F131" s="756" t="s">
        <v>138</v>
      </c>
      <c r="G131" s="875">
        <f>'[12]CUENTA T FONDO 100'!BH127</f>
        <v>0</v>
      </c>
      <c r="H131" s="875">
        <f>'[12]CUENTA T VS'!BH89</f>
        <v>0</v>
      </c>
      <c r="I131" s="875">
        <f t="shared" si="4"/>
        <v>0</v>
      </c>
      <c r="J131" s="751">
        <f>I131/$I$25</f>
        <v>0</v>
      </c>
    </row>
    <row r="132" spans="1:10" x14ac:dyDescent="0.25">
      <c r="A132" s="756">
        <v>2</v>
      </c>
      <c r="B132" s="748">
        <v>2</v>
      </c>
      <c r="C132" s="748">
        <v>5</v>
      </c>
      <c r="D132" s="748">
        <v>3</v>
      </c>
      <c r="E132" s="749" t="s">
        <v>1733</v>
      </c>
      <c r="F132" s="756" t="s">
        <v>3906</v>
      </c>
      <c r="G132" s="875">
        <f>'[12]CUENTA T FONDO 100'!BI127</f>
        <v>0</v>
      </c>
      <c r="H132" s="875">
        <f>'[12]CUENTA T VS'!BI89</f>
        <v>229519.78</v>
      </c>
      <c r="I132" s="875">
        <f t="shared" si="4"/>
        <v>229519.78</v>
      </c>
      <c r="J132" s="751">
        <f>I132/$I$25</f>
        <v>2.3739686977419807E-3</v>
      </c>
    </row>
    <row r="133" spans="1:10" x14ac:dyDescent="0.25">
      <c r="A133" s="756">
        <v>2</v>
      </c>
      <c r="B133" s="748">
        <v>2</v>
      </c>
      <c r="C133" s="748">
        <v>5</v>
      </c>
      <c r="D133" s="748">
        <v>3</v>
      </c>
      <c r="E133" s="749" t="s">
        <v>3839</v>
      </c>
      <c r="F133" s="756" t="s">
        <v>3907</v>
      </c>
      <c r="G133" s="875">
        <f>'[12]CUENTA T FONDO 100'!BJ127</f>
        <v>0</v>
      </c>
      <c r="H133" s="875">
        <f>'[12]CUENTA T VS'!BJ89</f>
        <v>0</v>
      </c>
      <c r="I133" s="875">
        <f t="shared" si="4"/>
        <v>0</v>
      </c>
      <c r="J133" s="751">
        <f>I133/$I$25</f>
        <v>0</v>
      </c>
    </row>
    <row r="134" spans="1:10" x14ac:dyDescent="0.25">
      <c r="A134" s="756">
        <v>2</v>
      </c>
      <c r="B134" s="748">
        <v>2</v>
      </c>
      <c r="C134" s="748">
        <v>5</v>
      </c>
      <c r="D134" s="748">
        <v>3</v>
      </c>
      <c r="E134" s="749" t="s">
        <v>625</v>
      </c>
      <c r="F134" s="756" t="s">
        <v>141</v>
      </c>
      <c r="G134" s="875">
        <f>'[12]CUENTA T FONDO 100'!BK127</f>
        <v>0</v>
      </c>
      <c r="H134" s="875">
        <f>'[12]CUENTA T VS'!BK89</f>
        <v>0</v>
      </c>
      <c r="I134" s="875">
        <f t="shared" si="4"/>
        <v>0</v>
      </c>
      <c r="J134" s="751">
        <f>I134/$I$25</f>
        <v>0</v>
      </c>
    </row>
    <row r="135" spans="1:10" x14ac:dyDescent="0.25">
      <c r="A135" s="756">
        <v>2</v>
      </c>
      <c r="B135" s="748">
        <v>2</v>
      </c>
      <c r="C135" s="748">
        <v>5</v>
      </c>
      <c r="D135" s="748">
        <v>3</v>
      </c>
      <c r="E135" s="749" t="s">
        <v>3842</v>
      </c>
      <c r="F135" s="756" t="s">
        <v>3908</v>
      </c>
      <c r="G135" s="875">
        <f>'[12]CUENTA T FONDO 100'!BL127</f>
        <v>0</v>
      </c>
      <c r="H135" s="875">
        <f>'[12]CUENTA T VS'!BL89</f>
        <v>0</v>
      </c>
      <c r="I135" s="875">
        <f t="shared" si="4"/>
        <v>0</v>
      </c>
      <c r="J135" s="751">
        <f>I135/$I$25</f>
        <v>0</v>
      </c>
    </row>
    <row r="136" spans="1:10" x14ac:dyDescent="0.25">
      <c r="A136" s="755">
        <v>2</v>
      </c>
      <c r="B136" s="744">
        <v>2</v>
      </c>
      <c r="C136" s="744">
        <v>5</v>
      </c>
      <c r="D136" s="744">
        <v>4</v>
      </c>
      <c r="E136" s="758"/>
      <c r="F136" s="755" t="s">
        <v>3909</v>
      </c>
      <c r="G136" s="745">
        <f>SUM(G137)</f>
        <v>0</v>
      </c>
      <c r="H136" s="745">
        <f>SUM(H137)</f>
        <v>0</v>
      </c>
      <c r="I136" s="745">
        <f t="shared" si="4"/>
        <v>0</v>
      </c>
      <c r="J136" s="752"/>
    </row>
    <row r="137" spans="1:10" x14ac:dyDescent="0.25">
      <c r="A137" s="756">
        <v>2</v>
      </c>
      <c r="B137" s="748">
        <v>2</v>
      </c>
      <c r="C137" s="748">
        <v>5</v>
      </c>
      <c r="D137" s="748">
        <v>4</v>
      </c>
      <c r="E137" s="749" t="s">
        <v>2221</v>
      </c>
      <c r="F137" s="756" t="s">
        <v>3909</v>
      </c>
      <c r="G137" s="875">
        <f>'[12]CUENTA T FONDO 100'!BM127</f>
        <v>0</v>
      </c>
      <c r="H137" s="875">
        <f>'[12]CUENTA T VS'!BM89</f>
        <v>0</v>
      </c>
      <c r="I137" s="875">
        <f t="shared" si="4"/>
        <v>0</v>
      </c>
      <c r="J137" s="751">
        <f>I137/$I$25</f>
        <v>0</v>
      </c>
    </row>
    <row r="138" spans="1:10" x14ac:dyDescent="0.25">
      <c r="A138" s="755">
        <v>2</v>
      </c>
      <c r="B138" s="744">
        <v>2</v>
      </c>
      <c r="C138" s="744">
        <v>5</v>
      </c>
      <c r="D138" s="744">
        <v>5</v>
      </c>
      <c r="E138" s="758"/>
      <c r="F138" s="755" t="s">
        <v>3910</v>
      </c>
      <c r="G138" s="745">
        <f>SUM(G139)</f>
        <v>0</v>
      </c>
      <c r="H138" s="745">
        <f>SUM(H139)</f>
        <v>0</v>
      </c>
      <c r="I138" s="745">
        <f t="shared" si="4"/>
        <v>0</v>
      </c>
      <c r="J138" s="752"/>
    </row>
    <row r="139" spans="1:10" x14ac:dyDescent="0.25">
      <c r="A139" s="756">
        <v>2</v>
      </c>
      <c r="B139" s="748">
        <v>2</v>
      </c>
      <c r="C139" s="748">
        <v>5</v>
      </c>
      <c r="D139" s="748">
        <v>5</v>
      </c>
      <c r="E139" s="749" t="s">
        <v>2221</v>
      </c>
      <c r="F139" s="756" t="s">
        <v>3910</v>
      </c>
      <c r="G139" s="875">
        <f>'[12]CUENTA T FONDO 100'!BN127</f>
        <v>0</v>
      </c>
      <c r="H139" s="875">
        <f>'[12]CUENTA T VS'!BN89</f>
        <v>0</v>
      </c>
      <c r="I139" s="875">
        <f t="shared" si="4"/>
        <v>0</v>
      </c>
      <c r="J139" s="751">
        <f>I139/$I$25</f>
        <v>0</v>
      </c>
    </row>
    <row r="140" spans="1:10" x14ac:dyDescent="0.25">
      <c r="A140" s="755">
        <v>2</v>
      </c>
      <c r="B140" s="744">
        <v>2</v>
      </c>
      <c r="C140" s="744">
        <v>5</v>
      </c>
      <c r="D140" s="744">
        <v>6</v>
      </c>
      <c r="E140" s="758"/>
      <c r="F140" s="755" t="s">
        <v>3911</v>
      </c>
      <c r="G140" s="745">
        <f>SUM(G141)</f>
        <v>0</v>
      </c>
      <c r="H140" s="745">
        <f>SUM(H141)</f>
        <v>0</v>
      </c>
      <c r="I140" s="745">
        <f t="shared" si="4"/>
        <v>0</v>
      </c>
      <c r="J140" s="752"/>
    </row>
    <row r="141" spans="1:10" x14ac:dyDescent="0.25">
      <c r="A141" s="756">
        <v>2</v>
      </c>
      <c r="B141" s="748">
        <v>2</v>
      </c>
      <c r="C141" s="748">
        <v>5</v>
      </c>
      <c r="D141" s="748">
        <v>6</v>
      </c>
      <c r="E141" s="749" t="s">
        <v>2221</v>
      </c>
      <c r="F141" s="756" t="s">
        <v>3911</v>
      </c>
      <c r="G141" s="875">
        <f>'[12]CUENTA T FONDO 100'!BO127</f>
        <v>0</v>
      </c>
      <c r="H141" s="875">
        <f>'[12]CUENTA T VS'!BO89</f>
        <v>0</v>
      </c>
      <c r="I141" s="875">
        <f t="shared" si="4"/>
        <v>0</v>
      </c>
      <c r="J141" s="751">
        <f>I141/$I$25</f>
        <v>0</v>
      </c>
    </row>
    <row r="142" spans="1:10" x14ac:dyDescent="0.25">
      <c r="A142" s="755">
        <v>2</v>
      </c>
      <c r="B142" s="744">
        <v>2</v>
      </c>
      <c r="C142" s="744">
        <v>5</v>
      </c>
      <c r="D142" s="744">
        <v>7</v>
      </c>
      <c r="E142" s="758"/>
      <c r="F142" s="755" t="s">
        <v>3912</v>
      </c>
      <c r="G142" s="745">
        <f>SUM(G143)</f>
        <v>0</v>
      </c>
      <c r="H142" s="745">
        <f>SUM(H143)</f>
        <v>0</v>
      </c>
      <c r="I142" s="745">
        <f t="shared" si="4"/>
        <v>0</v>
      </c>
      <c r="J142" s="752"/>
    </row>
    <row r="143" spans="1:10" x14ac:dyDescent="0.25">
      <c r="A143" s="756">
        <v>2</v>
      </c>
      <c r="B143" s="748">
        <v>2</v>
      </c>
      <c r="C143" s="748">
        <v>5</v>
      </c>
      <c r="D143" s="748">
        <v>7</v>
      </c>
      <c r="E143" s="749" t="s">
        <v>2221</v>
      </c>
      <c r="F143" s="756" t="s">
        <v>3912</v>
      </c>
      <c r="G143" s="875">
        <f>'[12]CUENTA T FONDO 100'!BP127</f>
        <v>0</v>
      </c>
      <c r="H143" s="875">
        <f>'[12]CUENTA T VS'!BP89</f>
        <v>0</v>
      </c>
      <c r="I143" s="875">
        <f t="shared" si="4"/>
        <v>0</v>
      </c>
      <c r="J143" s="751">
        <f>I143/$I$25</f>
        <v>0</v>
      </c>
    </row>
    <row r="144" spans="1:10" x14ac:dyDescent="0.25">
      <c r="A144" s="755">
        <v>2</v>
      </c>
      <c r="B144" s="744">
        <v>2</v>
      </c>
      <c r="C144" s="744">
        <v>5</v>
      </c>
      <c r="D144" s="744">
        <v>8</v>
      </c>
      <c r="E144" s="758"/>
      <c r="F144" s="755" t="s">
        <v>2937</v>
      </c>
      <c r="G144" s="745">
        <f>SUM(G145)</f>
        <v>0</v>
      </c>
      <c r="H144" s="745">
        <f>SUM(H145)</f>
        <v>0</v>
      </c>
      <c r="I144" s="745">
        <f t="shared" si="4"/>
        <v>0</v>
      </c>
      <c r="J144" s="752"/>
    </row>
    <row r="145" spans="1:10" x14ac:dyDescent="0.25">
      <c r="A145" s="756">
        <v>2</v>
      </c>
      <c r="B145" s="748">
        <v>2</v>
      </c>
      <c r="C145" s="748">
        <v>5</v>
      </c>
      <c r="D145" s="748">
        <v>8</v>
      </c>
      <c r="E145" s="749" t="s">
        <v>2221</v>
      </c>
      <c r="F145" s="756" t="s">
        <v>2937</v>
      </c>
      <c r="G145" s="875">
        <f>'[12]CUENTA T FONDO 100'!BQ127</f>
        <v>0</v>
      </c>
      <c r="H145" s="875">
        <f>'[12]CUENTA T VS'!BQ89</f>
        <v>0</v>
      </c>
      <c r="I145" s="875">
        <f t="shared" si="4"/>
        <v>0</v>
      </c>
      <c r="J145" s="751">
        <f>I145/$I$25</f>
        <v>0</v>
      </c>
    </row>
    <row r="146" spans="1:10" x14ac:dyDescent="0.25">
      <c r="A146" s="755">
        <v>2</v>
      </c>
      <c r="B146" s="744">
        <v>2</v>
      </c>
      <c r="C146" s="744">
        <v>5</v>
      </c>
      <c r="D146" s="744">
        <v>9</v>
      </c>
      <c r="E146" s="758"/>
      <c r="F146" s="755" t="s">
        <v>3913</v>
      </c>
      <c r="G146" s="745">
        <f>SUM(G147)</f>
        <v>150000</v>
      </c>
      <c r="H146" s="745">
        <f>SUM(H147)</f>
        <v>0</v>
      </c>
      <c r="I146" s="745">
        <f t="shared" si="4"/>
        <v>150000</v>
      </c>
      <c r="J146" s="752"/>
    </row>
    <row r="147" spans="1:10" x14ac:dyDescent="0.25">
      <c r="A147" s="756">
        <v>2</v>
      </c>
      <c r="B147" s="748">
        <v>2</v>
      </c>
      <c r="C147" s="748">
        <v>5</v>
      </c>
      <c r="D147" s="748">
        <v>9</v>
      </c>
      <c r="E147" s="749" t="s">
        <v>2221</v>
      </c>
      <c r="F147" s="756" t="s">
        <v>3914</v>
      </c>
      <c r="G147" s="875">
        <f>'[12]CUENTA T FONDO 100'!BR127</f>
        <v>150000</v>
      </c>
      <c r="H147" s="875">
        <f>'[12]CUENTA T VS'!BR89</f>
        <v>0</v>
      </c>
      <c r="I147" s="875">
        <f t="shared" si="4"/>
        <v>150000</v>
      </c>
      <c r="J147" s="751">
        <f>I147/$I$25</f>
        <v>1.5514798099810706E-3</v>
      </c>
    </row>
    <row r="148" spans="1:10" x14ac:dyDescent="0.25">
      <c r="A148" s="741">
        <v>2</v>
      </c>
      <c r="B148" s="742">
        <v>2</v>
      </c>
      <c r="C148" s="742">
        <v>6</v>
      </c>
      <c r="D148" s="742"/>
      <c r="E148" s="742"/>
      <c r="F148" s="754" t="s">
        <v>3742</v>
      </c>
      <c r="G148" s="874">
        <f>+G149+G151+G153+G155</f>
        <v>0</v>
      </c>
      <c r="H148" s="874">
        <f>+H149+H151+H153+H155</f>
        <v>0</v>
      </c>
      <c r="I148" s="874">
        <f t="shared" si="4"/>
        <v>0</v>
      </c>
      <c r="J148" s="740"/>
    </row>
    <row r="149" spans="1:10" x14ac:dyDescent="0.25">
      <c r="A149" s="755">
        <v>2</v>
      </c>
      <c r="B149" s="744">
        <v>2</v>
      </c>
      <c r="C149" s="744">
        <v>6</v>
      </c>
      <c r="D149" s="744">
        <v>1</v>
      </c>
      <c r="E149" s="758"/>
      <c r="F149" s="755" t="s">
        <v>3915</v>
      </c>
      <c r="G149" s="745">
        <f>SUM(G150)</f>
        <v>0</v>
      </c>
      <c r="H149" s="745">
        <f>SUM(H150)</f>
        <v>0</v>
      </c>
      <c r="I149" s="745">
        <f t="shared" si="4"/>
        <v>0</v>
      </c>
      <c r="J149" s="752"/>
    </row>
    <row r="150" spans="1:10" x14ac:dyDescent="0.25">
      <c r="A150" s="756">
        <v>2</v>
      </c>
      <c r="B150" s="748">
        <v>2</v>
      </c>
      <c r="C150" s="748">
        <v>6</v>
      </c>
      <c r="D150" s="748">
        <v>1</v>
      </c>
      <c r="E150" s="749" t="s">
        <v>2221</v>
      </c>
      <c r="F150" s="756" t="s">
        <v>3915</v>
      </c>
      <c r="G150" s="875">
        <f>'[12]CUENTA T FONDO 100'!BS127</f>
        <v>0</v>
      </c>
      <c r="H150" s="875">
        <f>'[12]CUENTA T VS'!BS89</f>
        <v>0</v>
      </c>
      <c r="I150" s="875">
        <f t="shared" si="4"/>
        <v>0</v>
      </c>
      <c r="J150" s="751">
        <f>I150/$I$25</f>
        <v>0</v>
      </c>
    </row>
    <row r="151" spans="1:10" x14ac:dyDescent="0.25">
      <c r="A151" s="755">
        <v>2</v>
      </c>
      <c r="B151" s="744">
        <v>2</v>
      </c>
      <c r="C151" s="744">
        <v>6</v>
      </c>
      <c r="D151" s="744">
        <v>2</v>
      </c>
      <c r="E151" s="744"/>
      <c r="F151" s="755" t="s">
        <v>3916</v>
      </c>
      <c r="G151" s="745">
        <f>SUM(G152)</f>
        <v>0</v>
      </c>
      <c r="H151" s="745">
        <f>SUM(H152)</f>
        <v>0</v>
      </c>
      <c r="I151" s="745">
        <f t="shared" si="4"/>
        <v>0</v>
      </c>
      <c r="J151" s="752"/>
    </row>
    <row r="152" spans="1:10" x14ac:dyDescent="0.25">
      <c r="A152" s="756">
        <v>2</v>
      </c>
      <c r="B152" s="748">
        <v>2</v>
      </c>
      <c r="C152" s="748">
        <v>6</v>
      </c>
      <c r="D152" s="748">
        <v>2</v>
      </c>
      <c r="E152" s="749" t="s">
        <v>2221</v>
      </c>
      <c r="F152" s="756" t="s">
        <v>3916</v>
      </c>
      <c r="G152" s="875">
        <f>'[12]CUENTA T FONDO 100'!BT127</f>
        <v>0</v>
      </c>
      <c r="H152" s="875">
        <f>'[12]CUENTA T VS'!BT89</f>
        <v>0</v>
      </c>
      <c r="I152" s="875">
        <f t="shared" si="4"/>
        <v>0</v>
      </c>
      <c r="J152" s="751">
        <f>I152/$I$25</f>
        <v>0</v>
      </c>
    </row>
    <row r="153" spans="1:10" x14ac:dyDescent="0.25">
      <c r="A153" s="755">
        <v>2</v>
      </c>
      <c r="B153" s="744">
        <v>2</v>
      </c>
      <c r="C153" s="744">
        <v>6</v>
      </c>
      <c r="D153" s="744">
        <v>3</v>
      </c>
      <c r="E153" s="744"/>
      <c r="F153" s="755" t="s">
        <v>3917</v>
      </c>
      <c r="G153" s="745">
        <f>SUM(G154)</f>
        <v>0</v>
      </c>
      <c r="H153" s="745">
        <f>SUM(H154)</f>
        <v>0</v>
      </c>
      <c r="I153" s="745">
        <f t="shared" ref="I153:I216" si="6">SUM(G153:H153)</f>
        <v>0</v>
      </c>
      <c r="J153" s="752"/>
    </row>
    <row r="154" spans="1:10" x14ac:dyDescent="0.25">
      <c r="A154" s="756">
        <v>2</v>
      </c>
      <c r="B154" s="748">
        <v>2</v>
      </c>
      <c r="C154" s="748">
        <v>6</v>
      </c>
      <c r="D154" s="748">
        <v>3</v>
      </c>
      <c r="E154" s="749" t="s">
        <v>2221</v>
      </c>
      <c r="F154" s="756" t="s">
        <v>3917</v>
      </c>
      <c r="G154" s="875">
        <f>'[12]CUENTA T FONDO 100'!BU127</f>
        <v>0</v>
      </c>
      <c r="H154" s="875">
        <f>'[12]CUENTA T VS'!BU89</f>
        <v>0</v>
      </c>
      <c r="I154" s="875">
        <f t="shared" si="6"/>
        <v>0</v>
      </c>
      <c r="J154" s="751">
        <f>I154/$I$25</f>
        <v>0</v>
      </c>
    </row>
    <row r="155" spans="1:10" x14ac:dyDescent="0.25">
      <c r="A155" s="755">
        <v>2</v>
      </c>
      <c r="B155" s="744">
        <v>2</v>
      </c>
      <c r="C155" s="744">
        <v>6</v>
      </c>
      <c r="D155" s="744">
        <v>4</v>
      </c>
      <c r="E155" s="744"/>
      <c r="F155" s="755" t="s">
        <v>3918</v>
      </c>
      <c r="G155" s="745">
        <f>SUM(G156)</f>
        <v>0</v>
      </c>
      <c r="H155" s="745">
        <f>SUM(H156)</f>
        <v>0</v>
      </c>
      <c r="I155" s="745">
        <f t="shared" si="6"/>
        <v>0</v>
      </c>
      <c r="J155" s="752"/>
    </row>
    <row r="156" spans="1:10" x14ac:dyDescent="0.25">
      <c r="A156" s="756">
        <v>2</v>
      </c>
      <c r="B156" s="748">
        <v>2</v>
      </c>
      <c r="C156" s="748">
        <v>6</v>
      </c>
      <c r="D156" s="748">
        <v>4</v>
      </c>
      <c r="E156" s="749" t="s">
        <v>2221</v>
      </c>
      <c r="F156" s="756" t="s">
        <v>3918</v>
      </c>
      <c r="G156" s="875">
        <f>'[12]CUENTA T FONDO 100'!BV127</f>
        <v>0</v>
      </c>
      <c r="H156" s="875">
        <f>'[12]CUENTA T VS'!BV89</f>
        <v>0</v>
      </c>
      <c r="I156" s="875">
        <f t="shared" si="6"/>
        <v>0</v>
      </c>
      <c r="J156" s="751">
        <f>I156/$I$25</f>
        <v>0</v>
      </c>
    </row>
    <row r="157" spans="1:10" ht="90" x14ac:dyDescent="0.25">
      <c r="A157" s="741">
        <v>2</v>
      </c>
      <c r="B157" s="742">
        <v>2</v>
      </c>
      <c r="C157" s="742">
        <v>7</v>
      </c>
      <c r="D157" s="742"/>
      <c r="E157" s="759"/>
      <c r="F157" s="760" t="s">
        <v>3919</v>
      </c>
      <c r="G157" s="874">
        <f>+G158+G167+G177</f>
        <v>0</v>
      </c>
      <c r="H157" s="874">
        <f>+H158+H167+H177</f>
        <v>199877.53</v>
      </c>
      <c r="I157" s="874">
        <f t="shared" si="6"/>
        <v>199877.53</v>
      </c>
      <c r="J157" s="740"/>
    </row>
    <row r="158" spans="1:10" x14ac:dyDescent="0.25">
      <c r="A158" s="755">
        <v>2</v>
      </c>
      <c r="B158" s="744">
        <v>2</v>
      </c>
      <c r="C158" s="744">
        <v>7</v>
      </c>
      <c r="D158" s="744">
        <v>1</v>
      </c>
      <c r="E158" s="744"/>
      <c r="F158" s="755" t="s">
        <v>3920</v>
      </c>
      <c r="G158" s="745">
        <f>SUM(G159:G166)</f>
        <v>0</v>
      </c>
      <c r="H158" s="745">
        <f>SUM(H159:H166)</f>
        <v>199877.53</v>
      </c>
      <c r="I158" s="745">
        <f t="shared" si="6"/>
        <v>199877.53</v>
      </c>
      <c r="J158" s="752"/>
    </row>
    <row r="159" spans="1:10" ht="51.75" x14ac:dyDescent="0.25">
      <c r="A159" s="747">
        <v>2</v>
      </c>
      <c r="B159" s="748">
        <v>2</v>
      </c>
      <c r="C159" s="748">
        <v>7</v>
      </c>
      <c r="D159" s="748">
        <v>1</v>
      </c>
      <c r="E159" s="749" t="s">
        <v>2221</v>
      </c>
      <c r="F159" s="761" t="s">
        <v>142</v>
      </c>
      <c r="G159" s="875">
        <f>'[12]CUENTA T FONDO 100'!BW127</f>
        <v>0</v>
      </c>
      <c r="H159" s="875">
        <f>'[12]CUENTA T VS'!BW89</f>
        <v>199877.53</v>
      </c>
      <c r="I159" s="875">
        <f t="shared" si="6"/>
        <v>199877.53</v>
      </c>
      <c r="J159" s="751">
        <f t="shared" ref="J159:J166" si="7">I159/$I$25</f>
        <v>2.0673730150925717E-3</v>
      </c>
    </row>
    <row r="160" spans="1:10" ht="77.25" x14ac:dyDescent="0.25">
      <c r="A160" s="747">
        <v>2</v>
      </c>
      <c r="B160" s="748">
        <v>2</v>
      </c>
      <c r="C160" s="748">
        <v>7</v>
      </c>
      <c r="D160" s="748">
        <v>1</v>
      </c>
      <c r="E160" s="749" t="s">
        <v>1733</v>
      </c>
      <c r="F160" s="761" t="s">
        <v>3921</v>
      </c>
      <c r="G160" s="875">
        <f>'[12]CUENTA T FONDO 100'!BX127</f>
        <v>0</v>
      </c>
      <c r="H160" s="875">
        <f>'[12]CUENTA T VS'!BX89</f>
        <v>0</v>
      </c>
      <c r="I160" s="875">
        <f t="shared" si="6"/>
        <v>0</v>
      </c>
      <c r="J160" s="751">
        <f t="shared" si="7"/>
        <v>0</v>
      </c>
    </row>
    <row r="161" spans="1:10" ht="64.5" x14ac:dyDescent="0.25">
      <c r="A161" s="747">
        <v>2</v>
      </c>
      <c r="B161" s="748">
        <v>2</v>
      </c>
      <c r="C161" s="748">
        <v>7</v>
      </c>
      <c r="D161" s="748">
        <v>1</v>
      </c>
      <c r="E161" s="749" t="s">
        <v>3839</v>
      </c>
      <c r="F161" s="761" t="s">
        <v>144</v>
      </c>
      <c r="G161" s="875">
        <f>'[12]CUENTA T FONDO 100'!BY127</f>
        <v>0</v>
      </c>
      <c r="H161" s="875">
        <f>'[12]CUENTA T VS'!BY89</f>
        <v>0</v>
      </c>
      <c r="I161" s="875">
        <f t="shared" si="6"/>
        <v>0</v>
      </c>
      <c r="J161" s="751">
        <f t="shared" si="7"/>
        <v>0</v>
      </c>
    </row>
    <row r="162" spans="1:10" ht="90" x14ac:dyDescent="0.25">
      <c r="A162" s="747">
        <v>2</v>
      </c>
      <c r="B162" s="748">
        <v>2</v>
      </c>
      <c r="C162" s="748">
        <v>7</v>
      </c>
      <c r="D162" s="748">
        <v>1</v>
      </c>
      <c r="E162" s="749" t="s">
        <v>625</v>
      </c>
      <c r="F162" s="761" t="s">
        <v>3922</v>
      </c>
      <c r="G162" s="875">
        <f>'[12]CUENTA T FONDO 100'!BZ127</f>
        <v>0</v>
      </c>
      <c r="H162" s="875">
        <f>'[12]CUENTA T VS'!BZ89</f>
        <v>0</v>
      </c>
      <c r="I162" s="875">
        <f t="shared" si="6"/>
        <v>0</v>
      </c>
      <c r="J162" s="751">
        <f t="shared" si="7"/>
        <v>0</v>
      </c>
    </row>
    <row r="163" spans="1:10" ht="51.75" x14ac:dyDescent="0.25">
      <c r="A163" s="747">
        <v>2</v>
      </c>
      <c r="B163" s="748">
        <v>2</v>
      </c>
      <c r="C163" s="748">
        <v>7</v>
      </c>
      <c r="D163" s="748">
        <v>1</v>
      </c>
      <c r="E163" s="749" t="s">
        <v>3842</v>
      </c>
      <c r="F163" s="761" t="s">
        <v>3923</v>
      </c>
      <c r="G163" s="875">
        <f>'[12]CUENTA T FONDO 100'!CA127</f>
        <v>0</v>
      </c>
      <c r="H163" s="875">
        <f>'[12]CUENTA T VS'!CA89</f>
        <v>0</v>
      </c>
      <c r="I163" s="875">
        <f t="shared" si="6"/>
        <v>0</v>
      </c>
      <c r="J163" s="751">
        <f t="shared" si="7"/>
        <v>0</v>
      </c>
    </row>
    <row r="164" spans="1:10" ht="26.25" x14ac:dyDescent="0.25">
      <c r="A164" s="747">
        <v>2</v>
      </c>
      <c r="B164" s="748">
        <v>2</v>
      </c>
      <c r="C164" s="748">
        <v>7</v>
      </c>
      <c r="D164" s="748">
        <v>1</v>
      </c>
      <c r="E164" s="749" t="s">
        <v>3844</v>
      </c>
      <c r="F164" s="761" t="s">
        <v>145</v>
      </c>
      <c r="G164" s="875">
        <f>'[12]CUENTA T FONDO 100'!CB127</f>
        <v>0</v>
      </c>
      <c r="H164" s="875">
        <f>'[12]CUENTA T VS'!CB89</f>
        <v>0</v>
      </c>
      <c r="I164" s="875">
        <f t="shared" si="6"/>
        <v>0</v>
      </c>
      <c r="J164" s="751">
        <f t="shared" si="7"/>
        <v>0</v>
      </c>
    </row>
    <row r="165" spans="1:10" ht="77.25" x14ac:dyDescent="0.25">
      <c r="A165" s="747">
        <v>2</v>
      </c>
      <c r="B165" s="748">
        <v>2</v>
      </c>
      <c r="C165" s="748">
        <v>7</v>
      </c>
      <c r="D165" s="748">
        <v>1</v>
      </c>
      <c r="E165" s="749" t="s">
        <v>3863</v>
      </c>
      <c r="F165" s="761" t="s">
        <v>3924</v>
      </c>
      <c r="G165" s="875">
        <f>'[12]CUENTA T FONDO 100'!CC127</f>
        <v>0</v>
      </c>
      <c r="H165" s="875">
        <f>'[12]CUENTA T VS'!CC89</f>
        <v>0</v>
      </c>
      <c r="I165" s="875">
        <f t="shared" si="6"/>
        <v>0</v>
      </c>
      <c r="J165" s="751">
        <f t="shared" si="7"/>
        <v>0</v>
      </c>
    </row>
    <row r="166" spans="1:10" ht="128.25" x14ac:dyDescent="0.25">
      <c r="A166" s="747">
        <v>2</v>
      </c>
      <c r="B166" s="748">
        <v>2</v>
      </c>
      <c r="C166" s="748">
        <v>7</v>
      </c>
      <c r="D166" s="748">
        <v>1</v>
      </c>
      <c r="E166" s="749" t="s">
        <v>3925</v>
      </c>
      <c r="F166" s="761" t="s">
        <v>3926</v>
      </c>
      <c r="G166" s="875">
        <f>'[12]CUENTA T FONDO 100'!CD127</f>
        <v>0</v>
      </c>
      <c r="H166" s="875">
        <f>'[12]CUENTA T VS'!CD89</f>
        <v>0</v>
      </c>
      <c r="I166" s="875">
        <f t="shared" si="6"/>
        <v>0</v>
      </c>
      <c r="J166" s="751">
        <f t="shared" si="7"/>
        <v>0</v>
      </c>
    </row>
    <row r="167" spans="1:10" x14ac:dyDescent="0.25">
      <c r="A167" s="755">
        <v>2</v>
      </c>
      <c r="B167" s="744">
        <v>2</v>
      </c>
      <c r="C167" s="744">
        <v>7</v>
      </c>
      <c r="D167" s="744">
        <v>2</v>
      </c>
      <c r="E167" s="744"/>
      <c r="F167" s="755" t="s">
        <v>3927</v>
      </c>
      <c r="G167" s="745">
        <f>SUM(G168:G176)</f>
        <v>0</v>
      </c>
      <c r="H167" s="745">
        <f>SUM(H168:H176)</f>
        <v>0</v>
      </c>
      <c r="I167" s="745">
        <f t="shared" si="6"/>
        <v>0</v>
      </c>
      <c r="J167" s="752"/>
    </row>
    <row r="168" spans="1:10" ht="77.25" x14ac:dyDescent="0.25">
      <c r="A168" s="747">
        <v>2</v>
      </c>
      <c r="B168" s="748">
        <v>2</v>
      </c>
      <c r="C168" s="748">
        <v>7</v>
      </c>
      <c r="D168" s="748">
        <v>2</v>
      </c>
      <c r="E168" s="749" t="s">
        <v>2221</v>
      </c>
      <c r="F168" s="761" t="s">
        <v>3928</v>
      </c>
      <c r="G168" s="875">
        <f>'[12]CUENTA T FONDO 100'!CE127</f>
        <v>0</v>
      </c>
      <c r="H168" s="875">
        <f>'[12]CUENTA T VS'!CE89</f>
        <v>0</v>
      </c>
      <c r="I168" s="875">
        <f t="shared" si="6"/>
        <v>0</v>
      </c>
      <c r="J168" s="751">
        <f t="shared" ref="J168:J176" si="8">I168/$I$25</f>
        <v>0</v>
      </c>
    </row>
    <row r="169" spans="1:10" ht="64.5" x14ac:dyDescent="0.25">
      <c r="A169" s="747">
        <v>2</v>
      </c>
      <c r="B169" s="748">
        <v>2</v>
      </c>
      <c r="C169" s="748">
        <v>7</v>
      </c>
      <c r="D169" s="748">
        <v>2</v>
      </c>
      <c r="E169" s="749" t="s">
        <v>1733</v>
      </c>
      <c r="F169" s="761" t="s">
        <v>3929</v>
      </c>
      <c r="G169" s="875">
        <f>'[12]CUENTA T FONDO 100'!CF127</f>
        <v>0</v>
      </c>
      <c r="H169" s="875">
        <f>'[12]CUENTA T VS'!CF89</f>
        <v>0</v>
      </c>
      <c r="I169" s="875">
        <f t="shared" si="6"/>
        <v>0</v>
      </c>
      <c r="J169" s="751">
        <f t="shared" si="8"/>
        <v>0</v>
      </c>
    </row>
    <row r="170" spans="1:10" ht="64.5" x14ac:dyDescent="0.25">
      <c r="A170" s="747">
        <v>2</v>
      </c>
      <c r="B170" s="748">
        <v>2</v>
      </c>
      <c r="C170" s="748">
        <v>7</v>
      </c>
      <c r="D170" s="748">
        <v>2</v>
      </c>
      <c r="E170" s="749" t="s">
        <v>3839</v>
      </c>
      <c r="F170" s="761" t="s">
        <v>3930</v>
      </c>
      <c r="G170" s="875">
        <f>'[12]CUENTA T FONDO 100'!CG127</f>
        <v>0</v>
      </c>
      <c r="H170" s="875">
        <f>'[12]CUENTA T VS'!CG89</f>
        <v>0</v>
      </c>
      <c r="I170" s="875">
        <f t="shared" si="6"/>
        <v>0</v>
      </c>
      <c r="J170" s="751">
        <f t="shared" si="8"/>
        <v>0</v>
      </c>
    </row>
    <row r="171" spans="1:10" ht="90" x14ac:dyDescent="0.25">
      <c r="A171" s="747">
        <v>2</v>
      </c>
      <c r="B171" s="748">
        <v>2</v>
      </c>
      <c r="C171" s="748">
        <v>7</v>
      </c>
      <c r="D171" s="748">
        <v>2</v>
      </c>
      <c r="E171" s="749" t="s">
        <v>625</v>
      </c>
      <c r="F171" s="761" t="s">
        <v>3931</v>
      </c>
      <c r="G171" s="875">
        <f>'[12]CUENTA T FONDO 100'!CH127</f>
        <v>0</v>
      </c>
      <c r="H171" s="875">
        <f>'[12]CUENTA T VS'!CH89</f>
        <v>0</v>
      </c>
      <c r="I171" s="875">
        <f t="shared" si="6"/>
        <v>0</v>
      </c>
      <c r="J171" s="751">
        <f t="shared" si="8"/>
        <v>0</v>
      </c>
    </row>
    <row r="172" spans="1:10" ht="77.25" x14ac:dyDescent="0.25">
      <c r="A172" s="747">
        <v>2</v>
      </c>
      <c r="B172" s="748">
        <v>2</v>
      </c>
      <c r="C172" s="748">
        <v>7</v>
      </c>
      <c r="D172" s="748">
        <v>2</v>
      </c>
      <c r="E172" s="749" t="s">
        <v>3842</v>
      </c>
      <c r="F172" s="761" t="s">
        <v>3932</v>
      </c>
      <c r="G172" s="875">
        <f>'[12]CUENTA T FONDO 100'!CI127</f>
        <v>0</v>
      </c>
      <c r="H172" s="875">
        <f>'[12]CUENTA T VS'!CI89</f>
        <v>0</v>
      </c>
      <c r="I172" s="875">
        <f t="shared" si="6"/>
        <v>0</v>
      </c>
      <c r="J172" s="751">
        <f t="shared" si="8"/>
        <v>0</v>
      </c>
    </row>
    <row r="173" spans="1:10" ht="102" x14ac:dyDescent="0.25">
      <c r="A173" s="747">
        <v>2</v>
      </c>
      <c r="B173" s="748">
        <v>2</v>
      </c>
      <c r="C173" s="748">
        <v>7</v>
      </c>
      <c r="D173" s="748">
        <v>2</v>
      </c>
      <c r="E173" s="749" t="s">
        <v>3844</v>
      </c>
      <c r="F173" s="753" t="s">
        <v>3933</v>
      </c>
      <c r="G173" s="875">
        <f>'[12]CUENTA T FONDO 100'!CJ127</f>
        <v>0</v>
      </c>
      <c r="H173" s="875">
        <f>'[12]CUENTA T VS'!CJ89</f>
        <v>0</v>
      </c>
      <c r="I173" s="875">
        <f t="shared" si="6"/>
        <v>0</v>
      </c>
      <c r="J173" s="751">
        <f t="shared" si="8"/>
        <v>0</v>
      </c>
    </row>
    <row r="174" spans="1:10" ht="63.75" x14ac:dyDescent="0.25">
      <c r="A174" s="747">
        <v>2</v>
      </c>
      <c r="B174" s="748">
        <v>2</v>
      </c>
      <c r="C174" s="748">
        <v>7</v>
      </c>
      <c r="D174" s="748">
        <v>2</v>
      </c>
      <c r="E174" s="749" t="s">
        <v>3863</v>
      </c>
      <c r="F174" s="753" t="s">
        <v>3934</v>
      </c>
      <c r="G174" s="875">
        <f>'[12]CUENTA T FONDO 100'!CK127</f>
        <v>0</v>
      </c>
      <c r="H174" s="875">
        <f>'[12]CUENTA T VS'!CK89</f>
        <v>0</v>
      </c>
      <c r="I174" s="875">
        <f t="shared" si="6"/>
        <v>0</v>
      </c>
      <c r="J174" s="751">
        <f t="shared" si="8"/>
        <v>0</v>
      </c>
    </row>
    <row r="175" spans="1:10" ht="63.75" x14ac:dyDescent="0.25">
      <c r="A175" s="747">
        <v>2</v>
      </c>
      <c r="B175" s="748">
        <v>2</v>
      </c>
      <c r="C175" s="748">
        <v>7</v>
      </c>
      <c r="D175" s="748">
        <v>2</v>
      </c>
      <c r="E175" s="749" t="s">
        <v>3850</v>
      </c>
      <c r="F175" s="753" t="s">
        <v>3935</v>
      </c>
      <c r="G175" s="875">
        <f>'[12]CUENTA T FONDO 100'!CL127</f>
        <v>0</v>
      </c>
      <c r="H175" s="875">
        <f>'[12]CUENTA T VS'!CL89</f>
        <v>0</v>
      </c>
      <c r="I175" s="875">
        <f t="shared" si="6"/>
        <v>0</v>
      </c>
      <c r="J175" s="751">
        <f t="shared" si="8"/>
        <v>0</v>
      </c>
    </row>
    <row r="176" spans="1:10" ht="140.25" x14ac:dyDescent="0.25">
      <c r="A176" s="747">
        <v>2</v>
      </c>
      <c r="B176" s="748">
        <v>2</v>
      </c>
      <c r="C176" s="748">
        <v>7</v>
      </c>
      <c r="D176" s="748">
        <v>2</v>
      </c>
      <c r="E176" s="749" t="s">
        <v>3925</v>
      </c>
      <c r="F176" s="753" t="s">
        <v>3936</v>
      </c>
      <c r="G176" s="875">
        <f>'[12]CUENTA T FONDO 100'!CM127</f>
        <v>0</v>
      </c>
      <c r="H176" s="875">
        <f>'[12]CUENTA T VS'!CM89</f>
        <v>0</v>
      </c>
      <c r="I176" s="875">
        <f t="shared" si="6"/>
        <v>0</v>
      </c>
      <c r="J176" s="751">
        <f t="shared" si="8"/>
        <v>0</v>
      </c>
    </row>
    <row r="177" spans="1:10" x14ac:dyDescent="0.25">
      <c r="A177" s="743">
        <v>2</v>
      </c>
      <c r="B177" s="744">
        <v>2</v>
      </c>
      <c r="C177" s="744">
        <v>7</v>
      </c>
      <c r="D177" s="744">
        <v>3</v>
      </c>
      <c r="E177" s="758"/>
      <c r="F177" s="743" t="s">
        <v>3937</v>
      </c>
      <c r="G177" s="745">
        <f>SUM(G178)</f>
        <v>0</v>
      </c>
      <c r="H177" s="745">
        <f>SUM(H178)</f>
        <v>0</v>
      </c>
      <c r="I177" s="745">
        <f t="shared" si="6"/>
        <v>0</v>
      </c>
      <c r="J177" s="752"/>
    </row>
    <row r="178" spans="1:10" x14ac:dyDescent="0.25">
      <c r="A178" s="747">
        <v>2</v>
      </c>
      <c r="B178" s="748">
        <v>2</v>
      </c>
      <c r="C178" s="748">
        <v>7</v>
      </c>
      <c r="D178" s="748">
        <v>3</v>
      </c>
      <c r="E178" s="749" t="s">
        <v>2221</v>
      </c>
      <c r="F178" s="747" t="s">
        <v>3937</v>
      </c>
      <c r="G178" s="875">
        <f>'[12]CUENTA T FONDO 100'!CN127</f>
        <v>0</v>
      </c>
      <c r="H178" s="875">
        <f>'[12]CUENTA T VS'!CN89</f>
        <v>0</v>
      </c>
      <c r="I178" s="875">
        <f t="shared" si="6"/>
        <v>0</v>
      </c>
      <c r="J178" s="751">
        <f>I178/$I$25</f>
        <v>0</v>
      </c>
    </row>
    <row r="179" spans="1:10" x14ac:dyDescent="0.25">
      <c r="A179" s="741">
        <v>2</v>
      </c>
      <c r="B179" s="742">
        <v>2</v>
      </c>
      <c r="C179" s="742">
        <v>8</v>
      </c>
      <c r="D179" s="742"/>
      <c r="E179" s="742"/>
      <c r="F179" s="741" t="s">
        <v>173</v>
      </c>
      <c r="G179" s="874">
        <f>+G180+G182+G184+G186+G188+G192+G197+G204</f>
        <v>0</v>
      </c>
      <c r="H179" s="874">
        <f>+H180+H182+H184+H186+H188+H192+H197+H204</f>
        <v>541706.48</v>
      </c>
      <c r="I179" s="874">
        <f t="shared" si="6"/>
        <v>541706.48</v>
      </c>
      <c r="J179" s="740"/>
    </row>
    <row r="180" spans="1:10" x14ac:dyDescent="0.25">
      <c r="A180" s="743">
        <v>2</v>
      </c>
      <c r="B180" s="744">
        <v>2</v>
      </c>
      <c r="C180" s="744">
        <v>8</v>
      </c>
      <c r="D180" s="744">
        <v>1</v>
      </c>
      <c r="E180" s="744"/>
      <c r="F180" s="743" t="s">
        <v>147</v>
      </c>
      <c r="G180" s="745">
        <f>SUM(G181)</f>
        <v>0</v>
      </c>
      <c r="H180" s="745">
        <f>SUM(H181)</f>
        <v>0</v>
      </c>
      <c r="I180" s="745">
        <f t="shared" si="6"/>
        <v>0</v>
      </c>
      <c r="J180" s="752"/>
    </row>
    <row r="181" spans="1:10" x14ac:dyDescent="0.25">
      <c r="A181" s="747">
        <v>2</v>
      </c>
      <c r="B181" s="748">
        <v>2</v>
      </c>
      <c r="C181" s="748">
        <v>8</v>
      </c>
      <c r="D181" s="748">
        <v>1</v>
      </c>
      <c r="E181" s="749" t="s">
        <v>2221</v>
      </c>
      <c r="F181" s="747" t="s">
        <v>147</v>
      </c>
      <c r="G181" s="875">
        <f>'[12]CUENTA T FONDO 100'!CO127</f>
        <v>0</v>
      </c>
      <c r="H181" s="875">
        <f>'[12]CUENTA T VS'!CO89</f>
        <v>0</v>
      </c>
      <c r="I181" s="875">
        <f t="shared" si="6"/>
        <v>0</v>
      </c>
      <c r="J181" s="751">
        <f>I181/$I$25</f>
        <v>0</v>
      </c>
    </row>
    <row r="182" spans="1:10" x14ac:dyDescent="0.25">
      <c r="A182" s="743">
        <v>2</v>
      </c>
      <c r="B182" s="744">
        <v>2</v>
      </c>
      <c r="C182" s="744">
        <v>8</v>
      </c>
      <c r="D182" s="744">
        <v>2</v>
      </c>
      <c r="E182" s="744"/>
      <c r="F182" s="743" t="s">
        <v>3938</v>
      </c>
      <c r="G182" s="745">
        <f>SUM(G183)</f>
        <v>0</v>
      </c>
      <c r="H182" s="745">
        <f>SUM(H183)</f>
        <v>17193.48</v>
      </c>
      <c r="I182" s="745">
        <f t="shared" si="6"/>
        <v>17193.48</v>
      </c>
      <c r="J182" s="752"/>
    </row>
    <row r="183" spans="1:10" x14ac:dyDescent="0.25">
      <c r="A183" s="747">
        <v>2</v>
      </c>
      <c r="B183" s="748">
        <v>2</v>
      </c>
      <c r="C183" s="748">
        <v>8</v>
      </c>
      <c r="D183" s="748">
        <v>2</v>
      </c>
      <c r="E183" s="749" t="s">
        <v>2221</v>
      </c>
      <c r="F183" s="747" t="s">
        <v>3938</v>
      </c>
      <c r="G183" s="875">
        <f>'[12]CUENTA T FONDO 100'!CP127</f>
        <v>0</v>
      </c>
      <c r="H183" s="875">
        <f>'[12]CUENTA T VS'!CP89</f>
        <v>17193.48</v>
      </c>
      <c r="I183" s="875">
        <f t="shared" si="6"/>
        <v>17193.48</v>
      </c>
      <c r="J183" s="751">
        <f>I183/$I$25</f>
        <v>1.7783558055542225E-4</v>
      </c>
    </row>
    <row r="184" spans="1:10" x14ac:dyDescent="0.25">
      <c r="A184" s="743">
        <v>2</v>
      </c>
      <c r="B184" s="744">
        <v>2</v>
      </c>
      <c r="C184" s="744">
        <v>8</v>
      </c>
      <c r="D184" s="744">
        <v>3</v>
      </c>
      <c r="E184" s="744"/>
      <c r="F184" s="743" t="s">
        <v>3343</v>
      </c>
      <c r="G184" s="745">
        <f>SUM(G185)</f>
        <v>0</v>
      </c>
      <c r="H184" s="745">
        <f>SUM(H185)</f>
        <v>0</v>
      </c>
      <c r="I184" s="745">
        <f t="shared" si="6"/>
        <v>0</v>
      </c>
      <c r="J184" s="752"/>
    </row>
    <row r="185" spans="1:10" x14ac:dyDescent="0.25">
      <c r="A185" s="747">
        <v>2</v>
      </c>
      <c r="B185" s="748">
        <v>2</v>
      </c>
      <c r="C185" s="748">
        <v>8</v>
      </c>
      <c r="D185" s="748">
        <v>3</v>
      </c>
      <c r="E185" s="749" t="s">
        <v>2221</v>
      </c>
      <c r="F185" s="747" t="s">
        <v>3343</v>
      </c>
      <c r="G185" s="875">
        <f>'[12]CUENTA T FONDO 100'!CQ127</f>
        <v>0</v>
      </c>
      <c r="H185" s="875">
        <f>'[12]CUENTA T VS'!CQ89</f>
        <v>0</v>
      </c>
      <c r="I185" s="875">
        <f t="shared" si="6"/>
        <v>0</v>
      </c>
      <c r="J185" s="751">
        <f>I185/$I$25</f>
        <v>0</v>
      </c>
    </row>
    <row r="186" spans="1:10" x14ac:dyDescent="0.25">
      <c r="A186" s="743">
        <v>2</v>
      </c>
      <c r="B186" s="744">
        <v>2</v>
      </c>
      <c r="C186" s="744">
        <v>8</v>
      </c>
      <c r="D186" s="744">
        <v>4</v>
      </c>
      <c r="E186" s="744"/>
      <c r="F186" s="743" t="s">
        <v>3939</v>
      </c>
      <c r="G186" s="745">
        <f>SUM(G187)</f>
        <v>0</v>
      </c>
      <c r="H186" s="745">
        <f>SUM(H187)</f>
        <v>0</v>
      </c>
      <c r="I186" s="745">
        <f t="shared" si="6"/>
        <v>0</v>
      </c>
      <c r="J186" s="752"/>
    </row>
    <row r="187" spans="1:10" x14ac:dyDescent="0.25">
      <c r="A187" s="747">
        <v>2</v>
      </c>
      <c r="B187" s="748">
        <v>2</v>
      </c>
      <c r="C187" s="748">
        <v>8</v>
      </c>
      <c r="D187" s="748">
        <v>4</v>
      </c>
      <c r="E187" s="749" t="s">
        <v>2221</v>
      </c>
      <c r="F187" s="747" t="s">
        <v>3939</v>
      </c>
      <c r="G187" s="875">
        <f>'[12]CUENTA T FONDO 100'!CR127</f>
        <v>0</v>
      </c>
      <c r="H187" s="875">
        <f>'[12]CUENTA T VS'!CR89</f>
        <v>0</v>
      </c>
      <c r="I187" s="875">
        <f t="shared" si="6"/>
        <v>0</v>
      </c>
      <c r="J187" s="751">
        <f>I187/$I$25</f>
        <v>0</v>
      </c>
    </row>
    <row r="188" spans="1:10" x14ac:dyDescent="0.25">
      <c r="A188" s="743">
        <v>2</v>
      </c>
      <c r="B188" s="744">
        <v>2</v>
      </c>
      <c r="C188" s="744">
        <v>8</v>
      </c>
      <c r="D188" s="744">
        <v>5</v>
      </c>
      <c r="E188" s="744"/>
      <c r="F188" s="743" t="s">
        <v>3940</v>
      </c>
      <c r="G188" s="745">
        <f>SUM(G189:G191)</f>
        <v>0</v>
      </c>
      <c r="H188" s="745">
        <f>SUM(H189:H191)</f>
        <v>325326</v>
      </c>
      <c r="I188" s="745">
        <f t="shared" si="6"/>
        <v>325326</v>
      </c>
      <c r="J188" s="752"/>
    </row>
    <row r="189" spans="1:10" x14ac:dyDescent="0.25">
      <c r="A189" s="747">
        <v>2</v>
      </c>
      <c r="B189" s="748">
        <v>2</v>
      </c>
      <c r="C189" s="748">
        <v>8</v>
      </c>
      <c r="D189" s="748">
        <v>5</v>
      </c>
      <c r="E189" s="749" t="s">
        <v>2221</v>
      </c>
      <c r="F189" s="747" t="s">
        <v>148</v>
      </c>
      <c r="G189" s="875">
        <f>'[12]CUENTA T FONDO 100'!CS127</f>
        <v>0</v>
      </c>
      <c r="H189" s="875">
        <f>'[12]CUENTA T VS'!CS89</f>
        <v>0</v>
      </c>
      <c r="I189" s="875">
        <f t="shared" si="6"/>
        <v>0</v>
      </c>
      <c r="J189" s="751">
        <f>I189/$I$25</f>
        <v>0</v>
      </c>
    </row>
    <row r="190" spans="1:10" x14ac:dyDescent="0.25">
      <c r="A190" s="747">
        <v>2</v>
      </c>
      <c r="B190" s="748">
        <v>2</v>
      </c>
      <c r="C190" s="748">
        <v>8</v>
      </c>
      <c r="D190" s="748">
        <v>5</v>
      </c>
      <c r="E190" s="749" t="s">
        <v>1733</v>
      </c>
      <c r="F190" s="747" t="s">
        <v>3941</v>
      </c>
      <c r="G190" s="875">
        <f>'[12]CUENTA T FONDO 100'!CT127</f>
        <v>0</v>
      </c>
      <c r="H190" s="875">
        <f>'[12]CUENTA T VS'!CT89</f>
        <v>0</v>
      </c>
      <c r="I190" s="875">
        <f t="shared" si="6"/>
        <v>0</v>
      </c>
      <c r="J190" s="751">
        <f>I190/$I$25</f>
        <v>0</v>
      </c>
    </row>
    <row r="191" spans="1:10" x14ac:dyDescent="0.25">
      <c r="A191" s="747">
        <v>2</v>
      </c>
      <c r="B191" s="748">
        <v>2</v>
      </c>
      <c r="C191" s="748">
        <v>8</v>
      </c>
      <c r="D191" s="748">
        <v>5</v>
      </c>
      <c r="E191" s="749" t="s">
        <v>3839</v>
      </c>
      <c r="F191" s="747" t="s">
        <v>3942</v>
      </c>
      <c r="G191" s="875">
        <f>'[12]CUENTA T FONDO 100'!CU127</f>
        <v>0</v>
      </c>
      <c r="H191" s="875">
        <f>'[12]CUENTA T VS'!CU89</f>
        <v>325326</v>
      </c>
      <c r="I191" s="875">
        <f t="shared" si="6"/>
        <v>325326</v>
      </c>
      <c r="J191" s="751">
        <f>I191/$I$25</f>
        <v>3.3649114710793452E-3</v>
      </c>
    </row>
    <row r="192" spans="1:10" x14ac:dyDescent="0.25">
      <c r="A192" s="743">
        <v>2</v>
      </c>
      <c r="B192" s="744">
        <v>2</v>
      </c>
      <c r="C192" s="744">
        <v>8</v>
      </c>
      <c r="D192" s="744">
        <v>6</v>
      </c>
      <c r="E192" s="744"/>
      <c r="F192" s="743" t="s">
        <v>3943</v>
      </c>
      <c r="G192" s="745">
        <f>SUM(G193:G196)</f>
        <v>0</v>
      </c>
      <c r="H192" s="745">
        <f>SUM(H193:H196)</f>
        <v>0</v>
      </c>
      <c r="I192" s="745">
        <f t="shared" si="6"/>
        <v>0</v>
      </c>
      <c r="J192" s="752"/>
    </row>
    <row r="193" spans="1:10" x14ac:dyDescent="0.25">
      <c r="A193" s="747">
        <v>2</v>
      </c>
      <c r="B193" s="748">
        <v>2</v>
      </c>
      <c r="C193" s="748">
        <v>8</v>
      </c>
      <c r="D193" s="748">
        <v>6</v>
      </c>
      <c r="E193" s="749" t="s">
        <v>2221</v>
      </c>
      <c r="F193" s="747" t="s">
        <v>149</v>
      </c>
      <c r="G193" s="875">
        <f>'[12]CUENTA T FONDO 100'!CV127</f>
        <v>0</v>
      </c>
      <c r="H193" s="875">
        <f>'[12]CUENTA T VS'!CV89</f>
        <v>0</v>
      </c>
      <c r="I193" s="875">
        <f t="shared" si="6"/>
        <v>0</v>
      </c>
      <c r="J193" s="751">
        <f>I193/$I$25</f>
        <v>0</v>
      </c>
    </row>
    <row r="194" spans="1:10" x14ac:dyDescent="0.25">
      <c r="A194" s="747">
        <v>2</v>
      </c>
      <c r="B194" s="748">
        <v>2</v>
      </c>
      <c r="C194" s="748">
        <v>8</v>
      </c>
      <c r="D194" s="748">
        <v>6</v>
      </c>
      <c r="E194" s="749" t="s">
        <v>1733</v>
      </c>
      <c r="F194" s="747" t="s">
        <v>3944</v>
      </c>
      <c r="G194" s="875">
        <f>'[12]CUENTA T FONDO 100'!CW127</f>
        <v>0</v>
      </c>
      <c r="H194" s="875">
        <f>'[12]CUENTA T VS'!CW89</f>
        <v>0</v>
      </c>
      <c r="I194" s="875">
        <f t="shared" si="6"/>
        <v>0</v>
      </c>
      <c r="J194" s="751">
        <f>I194/$I$25</f>
        <v>0</v>
      </c>
    </row>
    <row r="195" spans="1:10" x14ac:dyDescent="0.25">
      <c r="A195" s="747">
        <v>2</v>
      </c>
      <c r="B195" s="748">
        <v>2</v>
      </c>
      <c r="C195" s="748">
        <v>8</v>
      </c>
      <c r="D195" s="748">
        <v>6</v>
      </c>
      <c r="E195" s="749" t="s">
        <v>3839</v>
      </c>
      <c r="F195" s="747" t="s">
        <v>3945</v>
      </c>
      <c r="G195" s="875">
        <f>'[12]CUENTA T FONDO 100'!CX127</f>
        <v>0</v>
      </c>
      <c r="H195" s="875">
        <f>'[12]CUENTA T VS'!CX89</f>
        <v>0</v>
      </c>
      <c r="I195" s="875">
        <f t="shared" si="6"/>
        <v>0</v>
      </c>
      <c r="J195" s="751">
        <f>I195/$I$25</f>
        <v>0</v>
      </c>
    </row>
    <row r="196" spans="1:10" x14ac:dyDescent="0.25">
      <c r="A196" s="747">
        <v>2</v>
      </c>
      <c r="B196" s="748">
        <v>2</v>
      </c>
      <c r="C196" s="748">
        <v>8</v>
      </c>
      <c r="D196" s="748">
        <v>6</v>
      </c>
      <c r="E196" s="749" t="s">
        <v>625</v>
      </c>
      <c r="F196" s="747" t="s">
        <v>3946</v>
      </c>
      <c r="G196" s="875">
        <f>'[12]CUENTA T FONDO 100'!CY127</f>
        <v>0</v>
      </c>
      <c r="H196" s="875">
        <f>'[12]CUENTA T VS'!CY89</f>
        <v>0</v>
      </c>
      <c r="I196" s="875">
        <f t="shared" si="6"/>
        <v>0</v>
      </c>
      <c r="J196" s="751">
        <f>I196/$I$25</f>
        <v>0</v>
      </c>
    </row>
    <row r="197" spans="1:10" x14ac:dyDescent="0.25">
      <c r="A197" s="743">
        <v>2</v>
      </c>
      <c r="B197" s="744">
        <v>2</v>
      </c>
      <c r="C197" s="744">
        <v>8</v>
      </c>
      <c r="D197" s="744">
        <v>7</v>
      </c>
      <c r="E197" s="744"/>
      <c r="F197" s="743" t="s">
        <v>3947</v>
      </c>
      <c r="G197" s="745">
        <f>SUM(G198:G203)</f>
        <v>0</v>
      </c>
      <c r="H197" s="745">
        <f>SUM(H198:H203)</f>
        <v>199187</v>
      </c>
      <c r="I197" s="745">
        <f t="shared" si="6"/>
        <v>199187</v>
      </c>
      <c r="J197" s="752"/>
    </row>
    <row r="198" spans="1:10" ht="63.75" x14ac:dyDescent="0.25">
      <c r="A198" s="747">
        <v>2</v>
      </c>
      <c r="B198" s="748">
        <v>2</v>
      </c>
      <c r="C198" s="748">
        <v>8</v>
      </c>
      <c r="D198" s="748">
        <v>7</v>
      </c>
      <c r="E198" s="749" t="s">
        <v>2221</v>
      </c>
      <c r="F198" s="753" t="s">
        <v>3948</v>
      </c>
      <c r="G198" s="875">
        <f>'[12]CUENTA T FONDO 100'!CZ127</f>
        <v>0</v>
      </c>
      <c r="H198" s="875">
        <f>'[12]CUENTA T VS'!CZ89</f>
        <v>0</v>
      </c>
      <c r="I198" s="875">
        <f t="shared" si="6"/>
        <v>0</v>
      </c>
      <c r="J198" s="751">
        <f t="shared" ref="J198:J203" si="9">I198/$I$25</f>
        <v>0</v>
      </c>
    </row>
    <row r="199" spans="1:10" ht="25.5" x14ac:dyDescent="0.25">
      <c r="A199" s="747">
        <v>2</v>
      </c>
      <c r="B199" s="748">
        <v>2</v>
      </c>
      <c r="C199" s="748">
        <v>8</v>
      </c>
      <c r="D199" s="748">
        <v>7</v>
      </c>
      <c r="E199" s="749" t="s">
        <v>1733</v>
      </c>
      <c r="F199" s="753" t="s">
        <v>3949</v>
      </c>
      <c r="G199" s="875">
        <f>'[12]CUENTA T FONDO 100'!DA127</f>
        <v>0</v>
      </c>
      <c r="H199" s="875">
        <f>'[12]CUENTA T VS'!DA89</f>
        <v>0</v>
      </c>
      <c r="I199" s="875">
        <f t="shared" si="6"/>
        <v>0</v>
      </c>
      <c r="J199" s="751">
        <f t="shared" si="9"/>
        <v>0</v>
      </c>
    </row>
    <row r="200" spans="1:10" ht="38.25" x14ac:dyDescent="0.25">
      <c r="A200" s="747">
        <v>2</v>
      </c>
      <c r="B200" s="748">
        <v>2</v>
      </c>
      <c r="C200" s="748">
        <v>8</v>
      </c>
      <c r="D200" s="748">
        <v>7</v>
      </c>
      <c r="E200" s="749" t="s">
        <v>3839</v>
      </c>
      <c r="F200" s="753" t="s">
        <v>3950</v>
      </c>
      <c r="G200" s="875">
        <f>'[12]CUENTA T FONDO 100'!DB127</f>
        <v>0</v>
      </c>
      <c r="H200" s="875">
        <f>'[12]CUENTA T VS'!DB89</f>
        <v>0</v>
      </c>
      <c r="I200" s="875">
        <f t="shared" si="6"/>
        <v>0</v>
      </c>
      <c r="J200" s="751">
        <f t="shared" si="9"/>
        <v>0</v>
      </c>
    </row>
    <row r="201" spans="1:10" ht="25.5" x14ac:dyDescent="0.25">
      <c r="A201" s="747">
        <v>2</v>
      </c>
      <c r="B201" s="748">
        <v>2</v>
      </c>
      <c r="C201" s="748">
        <v>8</v>
      </c>
      <c r="D201" s="748">
        <v>7</v>
      </c>
      <c r="E201" s="749" t="s">
        <v>625</v>
      </c>
      <c r="F201" s="753" t="s">
        <v>3951</v>
      </c>
      <c r="G201" s="875">
        <f>'[12]CUENTA T FONDO 100'!DC127</f>
        <v>0</v>
      </c>
      <c r="H201" s="875">
        <f>'[12]CUENTA T VS'!DC89</f>
        <v>0</v>
      </c>
      <c r="I201" s="875">
        <f t="shared" si="6"/>
        <v>0</v>
      </c>
      <c r="J201" s="751">
        <f t="shared" si="9"/>
        <v>0</v>
      </c>
    </row>
    <row r="202" spans="1:10" ht="63.75" x14ac:dyDescent="0.25">
      <c r="A202" s="747">
        <v>2</v>
      </c>
      <c r="B202" s="748">
        <v>2</v>
      </c>
      <c r="C202" s="748">
        <v>8</v>
      </c>
      <c r="D202" s="748">
        <v>7</v>
      </c>
      <c r="E202" s="749" t="s">
        <v>3842</v>
      </c>
      <c r="F202" s="753" t="s">
        <v>3952</v>
      </c>
      <c r="G202" s="875">
        <f>'[12]CUENTA T FONDO 100'!DD127</f>
        <v>0</v>
      </c>
      <c r="H202" s="875">
        <f>'[12]CUENTA T VS'!DD89</f>
        <v>0</v>
      </c>
      <c r="I202" s="875">
        <f t="shared" si="6"/>
        <v>0</v>
      </c>
      <c r="J202" s="751">
        <f t="shared" si="9"/>
        <v>0</v>
      </c>
    </row>
    <row r="203" spans="1:10" ht="63.75" x14ac:dyDescent="0.25">
      <c r="A203" s="747">
        <v>2</v>
      </c>
      <c r="B203" s="748">
        <v>2</v>
      </c>
      <c r="C203" s="748">
        <v>8</v>
      </c>
      <c r="D203" s="748">
        <v>7</v>
      </c>
      <c r="E203" s="749" t="s">
        <v>3844</v>
      </c>
      <c r="F203" s="753" t="s">
        <v>3953</v>
      </c>
      <c r="G203" s="875">
        <f>'[12]CUENTA T FONDO 100'!DE127</f>
        <v>0</v>
      </c>
      <c r="H203" s="875">
        <f>'[12]CUENTA T VS'!DE89</f>
        <v>199187</v>
      </c>
      <c r="I203" s="875">
        <f t="shared" si="6"/>
        <v>199187</v>
      </c>
      <c r="J203" s="751">
        <f t="shared" si="9"/>
        <v>2.0602307260713299E-3</v>
      </c>
    </row>
    <row r="204" spans="1:10" ht="38.25" x14ac:dyDescent="0.25">
      <c r="A204" s="743">
        <v>2</v>
      </c>
      <c r="B204" s="744">
        <v>2</v>
      </c>
      <c r="C204" s="744">
        <v>8</v>
      </c>
      <c r="D204" s="744">
        <v>8</v>
      </c>
      <c r="E204" s="744"/>
      <c r="F204" s="762" t="s">
        <v>3954</v>
      </c>
      <c r="G204" s="745">
        <f>SUM(G205:G207)</f>
        <v>0</v>
      </c>
      <c r="H204" s="745">
        <f>SUM(H205:H207)</f>
        <v>0</v>
      </c>
      <c r="I204" s="745">
        <f t="shared" si="6"/>
        <v>0</v>
      </c>
      <c r="J204" s="752"/>
    </row>
    <row r="205" spans="1:10" x14ac:dyDescent="0.25">
      <c r="A205" s="747">
        <v>2</v>
      </c>
      <c r="B205" s="748">
        <v>2</v>
      </c>
      <c r="C205" s="748">
        <v>8</v>
      </c>
      <c r="D205" s="748">
        <v>8</v>
      </c>
      <c r="E205" s="749" t="s">
        <v>2221</v>
      </c>
      <c r="F205" s="753" t="s">
        <v>15</v>
      </c>
      <c r="G205" s="875">
        <f>'[12]CUENTA T FONDO 100'!DF127</f>
        <v>0</v>
      </c>
      <c r="H205" s="875">
        <f>'[12]CUENTA T VS'!DF89</f>
        <v>0</v>
      </c>
      <c r="I205" s="875">
        <f t="shared" si="6"/>
        <v>0</v>
      </c>
      <c r="J205" s="751">
        <f>I205/$I$25</f>
        <v>0</v>
      </c>
    </row>
    <row r="206" spans="1:10" x14ac:dyDescent="0.25">
      <c r="A206" s="747">
        <v>2</v>
      </c>
      <c r="B206" s="748">
        <v>2</v>
      </c>
      <c r="C206" s="748">
        <v>8</v>
      </c>
      <c r="D206" s="748">
        <v>8</v>
      </c>
      <c r="E206" s="749" t="s">
        <v>1733</v>
      </c>
      <c r="F206" s="753" t="s">
        <v>3955</v>
      </c>
      <c r="G206" s="875">
        <f>'[12]CUENTA T FONDO 100'!DG127</f>
        <v>0</v>
      </c>
      <c r="H206" s="875">
        <f>'[12]CUENTA T VS'!DG89</f>
        <v>0</v>
      </c>
      <c r="I206" s="875">
        <f t="shared" si="6"/>
        <v>0</v>
      </c>
      <c r="J206" s="751">
        <f>I206/$I$25</f>
        <v>0</v>
      </c>
    </row>
    <row r="207" spans="1:10" x14ac:dyDescent="0.25">
      <c r="A207" s="747">
        <v>2</v>
      </c>
      <c r="B207" s="748">
        <v>2</v>
      </c>
      <c r="C207" s="748">
        <v>8</v>
      </c>
      <c r="D207" s="748">
        <v>8</v>
      </c>
      <c r="E207" s="749" t="s">
        <v>3839</v>
      </c>
      <c r="F207" s="753" t="s">
        <v>3956</v>
      </c>
      <c r="G207" s="875">
        <f>'[12]CUENTA T FONDO 100'!DH127</f>
        <v>0</v>
      </c>
      <c r="H207" s="875">
        <f>'[12]CUENTA T VS'!DH89</f>
        <v>0</v>
      </c>
      <c r="I207" s="875">
        <f t="shared" si="6"/>
        <v>0</v>
      </c>
      <c r="J207" s="751">
        <f>I207/$I$25</f>
        <v>0</v>
      </c>
    </row>
    <row r="208" spans="1:10" x14ac:dyDescent="0.25">
      <c r="A208" s="741">
        <v>2</v>
      </c>
      <c r="B208" s="742">
        <v>2</v>
      </c>
      <c r="C208" s="742">
        <v>9</v>
      </c>
      <c r="D208" s="742"/>
      <c r="E208" s="742"/>
      <c r="F208" s="741" t="s">
        <v>3957</v>
      </c>
      <c r="G208" s="874">
        <f t="shared" ref="G208:H208" si="10">+G209</f>
        <v>0</v>
      </c>
      <c r="H208" s="874">
        <f t="shared" si="10"/>
        <v>0</v>
      </c>
      <c r="I208" s="874">
        <f t="shared" si="6"/>
        <v>0</v>
      </c>
      <c r="J208" s="740"/>
    </row>
    <row r="209" spans="1:10" x14ac:dyDescent="0.25">
      <c r="A209" s="743">
        <v>2</v>
      </c>
      <c r="B209" s="744">
        <v>2</v>
      </c>
      <c r="C209" s="744">
        <v>9</v>
      </c>
      <c r="D209" s="744">
        <v>2</v>
      </c>
      <c r="E209" s="744"/>
      <c r="F209" s="743" t="s">
        <v>2945</v>
      </c>
      <c r="G209" s="745">
        <f>G210+G211</f>
        <v>0</v>
      </c>
      <c r="H209" s="745">
        <f t="shared" ref="H209" si="11">H210+H211</f>
        <v>0</v>
      </c>
      <c r="I209" s="745">
        <f t="shared" si="6"/>
        <v>0</v>
      </c>
      <c r="J209" s="752"/>
    </row>
    <row r="210" spans="1:10" ht="25.5" x14ac:dyDescent="0.25">
      <c r="A210" s="747">
        <v>2</v>
      </c>
      <c r="B210" s="748">
        <v>2</v>
      </c>
      <c r="C210" s="748">
        <v>9</v>
      </c>
      <c r="D210" s="748">
        <v>2</v>
      </c>
      <c r="E210" s="749" t="s">
        <v>2221</v>
      </c>
      <c r="F210" s="753" t="s">
        <v>3958</v>
      </c>
      <c r="G210" s="875">
        <f>'[12]CUENTA T FONDO 100'!DI127</f>
        <v>0</v>
      </c>
      <c r="H210" s="875">
        <f>'[12]CUENTA T VS'!DI89</f>
        <v>0</v>
      </c>
      <c r="I210" s="875">
        <f t="shared" si="6"/>
        <v>0</v>
      </c>
      <c r="J210" s="751">
        <f>I210/$I$25</f>
        <v>0</v>
      </c>
    </row>
    <row r="211" spans="1:10" ht="25.5" x14ac:dyDescent="0.25">
      <c r="A211" s="747">
        <v>2</v>
      </c>
      <c r="B211" s="748">
        <v>2</v>
      </c>
      <c r="C211" s="748">
        <v>9</v>
      </c>
      <c r="D211" s="748">
        <v>2</v>
      </c>
      <c r="E211" s="749" t="s">
        <v>3839</v>
      </c>
      <c r="F211" s="753" t="s">
        <v>2024</v>
      </c>
      <c r="G211" s="875">
        <f>'[12]CUENTA T FONDO 100'!DJ127</f>
        <v>0</v>
      </c>
      <c r="H211" s="875">
        <f>'[12]CUENTA T VS'!DJ89</f>
        <v>0</v>
      </c>
      <c r="I211" s="875">
        <f t="shared" si="6"/>
        <v>0</v>
      </c>
      <c r="J211" s="751">
        <f>I211/$I$25</f>
        <v>0</v>
      </c>
    </row>
    <row r="212" spans="1:10" x14ac:dyDescent="0.25">
      <c r="A212" s="754">
        <v>2</v>
      </c>
      <c r="B212" s="742">
        <v>3</v>
      </c>
      <c r="C212" s="742"/>
      <c r="D212" s="742"/>
      <c r="E212" s="742"/>
      <c r="F212" s="741" t="s">
        <v>3959</v>
      </c>
      <c r="G212" s="874">
        <f>G213+G225+G232+G245+G250+G261+G286+G303+G308</f>
        <v>20368607.43</v>
      </c>
      <c r="H212" s="874">
        <f>H213+H225+H232+H245+H250+H261+H286+H303+H308</f>
        <v>3000265.1999999997</v>
      </c>
      <c r="I212" s="874">
        <f t="shared" si="6"/>
        <v>23368872.629999999</v>
      </c>
      <c r="J212" s="740">
        <f>I212/$I$25</f>
        <v>0.24170889378309493</v>
      </c>
    </row>
    <row r="213" spans="1:10" x14ac:dyDescent="0.25">
      <c r="A213" s="754">
        <v>2</v>
      </c>
      <c r="B213" s="742">
        <v>3</v>
      </c>
      <c r="C213" s="742">
        <v>1</v>
      </c>
      <c r="D213" s="742"/>
      <c r="E213" s="742"/>
      <c r="F213" s="741" t="s">
        <v>164</v>
      </c>
      <c r="G213" s="874">
        <f>+G214+G217+G219+G223</f>
        <v>812515</v>
      </c>
      <c r="H213" s="874">
        <f>+H214+H217+H219+H223</f>
        <v>94850</v>
      </c>
      <c r="I213" s="874">
        <f t="shared" si="6"/>
        <v>907365</v>
      </c>
      <c r="J213" s="740"/>
    </row>
    <row r="214" spans="1:10" x14ac:dyDescent="0.25">
      <c r="A214" s="755">
        <v>2</v>
      </c>
      <c r="B214" s="744">
        <v>3</v>
      </c>
      <c r="C214" s="744">
        <v>1</v>
      </c>
      <c r="D214" s="744">
        <v>1</v>
      </c>
      <c r="E214" s="758"/>
      <c r="F214" s="743" t="s">
        <v>99</v>
      </c>
      <c r="G214" s="745">
        <f>SUM(G215:G216)</f>
        <v>812515</v>
      </c>
      <c r="H214" s="745">
        <f>SUM(H215:H216)</f>
        <v>94850</v>
      </c>
      <c r="I214" s="745">
        <f t="shared" si="6"/>
        <v>907365</v>
      </c>
      <c r="J214" s="752"/>
    </row>
    <row r="215" spans="1:10" x14ac:dyDescent="0.25">
      <c r="A215" s="756">
        <v>2</v>
      </c>
      <c r="B215" s="748">
        <v>3</v>
      </c>
      <c r="C215" s="748">
        <v>1</v>
      </c>
      <c r="D215" s="748">
        <v>1</v>
      </c>
      <c r="E215" s="749" t="s">
        <v>2221</v>
      </c>
      <c r="F215" s="747" t="s">
        <v>99</v>
      </c>
      <c r="G215" s="875">
        <f>'[12]CUENTA T FONDO 100'!DK127</f>
        <v>812515</v>
      </c>
      <c r="H215" s="875">
        <f>'[12]CUENTA T VS'!DK89</f>
        <v>94850</v>
      </c>
      <c r="I215" s="875">
        <f t="shared" si="6"/>
        <v>907365</v>
      </c>
      <c r="J215" s="751">
        <f>I215/$I$25</f>
        <v>9.3850565185564939E-3</v>
      </c>
    </row>
    <row r="216" spans="1:10" x14ac:dyDescent="0.25">
      <c r="A216" s="756">
        <v>2</v>
      </c>
      <c r="B216" s="748">
        <v>3</v>
      </c>
      <c r="C216" s="748">
        <v>1</v>
      </c>
      <c r="D216" s="748">
        <v>1</v>
      </c>
      <c r="E216" s="749" t="s">
        <v>1733</v>
      </c>
      <c r="F216" s="747" t="s">
        <v>3960</v>
      </c>
      <c r="G216" s="875">
        <f>'[12]CUENTA T FONDO 100'!DL127</f>
        <v>0</v>
      </c>
      <c r="H216" s="875">
        <f>'[12]CUENTA T VS'!DL89</f>
        <v>0</v>
      </c>
      <c r="I216" s="875">
        <f t="shared" si="6"/>
        <v>0</v>
      </c>
      <c r="J216" s="751">
        <f>I216/$I$25</f>
        <v>0</v>
      </c>
    </row>
    <row r="217" spans="1:10" x14ac:dyDescent="0.25">
      <c r="A217" s="755">
        <v>2</v>
      </c>
      <c r="B217" s="744">
        <v>3</v>
      </c>
      <c r="C217" s="744">
        <v>1</v>
      </c>
      <c r="D217" s="744">
        <v>2</v>
      </c>
      <c r="E217" s="758"/>
      <c r="F217" s="743" t="s">
        <v>3961</v>
      </c>
      <c r="G217" s="745">
        <f>SUM(G218)</f>
        <v>0</v>
      </c>
      <c r="H217" s="745">
        <f>SUM(H218)</f>
        <v>0</v>
      </c>
      <c r="I217" s="745">
        <f t="shared" ref="I217:I280" si="12">SUM(G217:H217)</f>
        <v>0</v>
      </c>
      <c r="J217" s="752"/>
    </row>
    <row r="218" spans="1:10" x14ac:dyDescent="0.25">
      <c r="A218" s="756">
        <v>2</v>
      </c>
      <c r="B218" s="748">
        <v>3</v>
      </c>
      <c r="C218" s="748">
        <v>1</v>
      </c>
      <c r="D218" s="748">
        <v>2</v>
      </c>
      <c r="E218" s="749" t="s">
        <v>2221</v>
      </c>
      <c r="F218" s="747" t="s">
        <v>3961</v>
      </c>
      <c r="G218" s="875">
        <f>'[12]CUENTA T FONDO 100'!DM127</f>
        <v>0</v>
      </c>
      <c r="H218" s="875">
        <f>'[12]CUENTA T VS'!DM89</f>
        <v>0</v>
      </c>
      <c r="I218" s="875">
        <f t="shared" si="12"/>
        <v>0</v>
      </c>
      <c r="J218" s="751">
        <f>I218/$I$25</f>
        <v>0</v>
      </c>
    </row>
    <row r="219" spans="1:10" x14ac:dyDescent="0.25">
      <c r="A219" s="755">
        <v>2</v>
      </c>
      <c r="B219" s="744">
        <v>3</v>
      </c>
      <c r="C219" s="744">
        <v>1</v>
      </c>
      <c r="D219" s="744">
        <v>3</v>
      </c>
      <c r="E219" s="744"/>
      <c r="F219" s="743" t="s">
        <v>3962</v>
      </c>
      <c r="G219" s="745">
        <f>SUM(G220:G222)</f>
        <v>0</v>
      </c>
      <c r="H219" s="745">
        <f>SUM(H220:H222)</f>
        <v>0</v>
      </c>
      <c r="I219" s="745">
        <f t="shared" si="12"/>
        <v>0</v>
      </c>
      <c r="J219" s="752"/>
    </row>
    <row r="220" spans="1:10" x14ac:dyDescent="0.25">
      <c r="A220" s="756">
        <v>2</v>
      </c>
      <c r="B220" s="748">
        <v>3</v>
      </c>
      <c r="C220" s="748">
        <v>1</v>
      </c>
      <c r="D220" s="748">
        <v>3</v>
      </c>
      <c r="E220" s="749" t="s">
        <v>2221</v>
      </c>
      <c r="F220" s="747" t="s">
        <v>3963</v>
      </c>
      <c r="G220" s="875">
        <f>'[12]CUENTA T FONDO 100'!DN127</f>
        <v>0</v>
      </c>
      <c r="H220" s="875">
        <f>'[12]CUENTA T VS'!DN89</f>
        <v>0</v>
      </c>
      <c r="I220" s="875">
        <f t="shared" si="12"/>
        <v>0</v>
      </c>
      <c r="J220" s="751">
        <f>I220/$I$25</f>
        <v>0</v>
      </c>
    </row>
    <row r="221" spans="1:10" x14ac:dyDescent="0.25">
      <c r="A221" s="756">
        <v>2</v>
      </c>
      <c r="B221" s="748">
        <v>3</v>
      </c>
      <c r="C221" s="748">
        <v>1</v>
      </c>
      <c r="D221" s="748">
        <v>3</v>
      </c>
      <c r="E221" s="749" t="s">
        <v>1733</v>
      </c>
      <c r="F221" s="747" t="s">
        <v>3964</v>
      </c>
      <c r="G221" s="875">
        <f>'[12]CUENTA T FONDO 100'!DO127</f>
        <v>0</v>
      </c>
      <c r="H221" s="875">
        <f>'[12]CUENTA T VS'!DO89</f>
        <v>0</v>
      </c>
      <c r="I221" s="875">
        <f t="shared" si="12"/>
        <v>0</v>
      </c>
      <c r="J221" s="751">
        <f>I221/$I$25</f>
        <v>0</v>
      </c>
    </row>
    <row r="222" spans="1:10" x14ac:dyDescent="0.25">
      <c r="A222" s="756">
        <v>2</v>
      </c>
      <c r="B222" s="748">
        <v>3</v>
      </c>
      <c r="C222" s="748">
        <v>1</v>
      </c>
      <c r="D222" s="748">
        <v>3</v>
      </c>
      <c r="E222" s="749" t="s">
        <v>3839</v>
      </c>
      <c r="F222" s="747" t="s">
        <v>3965</v>
      </c>
      <c r="G222" s="875">
        <f>'[12]CUENTA T FONDO 100'!DP127</f>
        <v>0</v>
      </c>
      <c r="H222" s="875">
        <f>'[12]CUENTA T VS'!DP89</f>
        <v>0</v>
      </c>
      <c r="I222" s="875">
        <f t="shared" si="12"/>
        <v>0</v>
      </c>
      <c r="J222" s="751">
        <f>I222/$I$25</f>
        <v>0</v>
      </c>
    </row>
    <row r="223" spans="1:10" x14ac:dyDescent="0.25">
      <c r="A223" s="755">
        <v>2</v>
      </c>
      <c r="B223" s="744">
        <v>3</v>
      </c>
      <c r="C223" s="744">
        <v>1</v>
      </c>
      <c r="D223" s="744">
        <v>4</v>
      </c>
      <c r="E223" s="744"/>
      <c r="F223" s="743" t="s">
        <v>3966</v>
      </c>
      <c r="G223" s="745">
        <f>SUM(G224)</f>
        <v>0</v>
      </c>
      <c r="H223" s="745">
        <f>SUM(H224)</f>
        <v>0</v>
      </c>
      <c r="I223" s="745">
        <f t="shared" si="12"/>
        <v>0</v>
      </c>
      <c r="J223" s="752"/>
    </row>
    <row r="224" spans="1:10" x14ac:dyDescent="0.25">
      <c r="A224" s="756">
        <v>2</v>
      </c>
      <c r="B224" s="748">
        <v>3</v>
      </c>
      <c r="C224" s="748">
        <v>1</v>
      </c>
      <c r="D224" s="748">
        <v>4</v>
      </c>
      <c r="E224" s="749" t="s">
        <v>2221</v>
      </c>
      <c r="F224" s="747" t="s">
        <v>3966</v>
      </c>
      <c r="G224" s="875">
        <f>'[12]CUENTA T FONDO 100'!DQ127</f>
        <v>0</v>
      </c>
      <c r="H224" s="875">
        <f>'[12]CUENTA T VS'!DQ89</f>
        <v>0</v>
      </c>
      <c r="I224" s="875">
        <f t="shared" si="12"/>
        <v>0</v>
      </c>
      <c r="J224" s="751">
        <f>I224/$I$25</f>
        <v>0</v>
      </c>
    </row>
    <row r="225" spans="1:10" x14ac:dyDescent="0.25">
      <c r="A225" s="754">
        <v>2</v>
      </c>
      <c r="B225" s="742">
        <v>3</v>
      </c>
      <c r="C225" s="742">
        <v>2</v>
      </c>
      <c r="D225" s="742"/>
      <c r="E225" s="759"/>
      <c r="F225" s="741" t="s">
        <v>183</v>
      </c>
      <c r="G225" s="874">
        <f>+G226+G228+G230</f>
        <v>1562980.47</v>
      </c>
      <c r="H225" s="874">
        <f>+H226+H228+H230</f>
        <v>0</v>
      </c>
      <c r="I225" s="874">
        <f t="shared" si="12"/>
        <v>1562980.47</v>
      </c>
      <c r="J225" s="740"/>
    </row>
    <row r="226" spans="1:10" x14ac:dyDescent="0.25">
      <c r="A226" s="755">
        <v>2</v>
      </c>
      <c r="B226" s="744">
        <v>3</v>
      </c>
      <c r="C226" s="744">
        <v>2</v>
      </c>
      <c r="D226" s="744">
        <v>1</v>
      </c>
      <c r="E226" s="744"/>
      <c r="F226" s="743" t="s">
        <v>100</v>
      </c>
      <c r="G226" s="745">
        <f>SUM(G227)</f>
        <v>0</v>
      </c>
      <c r="H226" s="745">
        <f>SUM(H227)</f>
        <v>0</v>
      </c>
      <c r="I226" s="745">
        <f t="shared" si="12"/>
        <v>0</v>
      </c>
      <c r="J226" s="752"/>
    </row>
    <row r="227" spans="1:10" x14ac:dyDescent="0.25">
      <c r="A227" s="756">
        <v>2</v>
      </c>
      <c r="B227" s="748">
        <v>3</v>
      </c>
      <c r="C227" s="748">
        <v>2</v>
      </c>
      <c r="D227" s="748">
        <v>1</v>
      </c>
      <c r="E227" s="749" t="s">
        <v>2221</v>
      </c>
      <c r="F227" s="747" t="s">
        <v>100</v>
      </c>
      <c r="G227" s="875">
        <f>'[12]CUENTA T FONDO 100'!DR127</f>
        <v>0</v>
      </c>
      <c r="H227" s="875">
        <f>'[12]CUENTA T VS'!DR89</f>
        <v>0</v>
      </c>
      <c r="I227" s="875">
        <f t="shared" si="12"/>
        <v>0</v>
      </c>
      <c r="J227" s="751">
        <f>I227/$I$25</f>
        <v>0</v>
      </c>
    </row>
    <row r="228" spans="1:10" x14ac:dyDescent="0.25">
      <c r="A228" s="755">
        <v>2</v>
      </c>
      <c r="B228" s="744">
        <v>3</v>
      </c>
      <c r="C228" s="744">
        <v>2</v>
      </c>
      <c r="D228" s="744">
        <v>2</v>
      </c>
      <c r="E228" s="744"/>
      <c r="F228" s="743" t="s">
        <v>101</v>
      </c>
      <c r="G228" s="745">
        <f>SUM(G229)</f>
        <v>1562980.47</v>
      </c>
      <c r="H228" s="745">
        <f>SUM(H229)</f>
        <v>0</v>
      </c>
      <c r="I228" s="745">
        <f t="shared" si="12"/>
        <v>1562980.47</v>
      </c>
      <c r="J228" s="752"/>
    </row>
    <row r="229" spans="1:10" x14ac:dyDescent="0.25">
      <c r="A229" s="756">
        <v>2</v>
      </c>
      <c r="B229" s="748">
        <v>3</v>
      </c>
      <c r="C229" s="748">
        <v>2</v>
      </c>
      <c r="D229" s="748">
        <v>2</v>
      </c>
      <c r="E229" s="749" t="s">
        <v>2221</v>
      </c>
      <c r="F229" s="747" t="s">
        <v>101</v>
      </c>
      <c r="G229" s="875">
        <f>'[12]CUENTA T FONDO 100'!DS127</f>
        <v>1562980.47</v>
      </c>
      <c r="H229" s="875">
        <f>'[12]CUENTA T VS'!DS89</f>
        <v>0</v>
      </c>
      <c r="I229" s="875">
        <f t="shared" si="12"/>
        <v>1562980.47</v>
      </c>
      <c r="J229" s="751">
        <f>I229/$I$25</f>
        <v>1.6166217617331495E-2</v>
      </c>
    </row>
    <row r="230" spans="1:10" x14ac:dyDescent="0.25">
      <c r="A230" s="755">
        <v>2</v>
      </c>
      <c r="B230" s="744">
        <v>3</v>
      </c>
      <c r="C230" s="744">
        <v>2</v>
      </c>
      <c r="D230" s="744">
        <v>3</v>
      </c>
      <c r="E230" s="744"/>
      <c r="F230" s="743" t="s">
        <v>102</v>
      </c>
      <c r="G230" s="745">
        <f>SUM(G231)</f>
        <v>0</v>
      </c>
      <c r="H230" s="745">
        <f>SUM(H231)</f>
        <v>0</v>
      </c>
      <c r="I230" s="745">
        <f t="shared" si="12"/>
        <v>0</v>
      </c>
      <c r="J230" s="752"/>
    </row>
    <row r="231" spans="1:10" x14ac:dyDescent="0.25">
      <c r="A231" s="756">
        <v>2</v>
      </c>
      <c r="B231" s="748">
        <v>3</v>
      </c>
      <c r="C231" s="748">
        <v>2</v>
      </c>
      <c r="D231" s="748">
        <v>3</v>
      </c>
      <c r="E231" s="749" t="s">
        <v>2221</v>
      </c>
      <c r="F231" s="747" t="s">
        <v>102</v>
      </c>
      <c r="G231" s="875">
        <f>'[12]CUENTA T FONDO 100'!DT127</f>
        <v>0</v>
      </c>
      <c r="H231" s="875">
        <f>'[12]CUENTA T VS'!DT89</f>
        <v>0</v>
      </c>
      <c r="I231" s="875">
        <f t="shared" si="12"/>
        <v>0</v>
      </c>
      <c r="J231" s="751">
        <f>I231/$I$25</f>
        <v>0</v>
      </c>
    </row>
    <row r="232" spans="1:10" x14ac:dyDescent="0.25">
      <c r="A232" s="754">
        <v>2</v>
      </c>
      <c r="B232" s="742">
        <v>3</v>
      </c>
      <c r="C232" s="742">
        <v>3</v>
      </c>
      <c r="D232" s="742"/>
      <c r="E232" s="759"/>
      <c r="F232" s="741" t="s">
        <v>3967</v>
      </c>
      <c r="G232" s="874">
        <f>+G233+G235+G237+G239+G241+G243</f>
        <v>1510942.21</v>
      </c>
      <c r="H232" s="874">
        <f>+H233+H235+H237+H239+H241+H243</f>
        <v>196824</v>
      </c>
      <c r="I232" s="874">
        <f t="shared" si="12"/>
        <v>1707766.21</v>
      </c>
      <c r="J232" s="740"/>
    </row>
    <row r="233" spans="1:10" x14ac:dyDescent="0.25">
      <c r="A233" s="755">
        <v>2</v>
      </c>
      <c r="B233" s="744">
        <v>3</v>
      </c>
      <c r="C233" s="744">
        <v>3</v>
      </c>
      <c r="D233" s="744">
        <v>1</v>
      </c>
      <c r="E233" s="744"/>
      <c r="F233" s="743" t="s">
        <v>104</v>
      </c>
      <c r="G233" s="745">
        <f>SUM(G234)</f>
        <v>0</v>
      </c>
      <c r="H233" s="745">
        <f>SUM(H234)</f>
        <v>0</v>
      </c>
      <c r="I233" s="745">
        <f t="shared" si="12"/>
        <v>0</v>
      </c>
      <c r="J233" s="752"/>
    </row>
    <row r="234" spans="1:10" x14ac:dyDescent="0.25">
      <c r="A234" s="756">
        <v>2</v>
      </c>
      <c r="B234" s="748">
        <v>3</v>
      </c>
      <c r="C234" s="748">
        <v>3</v>
      </c>
      <c r="D234" s="748">
        <v>1</v>
      </c>
      <c r="E234" s="749" t="s">
        <v>2221</v>
      </c>
      <c r="F234" s="747" t="s">
        <v>104</v>
      </c>
      <c r="G234" s="875">
        <f>'[12]CUENTA T FONDO 100'!DU127</f>
        <v>0</v>
      </c>
      <c r="H234" s="875">
        <f>'[12]CUENTA T VS'!DU89</f>
        <v>0</v>
      </c>
      <c r="I234" s="875">
        <f t="shared" si="12"/>
        <v>0</v>
      </c>
      <c r="J234" s="751">
        <f>I234/$I$25</f>
        <v>0</v>
      </c>
    </row>
    <row r="235" spans="1:10" x14ac:dyDescent="0.25">
      <c r="A235" s="755">
        <v>2</v>
      </c>
      <c r="B235" s="744">
        <v>3</v>
      </c>
      <c r="C235" s="744">
        <v>3</v>
      </c>
      <c r="D235" s="744">
        <v>2</v>
      </c>
      <c r="E235" s="744"/>
      <c r="F235" s="743" t="s">
        <v>2535</v>
      </c>
      <c r="G235" s="745">
        <f>SUM(G236)</f>
        <v>708247.21</v>
      </c>
      <c r="H235" s="745">
        <f>SUM(H236)</f>
        <v>0</v>
      </c>
      <c r="I235" s="745">
        <f t="shared" si="12"/>
        <v>708247.21</v>
      </c>
      <c r="J235" s="752"/>
    </row>
    <row r="236" spans="1:10" x14ac:dyDescent="0.25">
      <c r="A236" s="756">
        <v>2</v>
      </c>
      <c r="B236" s="748">
        <v>3</v>
      </c>
      <c r="C236" s="748">
        <v>3</v>
      </c>
      <c r="D236" s="748">
        <v>2</v>
      </c>
      <c r="E236" s="749" t="s">
        <v>2221</v>
      </c>
      <c r="F236" s="747" t="s">
        <v>2535</v>
      </c>
      <c r="G236" s="875">
        <f>'[12]CUENTA T FONDO 100'!DV127</f>
        <v>708247.21</v>
      </c>
      <c r="H236" s="875">
        <f>'[12]CUENTA T VS'!DV89</f>
        <v>0</v>
      </c>
      <c r="I236" s="875">
        <f t="shared" si="12"/>
        <v>708247.21</v>
      </c>
      <c r="J236" s="751">
        <f>I236/$I$25</f>
        <v>7.3255416452694894E-3</v>
      </c>
    </row>
    <row r="237" spans="1:10" x14ac:dyDescent="0.25">
      <c r="A237" s="755">
        <v>2</v>
      </c>
      <c r="B237" s="744">
        <v>3</v>
      </c>
      <c r="C237" s="744">
        <v>3</v>
      </c>
      <c r="D237" s="744">
        <v>3</v>
      </c>
      <c r="E237" s="744"/>
      <c r="F237" s="743" t="s">
        <v>2525</v>
      </c>
      <c r="G237" s="745">
        <f>SUM(G238)</f>
        <v>802695</v>
      </c>
      <c r="H237" s="745">
        <f>SUM(H238)</f>
        <v>196824</v>
      </c>
      <c r="I237" s="745">
        <f t="shared" si="12"/>
        <v>999519</v>
      </c>
      <c r="J237" s="752"/>
    </row>
    <row r="238" spans="1:10" x14ac:dyDescent="0.25">
      <c r="A238" s="756">
        <v>2</v>
      </c>
      <c r="B238" s="748">
        <v>3</v>
      </c>
      <c r="C238" s="748">
        <v>3</v>
      </c>
      <c r="D238" s="748">
        <v>3</v>
      </c>
      <c r="E238" s="749" t="s">
        <v>2221</v>
      </c>
      <c r="F238" s="747" t="s">
        <v>2525</v>
      </c>
      <c r="G238" s="875">
        <f>'[12]CUENTA T FONDO 100'!DW127</f>
        <v>802695</v>
      </c>
      <c r="H238" s="875">
        <f>'[12]CUENTA T VS'!DW89</f>
        <v>196824</v>
      </c>
      <c r="I238" s="875">
        <f t="shared" si="12"/>
        <v>999519</v>
      </c>
      <c r="J238" s="751">
        <f>I238/$I$25</f>
        <v>1.0338223654616466E-2</v>
      </c>
    </row>
    <row r="239" spans="1:10" x14ac:dyDescent="0.25">
      <c r="A239" s="755">
        <v>2</v>
      </c>
      <c r="B239" s="744">
        <v>3</v>
      </c>
      <c r="C239" s="744">
        <v>3</v>
      </c>
      <c r="D239" s="744">
        <v>4</v>
      </c>
      <c r="E239" s="744"/>
      <c r="F239" s="743" t="s">
        <v>3968</v>
      </c>
      <c r="G239" s="745">
        <f>SUM(G240)</f>
        <v>0</v>
      </c>
      <c r="H239" s="745">
        <f>SUM(H240)</f>
        <v>0</v>
      </c>
      <c r="I239" s="745">
        <f t="shared" si="12"/>
        <v>0</v>
      </c>
      <c r="J239" s="752"/>
    </row>
    <row r="240" spans="1:10" x14ac:dyDescent="0.25">
      <c r="A240" s="756">
        <v>2</v>
      </c>
      <c r="B240" s="748">
        <v>3</v>
      </c>
      <c r="C240" s="748">
        <v>3</v>
      </c>
      <c r="D240" s="748">
        <v>4</v>
      </c>
      <c r="E240" s="749" t="s">
        <v>2221</v>
      </c>
      <c r="F240" s="747" t="s">
        <v>3968</v>
      </c>
      <c r="G240" s="875">
        <f>'[12]CUENTA T FONDO 100'!DX127</f>
        <v>0</v>
      </c>
      <c r="H240" s="875">
        <f>'[12]CUENTA T VS'!DX89</f>
        <v>0</v>
      </c>
      <c r="I240" s="875">
        <f t="shared" si="12"/>
        <v>0</v>
      </c>
      <c r="J240" s="751">
        <f>I240/$I$25</f>
        <v>0</v>
      </c>
    </row>
    <row r="241" spans="1:10" x14ac:dyDescent="0.25">
      <c r="A241" s="755">
        <v>2</v>
      </c>
      <c r="B241" s="744">
        <v>3</v>
      </c>
      <c r="C241" s="744">
        <v>3</v>
      </c>
      <c r="D241" s="744">
        <v>5</v>
      </c>
      <c r="E241" s="744"/>
      <c r="F241" s="743" t="s">
        <v>3969</v>
      </c>
      <c r="G241" s="745">
        <f>SUM(G242)</f>
        <v>0</v>
      </c>
      <c r="H241" s="745">
        <f>SUM(H242)</f>
        <v>0</v>
      </c>
      <c r="I241" s="745">
        <f t="shared" si="12"/>
        <v>0</v>
      </c>
      <c r="J241" s="752"/>
    </row>
    <row r="242" spans="1:10" x14ac:dyDescent="0.25">
      <c r="A242" s="756">
        <v>2</v>
      </c>
      <c r="B242" s="748">
        <v>3</v>
      </c>
      <c r="C242" s="748">
        <v>3</v>
      </c>
      <c r="D242" s="748">
        <v>5</v>
      </c>
      <c r="E242" s="749" t="s">
        <v>2221</v>
      </c>
      <c r="F242" s="747" t="s">
        <v>3969</v>
      </c>
      <c r="G242" s="875">
        <f>'[12]CUENTA T FONDO 100'!DY127</f>
        <v>0</v>
      </c>
      <c r="H242" s="875">
        <f>'[12]CUENTA T VS'!DY89</f>
        <v>0</v>
      </c>
      <c r="I242" s="875">
        <f t="shared" si="12"/>
        <v>0</v>
      </c>
      <c r="J242" s="751">
        <f>I242/$I$25</f>
        <v>0</v>
      </c>
    </row>
    <row r="243" spans="1:10" x14ac:dyDescent="0.25">
      <c r="A243" s="755">
        <v>2</v>
      </c>
      <c r="B243" s="744">
        <v>3</v>
      </c>
      <c r="C243" s="744">
        <v>3</v>
      </c>
      <c r="D243" s="744">
        <v>6</v>
      </c>
      <c r="E243" s="744"/>
      <c r="F243" s="743" t="s">
        <v>3970</v>
      </c>
      <c r="G243" s="745">
        <f>SUM(G244)</f>
        <v>0</v>
      </c>
      <c r="H243" s="745">
        <f>SUM(H244)</f>
        <v>0</v>
      </c>
      <c r="I243" s="745">
        <f t="shared" si="12"/>
        <v>0</v>
      </c>
      <c r="J243" s="752"/>
    </row>
    <row r="244" spans="1:10" x14ac:dyDescent="0.25">
      <c r="A244" s="756">
        <v>2</v>
      </c>
      <c r="B244" s="748">
        <v>3</v>
      </c>
      <c r="C244" s="748">
        <v>3</v>
      </c>
      <c r="D244" s="748">
        <v>6</v>
      </c>
      <c r="E244" s="749" t="s">
        <v>2221</v>
      </c>
      <c r="F244" s="747" t="s">
        <v>3970</v>
      </c>
      <c r="G244" s="875">
        <f>'[12]CUENTA T FONDO 100'!DZ127</f>
        <v>0</v>
      </c>
      <c r="H244" s="875">
        <f>'[12]CUENTA T VS'!DZ89</f>
        <v>0</v>
      </c>
      <c r="I244" s="875">
        <f t="shared" si="12"/>
        <v>0</v>
      </c>
      <c r="J244" s="751">
        <f>I244/$I$25</f>
        <v>0</v>
      </c>
    </row>
    <row r="245" spans="1:10" x14ac:dyDescent="0.25">
      <c r="A245" s="754">
        <v>2</v>
      </c>
      <c r="B245" s="742">
        <v>3</v>
      </c>
      <c r="C245" s="742">
        <v>4</v>
      </c>
      <c r="D245" s="742"/>
      <c r="E245" s="759"/>
      <c r="F245" s="741" t="s">
        <v>3971</v>
      </c>
      <c r="G245" s="874">
        <f>+G246+G248</f>
        <v>6349109</v>
      </c>
      <c r="H245" s="874">
        <f>+H246+H248</f>
        <v>92000</v>
      </c>
      <c r="I245" s="874">
        <f t="shared" si="12"/>
        <v>6441109</v>
      </c>
      <c r="J245" s="740"/>
    </row>
    <row r="246" spans="1:10" x14ac:dyDescent="0.25">
      <c r="A246" s="755">
        <v>2</v>
      </c>
      <c r="B246" s="744">
        <v>3</v>
      </c>
      <c r="C246" s="744">
        <v>4</v>
      </c>
      <c r="D246" s="744">
        <v>1</v>
      </c>
      <c r="E246" s="744"/>
      <c r="F246" s="743" t="s">
        <v>2299</v>
      </c>
      <c r="G246" s="745">
        <f>SUM(G247)</f>
        <v>6349109</v>
      </c>
      <c r="H246" s="745">
        <f>SUM(H247)</f>
        <v>92000</v>
      </c>
      <c r="I246" s="745">
        <f t="shared" si="12"/>
        <v>6441109</v>
      </c>
      <c r="J246" s="752"/>
    </row>
    <row r="247" spans="1:10" x14ac:dyDescent="0.25">
      <c r="A247" s="756">
        <v>2</v>
      </c>
      <c r="B247" s="748">
        <v>3</v>
      </c>
      <c r="C247" s="748">
        <v>4</v>
      </c>
      <c r="D247" s="748">
        <v>1</v>
      </c>
      <c r="E247" s="749" t="s">
        <v>2221</v>
      </c>
      <c r="F247" s="747" t="s">
        <v>2299</v>
      </c>
      <c r="G247" s="875">
        <f>'[12]CUENTA T FONDO 100'!EA127</f>
        <v>6349109</v>
      </c>
      <c r="H247" s="875">
        <f>'[12]CUENTA T VS'!EA89</f>
        <v>92000</v>
      </c>
      <c r="I247" s="875">
        <f t="shared" si="12"/>
        <v>6441109</v>
      </c>
      <c r="J247" s="751">
        <f>I247/$I$25</f>
        <v>6.662167044924909E-2</v>
      </c>
    </row>
    <row r="248" spans="1:10" x14ac:dyDescent="0.25">
      <c r="A248" s="755">
        <v>2</v>
      </c>
      <c r="B248" s="744">
        <v>3</v>
      </c>
      <c r="C248" s="744">
        <v>4</v>
      </c>
      <c r="D248" s="744">
        <v>2</v>
      </c>
      <c r="E248" s="744"/>
      <c r="F248" s="743" t="s">
        <v>3972</v>
      </c>
      <c r="G248" s="745">
        <f>SUM(G249)</f>
        <v>0</v>
      </c>
      <c r="H248" s="745">
        <f>SUM(H249)</f>
        <v>0</v>
      </c>
      <c r="I248" s="745">
        <f t="shared" si="12"/>
        <v>0</v>
      </c>
      <c r="J248" s="752"/>
    </row>
    <row r="249" spans="1:10" x14ac:dyDescent="0.25">
      <c r="A249" s="756">
        <v>2</v>
      </c>
      <c r="B249" s="748">
        <v>3</v>
      </c>
      <c r="C249" s="748">
        <v>4</v>
      </c>
      <c r="D249" s="748">
        <v>2</v>
      </c>
      <c r="E249" s="749" t="s">
        <v>2221</v>
      </c>
      <c r="F249" s="747" t="s">
        <v>3972</v>
      </c>
      <c r="G249" s="875">
        <f>'[12]CUENTA T FONDO 100'!EB127</f>
        <v>0</v>
      </c>
      <c r="H249" s="875">
        <f>'[12]CUENTA T VS'!EB89</f>
        <v>0</v>
      </c>
      <c r="I249" s="875">
        <f t="shared" si="12"/>
        <v>0</v>
      </c>
      <c r="J249" s="751">
        <f>I249/$I$25</f>
        <v>0</v>
      </c>
    </row>
    <row r="250" spans="1:10" x14ac:dyDescent="0.25">
      <c r="A250" s="754">
        <v>2</v>
      </c>
      <c r="B250" s="742">
        <v>3</v>
      </c>
      <c r="C250" s="742">
        <v>5</v>
      </c>
      <c r="D250" s="742"/>
      <c r="E250" s="759"/>
      <c r="F250" s="741" t="s">
        <v>3973</v>
      </c>
      <c r="G250" s="874">
        <f>+G251+G253+G255+G257+G259</f>
        <v>506546.35000000003</v>
      </c>
      <c r="H250" s="874">
        <f>+H251+H253+H255+H257+H259</f>
        <v>0</v>
      </c>
      <c r="I250" s="874">
        <f t="shared" si="12"/>
        <v>506546.35000000003</v>
      </c>
      <c r="J250" s="740"/>
    </row>
    <row r="251" spans="1:10" x14ac:dyDescent="0.25">
      <c r="A251" s="755">
        <v>2</v>
      </c>
      <c r="B251" s="744">
        <v>3</v>
      </c>
      <c r="C251" s="744">
        <v>5</v>
      </c>
      <c r="D251" s="744">
        <v>1</v>
      </c>
      <c r="E251" s="744"/>
      <c r="F251" s="743" t="s">
        <v>3974</v>
      </c>
      <c r="G251" s="745">
        <f>SUM(G252)</f>
        <v>0</v>
      </c>
      <c r="H251" s="745">
        <f>SUM(H252)</f>
        <v>0</v>
      </c>
      <c r="I251" s="745">
        <f t="shared" si="12"/>
        <v>0</v>
      </c>
      <c r="J251" s="752"/>
    </row>
    <row r="252" spans="1:10" x14ac:dyDescent="0.25">
      <c r="A252" s="756">
        <v>2</v>
      </c>
      <c r="B252" s="748">
        <v>3</v>
      </c>
      <c r="C252" s="748">
        <v>5</v>
      </c>
      <c r="D252" s="748">
        <v>1</v>
      </c>
      <c r="E252" s="749" t="s">
        <v>2221</v>
      </c>
      <c r="F252" s="747" t="s">
        <v>3974</v>
      </c>
      <c r="G252" s="875">
        <f>'[12]CUENTA T FONDO 100'!EC127</f>
        <v>0</v>
      </c>
      <c r="H252" s="875">
        <f>'[12]CUENTA T VS'!EC89</f>
        <v>0</v>
      </c>
      <c r="I252" s="875">
        <f t="shared" si="12"/>
        <v>0</v>
      </c>
      <c r="J252" s="751">
        <f>I252/$I$25</f>
        <v>0</v>
      </c>
    </row>
    <row r="253" spans="1:10" x14ac:dyDescent="0.25">
      <c r="A253" s="755">
        <v>2</v>
      </c>
      <c r="B253" s="744">
        <v>3</v>
      </c>
      <c r="C253" s="744">
        <v>5</v>
      </c>
      <c r="D253" s="744">
        <v>2</v>
      </c>
      <c r="E253" s="744"/>
      <c r="F253" s="743" t="s">
        <v>3975</v>
      </c>
      <c r="G253" s="745">
        <f>SUM(G254)</f>
        <v>0</v>
      </c>
      <c r="H253" s="745">
        <f>SUM(H254)</f>
        <v>0</v>
      </c>
      <c r="I253" s="745">
        <f t="shared" si="12"/>
        <v>0</v>
      </c>
      <c r="J253" s="752"/>
    </row>
    <row r="254" spans="1:10" x14ac:dyDescent="0.25">
      <c r="A254" s="756">
        <v>2</v>
      </c>
      <c r="B254" s="748">
        <v>3</v>
      </c>
      <c r="C254" s="748">
        <v>5</v>
      </c>
      <c r="D254" s="748">
        <v>2</v>
      </c>
      <c r="E254" s="749" t="s">
        <v>2221</v>
      </c>
      <c r="F254" s="747" t="s">
        <v>3975</v>
      </c>
      <c r="G254" s="875">
        <f>'[12]CUENTA T FONDO 100'!ED127</f>
        <v>0</v>
      </c>
      <c r="H254" s="875">
        <f>'[12]CUENTA T VS'!ED89</f>
        <v>0</v>
      </c>
      <c r="I254" s="875">
        <f t="shared" si="12"/>
        <v>0</v>
      </c>
      <c r="J254" s="751">
        <f>I254/$I$25</f>
        <v>0</v>
      </c>
    </row>
    <row r="255" spans="1:10" x14ac:dyDescent="0.25">
      <c r="A255" s="755">
        <v>2</v>
      </c>
      <c r="B255" s="744">
        <v>3</v>
      </c>
      <c r="C255" s="744">
        <v>5</v>
      </c>
      <c r="D255" s="744">
        <v>3</v>
      </c>
      <c r="E255" s="744"/>
      <c r="F255" s="743" t="s">
        <v>3976</v>
      </c>
      <c r="G255" s="745">
        <f>SUM(G256)</f>
        <v>0</v>
      </c>
      <c r="H255" s="745">
        <f>SUM(H256)</f>
        <v>0</v>
      </c>
      <c r="I255" s="745">
        <f t="shared" si="12"/>
        <v>0</v>
      </c>
      <c r="J255" s="752"/>
    </row>
    <row r="256" spans="1:10" x14ac:dyDescent="0.25">
      <c r="A256" s="756">
        <v>2</v>
      </c>
      <c r="B256" s="748">
        <v>3</v>
      </c>
      <c r="C256" s="748">
        <v>5</v>
      </c>
      <c r="D256" s="748">
        <v>3</v>
      </c>
      <c r="E256" s="749" t="s">
        <v>2221</v>
      </c>
      <c r="F256" s="747" t="s">
        <v>3976</v>
      </c>
      <c r="G256" s="875">
        <f>'[12]CUENTA T FONDO 100'!EE127</f>
        <v>0</v>
      </c>
      <c r="H256" s="875">
        <f>'[12]CUENTA T VS'!EE89</f>
        <v>0</v>
      </c>
      <c r="I256" s="875">
        <f t="shared" si="12"/>
        <v>0</v>
      </c>
      <c r="J256" s="751">
        <f>I256/$I$25</f>
        <v>0</v>
      </c>
    </row>
    <row r="257" spans="1:10" x14ac:dyDescent="0.25">
      <c r="A257" s="755">
        <v>2</v>
      </c>
      <c r="B257" s="744">
        <v>3</v>
      </c>
      <c r="C257" s="744">
        <v>5</v>
      </c>
      <c r="D257" s="744">
        <v>4</v>
      </c>
      <c r="E257" s="744"/>
      <c r="F257" s="743" t="s">
        <v>2975</v>
      </c>
      <c r="G257" s="745">
        <f>SUM(G258)</f>
        <v>13349.69</v>
      </c>
      <c r="H257" s="745">
        <f>SUM(H258)</f>
        <v>0</v>
      </c>
      <c r="I257" s="745">
        <f t="shared" si="12"/>
        <v>13349.69</v>
      </c>
      <c r="J257" s="752"/>
    </row>
    <row r="258" spans="1:10" x14ac:dyDescent="0.25">
      <c r="A258" s="756">
        <v>2</v>
      </c>
      <c r="B258" s="748">
        <v>3</v>
      </c>
      <c r="C258" s="748">
        <v>5</v>
      </c>
      <c r="D258" s="748">
        <v>4</v>
      </c>
      <c r="E258" s="749" t="s">
        <v>2221</v>
      </c>
      <c r="F258" s="747" t="s">
        <v>2975</v>
      </c>
      <c r="G258" s="875">
        <f>'[12]CUENTA T FONDO 100'!EF127</f>
        <v>13349.69</v>
      </c>
      <c r="H258" s="875">
        <f>'[12]CUENTA T VS'!EF89</f>
        <v>0</v>
      </c>
      <c r="I258" s="875">
        <f t="shared" si="12"/>
        <v>13349.69</v>
      </c>
      <c r="J258" s="751">
        <f>I258/$I$25</f>
        <v>1.3807849669670799E-4</v>
      </c>
    </row>
    <row r="259" spans="1:10" x14ac:dyDescent="0.25">
      <c r="A259" s="755">
        <v>2</v>
      </c>
      <c r="B259" s="744">
        <v>3</v>
      </c>
      <c r="C259" s="744">
        <v>5</v>
      </c>
      <c r="D259" s="744">
        <v>5</v>
      </c>
      <c r="E259" s="744"/>
      <c r="F259" s="743" t="s">
        <v>3977</v>
      </c>
      <c r="G259" s="745">
        <f>SUM(G260)</f>
        <v>493196.66000000003</v>
      </c>
      <c r="H259" s="745">
        <f>SUM(H260)</f>
        <v>0</v>
      </c>
      <c r="I259" s="745">
        <f t="shared" si="12"/>
        <v>493196.66000000003</v>
      </c>
      <c r="J259" s="752"/>
    </row>
    <row r="260" spans="1:10" x14ac:dyDescent="0.25">
      <c r="A260" s="756">
        <v>2</v>
      </c>
      <c r="B260" s="748">
        <v>3</v>
      </c>
      <c r="C260" s="748">
        <v>5</v>
      </c>
      <c r="D260" s="748">
        <v>5</v>
      </c>
      <c r="E260" s="749" t="s">
        <v>2221</v>
      </c>
      <c r="F260" s="747" t="s">
        <v>3977</v>
      </c>
      <c r="G260" s="875">
        <f>'[12]CUENTA T FONDO 100'!EG127</f>
        <v>493196.66000000003</v>
      </c>
      <c r="H260" s="875">
        <f>'[12]CUENTA T VS'!EG89</f>
        <v>0</v>
      </c>
      <c r="I260" s="875">
        <f t="shared" si="12"/>
        <v>493196.66000000003</v>
      </c>
      <c r="J260" s="751">
        <f>I260/$I$25</f>
        <v>5.1012310689339917E-3</v>
      </c>
    </row>
    <row r="261" spans="1:10" x14ac:dyDescent="0.25">
      <c r="A261" s="754">
        <v>2</v>
      </c>
      <c r="B261" s="742">
        <v>3</v>
      </c>
      <c r="C261" s="742">
        <v>6</v>
      </c>
      <c r="D261" s="742"/>
      <c r="E261" s="742"/>
      <c r="F261" s="741" t="s">
        <v>3978</v>
      </c>
      <c r="G261" s="874">
        <f>+G262+G268+G272+G276+G284</f>
        <v>351015.88</v>
      </c>
      <c r="H261" s="874">
        <f>+H262+H268+H272+H276+H284</f>
        <v>0</v>
      </c>
      <c r="I261" s="874">
        <f t="shared" si="12"/>
        <v>351015.88</v>
      </c>
      <c r="J261" s="740"/>
    </row>
    <row r="262" spans="1:10" x14ac:dyDescent="0.25">
      <c r="A262" s="755">
        <v>2</v>
      </c>
      <c r="B262" s="744">
        <v>3</v>
      </c>
      <c r="C262" s="744">
        <v>6</v>
      </c>
      <c r="D262" s="744">
        <v>1</v>
      </c>
      <c r="E262" s="744"/>
      <c r="F262" s="743" t="s">
        <v>3979</v>
      </c>
      <c r="G262" s="745">
        <f>SUM(G263:G267)</f>
        <v>26668</v>
      </c>
      <c r="H262" s="745">
        <f>SUM(H263:H267)</f>
        <v>0</v>
      </c>
      <c r="I262" s="745">
        <f t="shared" si="12"/>
        <v>26668</v>
      </c>
      <c r="J262" s="752"/>
    </row>
    <row r="263" spans="1:10" x14ac:dyDescent="0.25">
      <c r="A263" s="756">
        <v>2</v>
      </c>
      <c r="B263" s="748">
        <v>3</v>
      </c>
      <c r="C263" s="748">
        <v>6</v>
      </c>
      <c r="D263" s="748">
        <v>1</v>
      </c>
      <c r="E263" s="749" t="s">
        <v>2221</v>
      </c>
      <c r="F263" s="747" t="s">
        <v>3980</v>
      </c>
      <c r="G263" s="875">
        <f>'[12]CUENTA T FONDO 100'!EH127</f>
        <v>0</v>
      </c>
      <c r="H263" s="875">
        <f>'[12]CUENTA T VS'!EH89</f>
        <v>0</v>
      </c>
      <c r="I263" s="875">
        <f t="shared" si="12"/>
        <v>0</v>
      </c>
      <c r="J263" s="751">
        <f>I263/$I$25</f>
        <v>0</v>
      </c>
    </row>
    <row r="264" spans="1:10" x14ac:dyDescent="0.25">
      <c r="A264" s="756">
        <v>2</v>
      </c>
      <c r="B264" s="748">
        <v>3</v>
      </c>
      <c r="C264" s="748">
        <v>6</v>
      </c>
      <c r="D264" s="748">
        <v>1</v>
      </c>
      <c r="E264" s="749" t="s">
        <v>1733</v>
      </c>
      <c r="F264" s="747" t="s">
        <v>111</v>
      </c>
      <c r="G264" s="875">
        <f>'[12]CUENTA T FONDO 100'!EI127</f>
        <v>0</v>
      </c>
      <c r="H264" s="875">
        <f>'[12]CUENTA T VS'!EI89</f>
        <v>0</v>
      </c>
      <c r="I264" s="875">
        <f t="shared" si="12"/>
        <v>0</v>
      </c>
      <c r="J264" s="751">
        <f>I264/$I$25</f>
        <v>0</v>
      </c>
    </row>
    <row r="265" spans="1:10" x14ac:dyDescent="0.25">
      <c r="A265" s="756">
        <v>2</v>
      </c>
      <c r="B265" s="748">
        <v>3</v>
      </c>
      <c r="C265" s="748">
        <v>6</v>
      </c>
      <c r="D265" s="748">
        <v>1</v>
      </c>
      <c r="E265" s="749" t="s">
        <v>3839</v>
      </c>
      <c r="F265" s="747" t="s">
        <v>3981</v>
      </c>
      <c r="G265" s="875">
        <f>'[12]CUENTA T FONDO 100'!EJ127</f>
        <v>0</v>
      </c>
      <c r="H265" s="875">
        <f>'[12]CUENTA T VS'!EJ89</f>
        <v>0</v>
      </c>
      <c r="I265" s="875">
        <f t="shared" si="12"/>
        <v>0</v>
      </c>
      <c r="J265" s="751">
        <f>I265/$I$25</f>
        <v>0</v>
      </c>
    </row>
    <row r="266" spans="1:10" x14ac:dyDescent="0.25">
      <c r="A266" s="756">
        <v>2</v>
      </c>
      <c r="B266" s="748">
        <v>3</v>
      </c>
      <c r="C266" s="748">
        <v>6</v>
      </c>
      <c r="D266" s="748">
        <v>1</v>
      </c>
      <c r="E266" s="749" t="s">
        <v>625</v>
      </c>
      <c r="F266" s="747" t="s">
        <v>3982</v>
      </c>
      <c r="G266" s="875">
        <f>'[12]CUENTA T FONDO 100'!EK127</f>
        <v>26668</v>
      </c>
      <c r="H266" s="875">
        <f>'[12]CUENTA T VS'!EK89</f>
        <v>0</v>
      </c>
      <c r="I266" s="875">
        <f t="shared" si="12"/>
        <v>26668</v>
      </c>
      <c r="J266" s="751">
        <f>I266/$I$25</f>
        <v>2.7583242381716794E-4</v>
      </c>
    </row>
    <row r="267" spans="1:10" x14ac:dyDescent="0.25">
      <c r="A267" s="756">
        <v>2</v>
      </c>
      <c r="B267" s="748">
        <v>3</v>
      </c>
      <c r="C267" s="748">
        <v>6</v>
      </c>
      <c r="D267" s="748">
        <v>1</v>
      </c>
      <c r="E267" s="749" t="s">
        <v>3842</v>
      </c>
      <c r="F267" s="747" t="s">
        <v>3983</v>
      </c>
      <c r="G267" s="875">
        <f>'[12]CUENTA T FONDO 100'!EL127</f>
        <v>0</v>
      </c>
      <c r="H267" s="875">
        <f>'[12]CUENTA T VS'!EL89</f>
        <v>0</v>
      </c>
      <c r="I267" s="875">
        <f t="shared" si="12"/>
        <v>0</v>
      </c>
      <c r="J267" s="751">
        <f>I267/$I$25</f>
        <v>0</v>
      </c>
    </row>
    <row r="268" spans="1:10" x14ac:dyDescent="0.25">
      <c r="A268" s="755">
        <v>2</v>
      </c>
      <c r="B268" s="744">
        <v>3</v>
      </c>
      <c r="C268" s="744">
        <v>6</v>
      </c>
      <c r="D268" s="744">
        <v>2</v>
      </c>
      <c r="E268" s="744"/>
      <c r="F268" s="743" t="s">
        <v>2984</v>
      </c>
      <c r="G268" s="745">
        <f>SUM(G269:G271)</f>
        <v>245706.09</v>
      </c>
      <c r="H268" s="745">
        <f>SUM(H269:H271)</f>
        <v>0</v>
      </c>
      <c r="I268" s="745">
        <f t="shared" si="12"/>
        <v>245706.09</v>
      </c>
      <c r="J268" s="752"/>
    </row>
    <row r="269" spans="1:10" x14ac:dyDescent="0.25">
      <c r="A269" s="756">
        <v>2</v>
      </c>
      <c r="B269" s="748">
        <v>3</v>
      </c>
      <c r="C269" s="748">
        <v>6</v>
      </c>
      <c r="D269" s="748">
        <v>2</v>
      </c>
      <c r="E269" s="749" t="s">
        <v>2221</v>
      </c>
      <c r="F269" s="747" t="s">
        <v>3984</v>
      </c>
      <c r="G269" s="875">
        <f>'[12]CUENTA T FONDO 100'!EM127</f>
        <v>40356</v>
      </c>
      <c r="H269" s="875">
        <f>'[12]CUENTA T VS'!EM89</f>
        <v>0</v>
      </c>
      <c r="I269" s="875">
        <f t="shared" si="12"/>
        <v>40356</v>
      </c>
      <c r="J269" s="751">
        <f>I269/$I$25</f>
        <v>4.1741012807730723E-4</v>
      </c>
    </row>
    <row r="270" spans="1:10" x14ac:dyDescent="0.25">
      <c r="A270" s="756">
        <v>2</v>
      </c>
      <c r="B270" s="748">
        <v>3</v>
      </c>
      <c r="C270" s="748">
        <v>6</v>
      </c>
      <c r="D270" s="748">
        <v>2</v>
      </c>
      <c r="E270" s="749" t="s">
        <v>1733</v>
      </c>
      <c r="F270" s="747" t="s">
        <v>3985</v>
      </c>
      <c r="G270" s="875">
        <f>'[12]CUENTA T FONDO 100'!EN127</f>
        <v>0</v>
      </c>
      <c r="H270" s="875">
        <f>'[12]CUENTA T VS'!EN89</f>
        <v>0</v>
      </c>
      <c r="I270" s="875">
        <f t="shared" si="12"/>
        <v>0</v>
      </c>
      <c r="J270" s="751">
        <f>I270/$I$25</f>
        <v>0</v>
      </c>
    </row>
    <row r="271" spans="1:10" x14ac:dyDescent="0.25">
      <c r="A271" s="756">
        <v>2</v>
      </c>
      <c r="B271" s="748">
        <v>3</v>
      </c>
      <c r="C271" s="748">
        <v>6</v>
      </c>
      <c r="D271" s="748">
        <v>2</v>
      </c>
      <c r="E271" s="749" t="s">
        <v>3839</v>
      </c>
      <c r="F271" s="747" t="s">
        <v>2986</v>
      </c>
      <c r="G271" s="875">
        <f>'[12]CUENTA T FONDO 100'!EO127</f>
        <v>205350.09</v>
      </c>
      <c r="H271" s="875">
        <f>'[12]CUENTA T VS'!EO89</f>
        <v>0</v>
      </c>
      <c r="I271" s="875">
        <f t="shared" si="12"/>
        <v>205350.09</v>
      </c>
      <c r="J271" s="751">
        <f>I271/$I$25</f>
        <v>2.1239767907519718E-3</v>
      </c>
    </row>
    <row r="272" spans="1:10" x14ac:dyDescent="0.25">
      <c r="A272" s="755">
        <v>2</v>
      </c>
      <c r="B272" s="744">
        <v>3</v>
      </c>
      <c r="C272" s="744">
        <v>6</v>
      </c>
      <c r="D272" s="744">
        <v>3</v>
      </c>
      <c r="E272" s="744"/>
      <c r="F272" s="743" t="s">
        <v>2957</v>
      </c>
      <c r="G272" s="745">
        <f>SUM(G273:G275)</f>
        <v>78641.790000000008</v>
      </c>
      <c r="H272" s="745">
        <f>SUM(H273:H275)</f>
        <v>0</v>
      </c>
      <c r="I272" s="745">
        <f t="shared" si="12"/>
        <v>78641.790000000008</v>
      </c>
      <c r="J272" s="752"/>
    </row>
    <row r="273" spans="1:10" ht="25.5" x14ac:dyDescent="0.25">
      <c r="A273" s="756">
        <v>2</v>
      </c>
      <c r="B273" s="748">
        <v>3</v>
      </c>
      <c r="C273" s="748">
        <v>6</v>
      </c>
      <c r="D273" s="748">
        <v>3</v>
      </c>
      <c r="E273" s="749" t="s">
        <v>625</v>
      </c>
      <c r="F273" s="753" t="s">
        <v>113</v>
      </c>
      <c r="G273" s="875">
        <f>'[12]CUENTA T FONDO 100'!EP127</f>
        <v>12331</v>
      </c>
      <c r="H273" s="875">
        <f>'[12]CUENTA T VS'!EP89</f>
        <v>0</v>
      </c>
      <c r="I273" s="875">
        <f t="shared" si="12"/>
        <v>12331</v>
      </c>
      <c r="J273" s="751">
        <f>I273/$I$25</f>
        <v>1.275419835791772E-4</v>
      </c>
    </row>
    <row r="274" spans="1:10" x14ac:dyDescent="0.25">
      <c r="A274" s="756">
        <v>2</v>
      </c>
      <c r="B274" s="748">
        <v>3</v>
      </c>
      <c r="C274" s="748">
        <v>6</v>
      </c>
      <c r="D274" s="748">
        <v>3</v>
      </c>
      <c r="E274" s="749" t="s">
        <v>3842</v>
      </c>
      <c r="F274" s="747" t="s">
        <v>114</v>
      </c>
      <c r="G274" s="875">
        <f>'[12]CUENTA T FONDO 100'!EQ127</f>
        <v>0</v>
      </c>
      <c r="H274" s="875">
        <f>'[12]CUENTA T VS'!EQ89</f>
        <v>0</v>
      </c>
      <c r="I274" s="875">
        <f t="shared" si="12"/>
        <v>0</v>
      </c>
      <c r="J274" s="751">
        <f>I274/$I$25</f>
        <v>0</v>
      </c>
    </row>
    <row r="275" spans="1:10" x14ac:dyDescent="0.25">
      <c r="A275" s="756">
        <v>2</v>
      </c>
      <c r="B275" s="748">
        <v>3</v>
      </c>
      <c r="C275" s="748">
        <v>6</v>
      </c>
      <c r="D275" s="748">
        <v>3</v>
      </c>
      <c r="E275" s="749" t="s">
        <v>3844</v>
      </c>
      <c r="F275" s="747" t="s">
        <v>3986</v>
      </c>
      <c r="G275" s="875">
        <f>'[12]CUENTA T FONDO 100'!ER127</f>
        <v>66310.790000000008</v>
      </c>
      <c r="H275" s="875">
        <f>'[12]CUENTA T VS'!ER89</f>
        <v>0</v>
      </c>
      <c r="I275" s="875">
        <f t="shared" si="12"/>
        <v>66310.790000000008</v>
      </c>
      <c r="J275" s="751">
        <f>I275/$I$25</f>
        <v>6.8586567912596458E-4</v>
      </c>
    </row>
    <row r="276" spans="1:10" x14ac:dyDescent="0.25">
      <c r="A276" s="755">
        <v>2</v>
      </c>
      <c r="B276" s="744">
        <v>3</v>
      </c>
      <c r="C276" s="744">
        <v>6</v>
      </c>
      <c r="D276" s="744">
        <v>4</v>
      </c>
      <c r="E276" s="744"/>
      <c r="F276" s="743" t="s">
        <v>3987</v>
      </c>
      <c r="G276" s="745">
        <f>SUM(G277:G283)</f>
        <v>0</v>
      </c>
      <c r="H276" s="745">
        <f>SUM(H277:H283)</f>
        <v>0</v>
      </c>
      <c r="I276" s="745">
        <f t="shared" si="12"/>
        <v>0</v>
      </c>
      <c r="J276" s="752"/>
    </row>
    <row r="277" spans="1:10" x14ac:dyDescent="0.25">
      <c r="A277" s="756">
        <v>2</v>
      </c>
      <c r="B277" s="748">
        <v>3</v>
      </c>
      <c r="C277" s="748">
        <v>6</v>
      </c>
      <c r="D277" s="748">
        <v>4</v>
      </c>
      <c r="E277" s="749" t="s">
        <v>2221</v>
      </c>
      <c r="F277" s="747" t="s">
        <v>3988</v>
      </c>
      <c r="G277" s="875">
        <f>'[12]CUENTA T FONDO 100'!ES127</f>
        <v>0</v>
      </c>
      <c r="H277" s="875">
        <f>'[12]CUENTA T VS'!ES89</f>
        <v>0</v>
      </c>
      <c r="I277" s="875">
        <f t="shared" si="12"/>
        <v>0</v>
      </c>
      <c r="J277" s="751">
        <f t="shared" ref="J277:J283" si="13">I277/$I$25</f>
        <v>0</v>
      </c>
    </row>
    <row r="278" spans="1:10" x14ac:dyDescent="0.25">
      <c r="A278" s="756">
        <v>2</v>
      </c>
      <c r="B278" s="748">
        <v>3</v>
      </c>
      <c r="C278" s="748">
        <v>6</v>
      </c>
      <c r="D278" s="748">
        <v>4</v>
      </c>
      <c r="E278" s="749" t="s">
        <v>1733</v>
      </c>
      <c r="F278" s="747" t="s">
        <v>3989</v>
      </c>
      <c r="G278" s="875">
        <f>'[12]CUENTA T FONDO 100'!ET127</f>
        <v>0</v>
      </c>
      <c r="H278" s="875">
        <f>'[12]CUENTA T VS'!ET89</f>
        <v>0</v>
      </c>
      <c r="I278" s="875">
        <f t="shared" si="12"/>
        <v>0</v>
      </c>
      <c r="J278" s="751">
        <f t="shared" si="13"/>
        <v>0</v>
      </c>
    </row>
    <row r="279" spans="1:10" x14ac:dyDescent="0.25">
      <c r="A279" s="756">
        <v>2</v>
      </c>
      <c r="B279" s="748">
        <v>3</v>
      </c>
      <c r="C279" s="748">
        <v>6</v>
      </c>
      <c r="D279" s="748">
        <v>4</v>
      </c>
      <c r="E279" s="749" t="s">
        <v>3839</v>
      </c>
      <c r="F279" s="747" t="s">
        <v>3990</v>
      </c>
      <c r="G279" s="875">
        <f>'[12]CUENTA T FONDO 100'!EU127</f>
        <v>0</v>
      </c>
      <c r="H279" s="875">
        <f>'[12]CUENTA T VS'!EU89</f>
        <v>0</v>
      </c>
      <c r="I279" s="875">
        <f t="shared" si="12"/>
        <v>0</v>
      </c>
      <c r="J279" s="751">
        <f t="shared" si="13"/>
        <v>0</v>
      </c>
    </row>
    <row r="280" spans="1:10" x14ac:dyDescent="0.25">
      <c r="A280" s="756">
        <v>2</v>
      </c>
      <c r="B280" s="748">
        <v>3</v>
      </c>
      <c r="C280" s="748">
        <v>6</v>
      </c>
      <c r="D280" s="748">
        <v>4</v>
      </c>
      <c r="E280" s="749" t="s">
        <v>625</v>
      </c>
      <c r="F280" s="747" t="s">
        <v>3991</v>
      </c>
      <c r="G280" s="875">
        <f>'[12]CUENTA T FONDO 100'!EV127</f>
        <v>0</v>
      </c>
      <c r="H280" s="875">
        <f>'[12]CUENTA T VS'!EV89</f>
        <v>0</v>
      </c>
      <c r="I280" s="875">
        <f t="shared" si="12"/>
        <v>0</v>
      </c>
      <c r="J280" s="751">
        <f t="shared" si="13"/>
        <v>0</v>
      </c>
    </row>
    <row r="281" spans="1:10" x14ac:dyDescent="0.25">
      <c r="A281" s="756">
        <v>2</v>
      </c>
      <c r="B281" s="748">
        <v>3</v>
      </c>
      <c r="C281" s="748">
        <v>6</v>
      </c>
      <c r="D281" s="748">
        <v>4</v>
      </c>
      <c r="E281" s="749" t="s">
        <v>3842</v>
      </c>
      <c r="F281" s="747" t="s">
        <v>3992</v>
      </c>
      <c r="G281" s="875">
        <f>'[12]CUENTA T FONDO 100'!EW127</f>
        <v>0</v>
      </c>
      <c r="H281" s="875">
        <f>'[12]CUENTA T VS'!EW89</f>
        <v>0</v>
      </c>
      <c r="I281" s="875">
        <f t="shared" ref="I281:I344" si="14">SUM(G281:H281)</f>
        <v>0</v>
      </c>
      <c r="J281" s="751">
        <f t="shared" si="13"/>
        <v>0</v>
      </c>
    </row>
    <row r="282" spans="1:10" x14ac:dyDescent="0.25">
      <c r="A282" s="756">
        <v>2</v>
      </c>
      <c r="B282" s="748">
        <v>3</v>
      </c>
      <c r="C282" s="748">
        <v>6</v>
      </c>
      <c r="D282" s="748">
        <v>4</v>
      </c>
      <c r="E282" s="749" t="s">
        <v>3844</v>
      </c>
      <c r="F282" s="747" t="s">
        <v>3993</v>
      </c>
      <c r="G282" s="875">
        <f>'[12]CUENTA T FONDO 100'!EX127</f>
        <v>0</v>
      </c>
      <c r="H282" s="875">
        <f>'[12]CUENTA T VS'!EX89</f>
        <v>0</v>
      </c>
      <c r="I282" s="875">
        <f t="shared" si="14"/>
        <v>0</v>
      </c>
      <c r="J282" s="751">
        <f t="shared" si="13"/>
        <v>0</v>
      </c>
    </row>
    <row r="283" spans="1:10" x14ac:dyDescent="0.25">
      <c r="A283" s="756">
        <v>2</v>
      </c>
      <c r="B283" s="748">
        <v>3</v>
      </c>
      <c r="C283" s="748">
        <v>6</v>
      </c>
      <c r="D283" s="748">
        <v>4</v>
      </c>
      <c r="E283" s="749" t="s">
        <v>3863</v>
      </c>
      <c r="F283" s="747" t="s">
        <v>3994</v>
      </c>
      <c r="G283" s="875">
        <f>'[12]CUENTA T FONDO 100'!EY127</f>
        <v>0</v>
      </c>
      <c r="H283" s="875">
        <f>'[12]CUENTA T VS'!EY89</f>
        <v>0</v>
      </c>
      <c r="I283" s="875">
        <f t="shared" si="14"/>
        <v>0</v>
      </c>
      <c r="J283" s="751">
        <f t="shared" si="13"/>
        <v>0</v>
      </c>
    </row>
    <row r="284" spans="1:10" x14ac:dyDescent="0.25">
      <c r="A284" s="755">
        <v>2</v>
      </c>
      <c r="B284" s="744">
        <v>3</v>
      </c>
      <c r="C284" s="744">
        <v>6</v>
      </c>
      <c r="D284" s="744">
        <v>9</v>
      </c>
      <c r="E284" s="744"/>
      <c r="F284" s="743" t="s">
        <v>3995</v>
      </c>
      <c r="G284" s="745">
        <f>SUM(G285)</f>
        <v>0</v>
      </c>
      <c r="H284" s="745">
        <f>SUM(H285)</f>
        <v>0</v>
      </c>
      <c r="I284" s="745">
        <f t="shared" si="14"/>
        <v>0</v>
      </c>
      <c r="J284" s="752"/>
    </row>
    <row r="285" spans="1:10" x14ac:dyDescent="0.25">
      <c r="A285" s="756">
        <v>2</v>
      </c>
      <c r="B285" s="748">
        <v>3</v>
      </c>
      <c r="C285" s="748">
        <v>6</v>
      </c>
      <c r="D285" s="748">
        <v>9</v>
      </c>
      <c r="E285" s="749" t="s">
        <v>2221</v>
      </c>
      <c r="F285" s="747" t="s">
        <v>3996</v>
      </c>
      <c r="G285" s="875">
        <f>'[12]CUENTA T FONDO 100'!EZ127</f>
        <v>0</v>
      </c>
      <c r="H285" s="875">
        <f>'[12]CUENTA T VS'!EZ89</f>
        <v>0</v>
      </c>
      <c r="I285" s="875">
        <f t="shared" si="14"/>
        <v>0</v>
      </c>
      <c r="J285" s="751">
        <f>I285/$I$25</f>
        <v>0</v>
      </c>
    </row>
    <row r="286" spans="1:10" ht="76.5" x14ac:dyDescent="0.25">
      <c r="A286" s="741">
        <v>2</v>
      </c>
      <c r="B286" s="742">
        <v>3</v>
      </c>
      <c r="C286" s="742">
        <v>7</v>
      </c>
      <c r="D286" s="742"/>
      <c r="E286" s="742"/>
      <c r="F286" s="763" t="s">
        <v>3997</v>
      </c>
      <c r="G286" s="874">
        <f>G287+G295</f>
        <v>2759191.89</v>
      </c>
      <c r="H286" s="874">
        <f>H287+H295</f>
        <v>226537</v>
      </c>
      <c r="I286" s="874">
        <f t="shared" si="14"/>
        <v>2985728.89</v>
      </c>
      <c r="J286" s="740"/>
    </row>
    <row r="287" spans="1:10" x14ac:dyDescent="0.25">
      <c r="A287" s="755">
        <v>2</v>
      </c>
      <c r="B287" s="744">
        <v>3</v>
      </c>
      <c r="C287" s="744">
        <v>7</v>
      </c>
      <c r="D287" s="744">
        <v>1</v>
      </c>
      <c r="E287" s="744"/>
      <c r="F287" s="743" t="s">
        <v>2368</v>
      </c>
      <c r="G287" s="745">
        <f>SUM(G288:G294)</f>
        <v>0</v>
      </c>
      <c r="H287" s="745">
        <f>SUM(H288:H294)</f>
        <v>193879</v>
      </c>
      <c r="I287" s="745">
        <f t="shared" si="14"/>
        <v>193879</v>
      </c>
      <c r="J287" s="752"/>
    </row>
    <row r="288" spans="1:10" x14ac:dyDescent="0.25">
      <c r="A288" s="756">
        <v>2</v>
      </c>
      <c r="B288" s="748">
        <v>3</v>
      </c>
      <c r="C288" s="748">
        <v>7</v>
      </c>
      <c r="D288" s="748">
        <v>1</v>
      </c>
      <c r="E288" s="749" t="s">
        <v>2221</v>
      </c>
      <c r="F288" s="747" t="s">
        <v>116</v>
      </c>
      <c r="G288" s="875">
        <f>'[12]CUENTA T FONDO 100'!FA127</f>
        <v>0</v>
      </c>
      <c r="H288" s="875">
        <f>'[12]CUENTA T VS'!FA89</f>
        <v>172000</v>
      </c>
      <c r="I288" s="875">
        <f t="shared" si="14"/>
        <v>172000</v>
      </c>
      <c r="J288" s="751">
        <f t="shared" ref="J288:J294" si="15">I288/$I$25</f>
        <v>1.7790301821116277E-3</v>
      </c>
    </row>
    <row r="289" spans="1:10" x14ac:dyDescent="0.25">
      <c r="A289" s="756">
        <v>2</v>
      </c>
      <c r="B289" s="748">
        <v>3</v>
      </c>
      <c r="C289" s="748">
        <v>7</v>
      </c>
      <c r="D289" s="748">
        <v>1</v>
      </c>
      <c r="E289" s="749" t="s">
        <v>1733</v>
      </c>
      <c r="F289" s="747" t="s">
        <v>117</v>
      </c>
      <c r="G289" s="875">
        <f>'[12]CUENTA T FONDO 100'!FB127</f>
        <v>0</v>
      </c>
      <c r="H289" s="875">
        <f>'[12]CUENTA T VS'!FB89</f>
        <v>0</v>
      </c>
      <c r="I289" s="875">
        <f t="shared" si="14"/>
        <v>0</v>
      </c>
      <c r="J289" s="751">
        <f t="shared" si="15"/>
        <v>0</v>
      </c>
    </row>
    <row r="290" spans="1:10" x14ac:dyDescent="0.25">
      <c r="A290" s="756">
        <v>2</v>
      </c>
      <c r="B290" s="748">
        <v>3</v>
      </c>
      <c r="C290" s="748">
        <v>7</v>
      </c>
      <c r="D290" s="748">
        <v>1</v>
      </c>
      <c r="E290" s="749" t="s">
        <v>3839</v>
      </c>
      <c r="F290" s="747" t="s">
        <v>3998</v>
      </c>
      <c r="G290" s="875">
        <f>'[12]CUENTA T FONDO 100'!FC127</f>
        <v>0</v>
      </c>
      <c r="H290" s="875">
        <f>'[12]CUENTA T VS'!FC89</f>
        <v>0</v>
      </c>
      <c r="I290" s="875">
        <f t="shared" si="14"/>
        <v>0</v>
      </c>
      <c r="J290" s="751">
        <f t="shared" si="15"/>
        <v>0</v>
      </c>
    </row>
    <row r="291" spans="1:10" x14ac:dyDescent="0.25">
      <c r="A291" s="756">
        <v>2</v>
      </c>
      <c r="B291" s="748">
        <v>3</v>
      </c>
      <c r="C291" s="748">
        <v>7</v>
      </c>
      <c r="D291" s="748">
        <v>1</v>
      </c>
      <c r="E291" s="749" t="s">
        <v>625</v>
      </c>
      <c r="F291" s="747" t="s">
        <v>118</v>
      </c>
      <c r="G291" s="875">
        <f>'[12]CUENTA T FONDO 100'!FD127</f>
        <v>0</v>
      </c>
      <c r="H291" s="875">
        <f>'[12]CUENTA T VS'!FD89</f>
        <v>21879</v>
      </c>
      <c r="I291" s="875">
        <f t="shared" si="14"/>
        <v>21879</v>
      </c>
      <c r="J291" s="751">
        <f t="shared" si="15"/>
        <v>2.2629884508383897E-4</v>
      </c>
    </row>
    <row r="292" spans="1:10" x14ac:dyDescent="0.25">
      <c r="A292" s="756">
        <v>2</v>
      </c>
      <c r="B292" s="748">
        <v>3</v>
      </c>
      <c r="C292" s="748">
        <v>7</v>
      </c>
      <c r="D292" s="748">
        <v>1</v>
      </c>
      <c r="E292" s="749" t="s">
        <v>3842</v>
      </c>
      <c r="F292" s="747" t="s">
        <v>3999</v>
      </c>
      <c r="G292" s="875">
        <f>'[12]CUENTA T FONDO 100'!FE127</f>
        <v>0</v>
      </c>
      <c r="H292" s="875">
        <f>'[12]CUENTA T VS'!FE89</f>
        <v>0</v>
      </c>
      <c r="I292" s="875">
        <f t="shared" si="14"/>
        <v>0</v>
      </c>
      <c r="J292" s="751">
        <f t="shared" si="15"/>
        <v>0</v>
      </c>
    </row>
    <row r="293" spans="1:10" x14ac:dyDescent="0.25">
      <c r="A293" s="756">
        <v>2</v>
      </c>
      <c r="B293" s="748">
        <v>3</v>
      </c>
      <c r="C293" s="748">
        <v>7</v>
      </c>
      <c r="D293" s="748">
        <v>1</v>
      </c>
      <c r="E293" s="749" t="s">
        <v>3844</v>
      </c>
      <c r="F293" s="747" t="s">
        <v>4000</v>
      </c>
      <c r="G293" s="875">
        <f>'[12]CUENTA T FONDO 100'!FF127</f>
        <v>0</v>
      </c>
      <c r="H293" s="875">
        <f>'[12]CUENTA T VS'!FF89</f>
        <v>0</v>
      </c>
      <c r="I293" s="875">
        <f t="shared" si="14"/>
        <v>0</v>
      </c>
      <c r="J293" s="751">
        <f t="shared" si="15"/>
        <v>0</v>
      </c>
    </row>
    <row r="294" spans="1:10" x14ac:dyDescent="0.25">
      <c r="A294" s="756">
        <v>2</v>
      </c>
      <c r="B294" s="748">
        <v>3</v>
      </c>
      <c r="C294" s="748">
        <v>7</v>
      </c>
      <c r="D294" s="748">
        <v>1</v>
      </c>
      <c r="E294" s="749" t="s">
        <v>3863</v>
      </c>
      <c r="F294" s="747" t="s">
        <v>4001</v>
      </c>
      <c r="G294" s="875">
        <f>'[12]CUENTA T FONDO 100'!FG127</f>
        <v>0</v>
      </c>
      <c r="H294" s="875">
        <f>'[12]CUENTA T VS'!FG89</f>
        <v>0</v>
      </c>
      <c r="I294" s="875">
        <f t="shared" si="14"/>
        <v>0</v>
      </c>
      <c r="J294" s="751">
        <f t="shared" si="15"/>
        <v>0</v>
      </c>
    </row>
    <row r="295" spans="1:10" x14ac:dyDescent="0.25">
      <c r="A295" s="755">
        <v>2</v>
      </c>
      <c r="B295" s="744">
        <v>3</v>
      </c>
      <c r="C295" s="744">
        <v>7</v>
      </c>
      <c r="D295" s="744">
        <v>2</v>
      </c>
      <c r="E295" s="744"/>
      <c r="F295" s="743" t="s">
        <v>2309</v>
      </c>
      <c r="G295" s="745">
        <f>SUM(G296:G302)</f>
        <v>2759191.89</v>
      </c>
      <c r="H295" s="745">
        <f>SUM(H296:H302)</f>
        <v>32658</v>
      </c>
      <c r="I295" s="745">
        <f t="shared" si="14"/>
        <v>2791849.89</v>
      </c>
      <c r="J295" s="752"/>
    </row>
    <row r="296" spans="1:10" x14ac:dyDescent="0.25">
      <c r="A296" s="756">
        <v>2</v>
      </c>
      <c r="B296" s="748">
        <v>3</v>
      </c>
      <c r="C296" s="748">
        <v>7</v>
      </c>
      <c r="D296" s="748">
        <v>2</v>
      </c>
      <c r="E296" s="749" t="s">
        <v>2221</v>
      </c>
      <c r="F296" s="747" t="s">
        <v>4002</v>
      </c>
      <c r="G296" s="875">
        <f>'[12]CUENTA T FONDO 100'!FH127</f>
        <v>2124</v>
      </c>
      <c r="H296" s="875">
        <f>'[12]CUENTA T VS'!FH89</f>
        <v>0</v>
      </c>
      <c r="I296" s="875">
        <f t="shared" si="14"/>
        <v>2124</v>
      </c>
      <c r="J296" s="751">
        <f t="shared" ref="J296:J302" si="16">I296/$I$25</f>
        <v>2.196895410933196E-5</v>
      </c>
    </row>
    <row r="297" spans="1:10" x14ac:dyDescent="0.25">
      <c r="A297" s="756">
        <v>2</v>
      </c>
      <c r="B297" s="748">
        <v>3</v>
      </c>
      <c r="C297" s="748">
        <v>7</v>
      </c>
      <c r="D297" s="748">
        <v>2</v>
      </c>
      <c r="E297" s="749" t="s">
        <v>1733</v>
      </c>
      <c r="F297" s="747" t="s">
        <v>4003</v>
      </c>
      <c r="G297" s="875">
        <f>'[12]CUENTA T FONDO 100'!FI127</f>
        <v>0</v>
      </c>
      <c r="H297" s="875">
        <f>'[12]CUENTA T VS'!FI89</f>
        <v>0</v>
      </c>
      <c r="I297" s="875">
        <f t="shared" si="14"/>
        <v>0</v>
      </c>
      <c r="J297" s="751">
        <f t="shared" si="16"/>
        <v>0</v>
      </c>
    </row>
    <row r="298" spans="1:10" x14ac:dyDescent="0.25">
      <c r="A298" s="756">
        <v>2</v>
      </c>
      <c r="B298" s="748">
        <v>3</v>
      </c>
      <c r="C298" s="748">
        <v>7</v>
      </c>
      <c r="D298" s="748">
        <v>2</v>
      </c>
      <c r="E298" s="749" t="s">
        <v>3839</v>
      </c>
      <c r="F298" s="747" t="s">
        <v>4004</v>
      </c>
      <c r="G298" s="875">
        <f>'[12]CUENTA T FONDO 100'!FJ127</f>
        <v>2272106.29</v>
      </c>
      <c r="H298" s="875">
        <f>'[12]CUENTA T VS'!FJ89</f>
        <v>32658</v>
      </c>
      <c r="I298" s="875">
        <f t="shared" si="14"/>
        <v>2304764.29</v>
      </c>
      <c r="J298" s="751">
        <f t="shared" si="16"/>
        <v>2.3838635084669046E-2</v>
      </c>
    </row>
    <row r="299" spans="1:10" x14ac:dyDescent="0.25">
      <c r="A299" s="756">
        <v>2</v>
      </c>
      <c r="B299" s="748">
        <v>3</v>
      </c>
      <c r="C299" s="748">
        <v>7</v>
      </c>
      <c r="D299" s="748">
        <v>2</v>
      </c>
      <c r="E299" s="749" t="s">
        <v>625</v>
      </c>
      <c r="F299" s="747" t="s">
        <v>4005</v>
      </c>
      <c r="G299" s="875">
        <f>'[12]CUENTA T FONDO 100'!FK127</f>
        <v>0</v>
      </c>
      <c r="H299" s="875">
        <f>'[12]CUENTA T VS'!FK89</f>
        <v>0</v>
      </c>
      <c r="I299" s="875">
        <f t="shared" si="14"/>
        <v>0</v>
      </c>
      <c r="J299" s="751">
        <f t="shared" si="16"/>
        <v>0</v>
      </c>
    </row>
    <row r="300" spans="1:10" x14ac:dyDescent="0.25">
      <c r="A300" s="756">
        <v>2</v>
      </c>
      <c r="B300" s="748">
        <v>3</v>
      </c>
      <c r="C300" s="748">
        <v>7</v>
      </c>
      <c r="D300" s="748">
        <v>2</v>
      </c>
      <c r="E300" s="749" t="s">
        <v>3842</v>
      </c>
      <c r="F300" s="747" t="s">
        <v>4006</v>
      </c>
      <c r="G300" s="875">
        <f>'[12]CUENTA T FONDO 100'!FL127</f>
        <v>0</v>
      </c>
      <c r="H300" s="875">
        <f>'[12]CUENTA T VS'!FL89</f>
        <v>0</v>
      </c>
      <c r="I300" s="875">
        <f t="shared" si="14"/>
        <v>0</v>
      </c>
      <c r="J300" s="751">
        <f t="shared" si="16"/>
        <v>0</v>
      </c>
    </row>
    <row r="301" spans="1:10" ht="76.5" x14ac:dyDescent="0.25">
      <c r="A301" s="747">
        <v>2</v>
      </c>
      <c r="B301" s="748">
        <v>3</v>
      </c>
      <c r="C301" s="748">
        <v>7</v>
      </c>
      <c r="D301" s="748">
        <v>2</v>
      </c>
      <c r="E301" s="749" t="s">
        <v>3844</v>
      </c>
      <c r="F301" s="764" t="s">
        <v>4007</v>
      </c>
      <c r="G301" s="875">
        <f>'[12]CUENTA T FONDO 100'!FM127</f>
        <v>0</v>
      </c>
      <c r="H301" s="875">
        <f>'[12]CUENTA T VS'!FM89</f>
        <v>0</v>
      </c>
      <c r="I301" s="875">
        <f t="shared" si="14"/>
        <v>0</v>
      </c>
      <c r="J301" s="751">
        <f t="shared" si="16"/>
        <v>0</v>
      </c>
    </row>
    <row r="302" spans="1:10" ht="51" x14ac:dyDescent="0.25">
      <c r="A302" s="747">
        <v>2</v>
      </c>
      <c r="B302" s="748">
        <v>3</v>
      </c>
      <c r="C302" s="748">
        <v>7</v>
      </c>
      <c r="D302" s="748">
        <v>2</v>
      </c>
      <c r="E302" s="749">
        <v>99</v>
      </c>
      <c r="F302" s="764" t="s">
        <v>4008</v>
      </c>
      <c r="G302" s="875">
        <f>'[12]CUENTA T FONDO 100'!FN127</f>
        <v>484961.6</v>
      </c>
      <c r="H302" s="875">
        <f>'[12]CUENTA T VS'!FN89</f>
        <v>0</v>
      </c>
      <c r="I302" s="875">
        <f t="shared" si="14"/>
        <v>484961.6</v>
      </c>
      <c r="J302" s="751">
        <f t="shared" si="16"/>
        <v>5.0160542067741063E-3</v>
      </c>
    </row>
    <row r="303" spans="1:10" ht="76.5" x14ac:dyDescent="0.25">
      <c r="A303" s="741">
        <v>2</v>
      </c>
      <c r="B303" s="742">
        <v>3</v>
      </c>
      <c r="C303" s="742">
        <v>8</v>
      </c>
      <c r="D303" s="742"/>
      <c r="E303" s="742"/>
      <c r="F303" s="763" t="s">
        <v>4009</v>
      </c>
      <c r="G303" s="874">
        <f>+G304+G306</f>
        <v>0</v>
      </c>
      <c r="H303" s="874">
        <f>+H304+H306</f>
        <v>0</v>
      </c>
      <c r="I303" s="874">
        <f t="shared" si="14"/>
        <v>0</v>
      </c>
      <c r="J303" s="740"/>
    </row>
    <row r="304" spans="1:10" x14ac:dyDescent="0.25">
      <c r="A304" s="743">
        <v>2</v>
      </c>
      <c r="B304" s="744">
        <v>3</v>
      </c>
      <c r="C304" s="744">
        <v>8</v>
      </c>
      <c r="D304" s="744">
        <v>1</v>
      </c>
      <c r="E304" s="744"/>
      <c r="F304" s="743" t="s">
        <v>4010</v>
      </c>
      <c r="G304" s="745">
        <f>SUM(G305)</f>
        <v>0</v>
      </c>
      <c r="H304" s="745">
        <f>SUM(H305)</f>
        <v>0</v>
      </c>
      <c r="I304" s="745">
        <f t="shared" si="14"/>
        <v>0</v>
      </c>
      <c r="J304" s="752"/>
    </row>
    <row r="305" spans="1:10" x14ac:dyDescent="0.25">
      <c r="A305" s="747">
        <v>2</v>
      </c>
      <c r="B305" s="748">
        <v>3</v>
      </c>
      <c r="C305" s="748">
        <v>8</v>
      </c>
      <c r="D305" s="748">
        <v>1</v>
      </c>
      <c r="E305" s="749" t="s">
        <v>2221</v>
      </c>
      <c r="F305" s="747" t="s">
        <v>4010</v>
      </c>
      <c r="G305" s="875">
        <f>'[12]CUENTA T FONDO 100'!FO127</f>
        <v>0</v>
      </c>
      <c r="H305" s="875">
        <f>'[12]CUENTA T VS'!FO89</f>
        <v>0</v>
      </c>
      <c r="I305" s="875">
        <f t="shared" si="14"/>
        <v>0</v>
      </c>
      <c r="J305" s="751">
        <f>I305/$I$25</f>
        <v>0</v>
      </c>
    </row>
    <row r="306" spans="1:10" ht="102" x14ac:dyDescent="0.25">
      <c r="A306" s="743">
        <v>2</v>
      </c>
      <c r="B306" s="744">
        <v>3</v>
      </c>
      <c r="C306" s="744">
        <v>8</v>
      </c>
      <c r="D306" s="744">
        <v>2</v>
      </c>
      <c r="E306" s="744"/>
      <c r="F306" s="762" t="s">
        <v>4011</v>
      </c>
      <c r="G306" s="745">
        <f>SUM(G307)</f>
        <v>0</v>
      </c>
      <c r="H306" s="745">
        <f>SUM(H307)</f>
        <v>0</v>
      </c>
      <c r="I306" s="745">
        <f t="shared" si="14"/>
        <v>0</v>
      </c>
      <c r="J306" s="752"/>
    </row>
    <row r="307" spans="1:10" ht="102" x14ac:dyDescent="0.25">
      <c r="A307" s="747">
        <v>2</v>
      </c>
      <c r="B307" s="748">
        <v>3</v>
      </c>
      <c r="C307" s="748">
        <v>8</v>
      </c>
      <c r="D307" s="748">
        <v>2</v>
      </c>
      <c r="E307" s="749" t="s">
        <v>2221</v>
      </c>
      <c r="F307" s="753" t="s">
        <v>4011</v>
      </c>
      <c r="G307" s="875">
        <f>'[12]CUENTA T FONDO 100'!FP127</f>
        <v>0</v>
      </c>
      <c r="H307" s="875">
        <f>'[12]CUENTA T VS'!FP89</f>
        <v>0</v>
      </c>
      <c r="I307" s="875">
        <f t="shared" si="14"/>
        <v>0</v>
      </c>
      <c r="J307" s="751">
        <f>I307/$I$25</f>
        <v>0</v>
      </c>
    </row>
    <row r="308" spans="1:10" x14ac:dyDescent="0.25">
      <c r="A308" s="741">
        <v>2</v>
      </c>
      <c r="B308" s="742">
        <v>3</v>
      </c>
      <c r="C308" s="742">
        <v>9</v>
      </c>
      <c r="D308" s="742"/>
      <c r="E308" s="742"/>
      <c r="F308" s="741" t="s">
        <v>4012</v>
      </c>
      <c r="G308" s="874">
        <f>+G309+G312+G314+G316+G318+G320+G322+G324+G327</f>
        <v>6516306.6299999999</v>
      </c>
      <c r="H308" s="874">
        <f>+H309+H312+H314+H316+H318+H320+H322+H324+H327</f>
        <v>2390054.1999999997</v>
      </c>
      <c r="I308" s="874">
        <f t="shared" si="14"/>
        <v>8906360.8300000001</v>
      </c>
      <c r="J308" s="740"/>
    </row>
    <row r="309" spans="1:10" x14ac:dyDescent="0.25">
      <c r="A309" s="755">
        <v>2</v>
      </c>
      <c r="B309" s="744">
        <v>3</v>
      </c>
      <c r="C309" s="744">
        <v>9</v>
      </c>
      <c r="D309" s="744">
        <v>1</v>
      </c>
      <c r="E309" s="744"/>
      <c r="F309" s="743" t="s">
        <v>121</v>
      </c>
      <c r="G309" s="745">
        <f>SUM(G310:G311)</f>
        <v>358914.69999999995</v>
      </c>
      <c r="H309" s="745">
        <f>SUM(H310:H311)</f>
        <v>1744571</v>
      </c>
      <c r="I309" s="745">
        <f t="shared" si="14"/>
        <v>2103485.7000000002</v>
      </c>
      <c r="J309" s="752"/>
    </row>
    <row r="310" spans="1:10" x14ac:dyDescent="0.25">
      <c r="A310" s="756">
        <v>2</v>
      </c>
      <c r="B310" s="748">
        <v>3</v>
      </c>
      <c r="C310" s="748">
        <v>9</v>
      </c>
      <c r="D310" s="748">
        <v>1</v>
      </c>
      <c r="E310" s="749" t="s">
        <v>2221</v>
      </c>
      <c r="F310" s="747" t="s">
        <v>2403</v>
      </c>
      <c r="G310" s="875">
        <f>'[12]CUENTA T FONDO 100'!FQ127</f>
        <v>358914.69999999995</v>
      </c>
      <c r="H310" s="875">
        <f>'[12]CUENTA T VS'!FQ89</f>
        <v>1744571</v>
      </c>
      <c r="I310" s="875">
        <f t="shared" si="14"/>
        <v>2103485.7000000002</v>
      </c>
      <c r="J310" s="751">
        <f>I310/$I$25</f>
        <v>2.1756770627559333E-2</v>
      </c>
    </row>
    <row r="311" spans="1:10" x14ac:dyDescent="0.25">
      <c r="A311" s="756">
        <v>2</v>
      </c>
      <c r="B311" s="748">
        <v>3</v>
      </c>
      <c r="C311" s="748">
        <v>9</v>
      </c>
      <c r="D311" s="748">
        <v>1</v>
      </c>
      <c r="E311" s="749" t="s">
        <v>1733</v>
      </c>
      <c r="F311" s="747" t="s">
        <v>4013</v>
      </c>
      <c r="G311" s="875">
        <f>'[12]CUENTA T FONDO 100'!FR127</f>
        <v>0</v>
      </c>
      <c r="H311" s="875">
        <f>'[12]CUENTA T VS'!FR89</f>
        <v>0</v>
      </c>
      <c r="I311" s="875">
        <f t="shared" si="14"/>
        <v>0</v>
      </c>
      <c r="J311" s="751">
        <f>I311/$I$25</f>
        <v>0</v>
      </c>
    </row>
    <row r="312" spans="1:10" x14ac:dyDescent="0.25">
      <c r="A312" s="755">
        <v>2</v>
      </c>
      <c r="B312" s="744">
        <v>3</v>
      </c>
      <c r="C312" s="744">
        <v>9</v>
      </c>
      <c r="D312" s="744">
        <v>2</v>
      </c>
      <c r="E312" s="744"/>
      <c r="F312" s="743" t="s">
        <v>4014</v>
      </c>
      <c r="G312" s="745">
        <f>SUM(G313)</f>
        <v>0</v>
      </c>
      <c r="H312" s="745">
        <f>SUM(H313)</f>
        <v>0</v>
      </c>
      <c r="I312" s="745">
        <f t="shared" si="14"/>
        <v>0</v>
      </c>
      <c r="J312" s="752"/>
    </row>
    <row r="313" spans="1:10" x14ac:dyDescent="0.25">
      <c r="A313" s="756">
        <v>2</v>
      </c>
      <c r="B313" s="748">
        <v>3</v>
      </c>
      <c r="C313" s="748">
        <v>9</v>
      </c>
      <c r="D313" s="748">
        <v>2</v>
      </c>
      <c r="E313" s="749" t="s">
        <v>2221</v>
      </c>
      <c r="F313" s="747" t="s">
        <v>4015</v>
      </c>
      <c r="G313" s="875">
        <f>'[12]CUENTA T FONDO 100'!FS127</f>
        <v>0</v>
      </c>
      <c r="H313" s="875">
        <f>'[12]CUENTA T VS'!FS89</f>
        <v>0</v>
      </c>
      <c r="I313" s="875">
        <f t="shared" si="14"/>
        <v>0</v>
      </c>
      <c r="J313" s="751">
        <f>I313/$I$25</f>
        <v>0</v>
      </c>
    </row>
    <row r="314" spans="1:10" x14ac:dyDescent="0.25">
      <c r="A314" s="755">
        <v>2</v>
      </c>
      <c r="B314" s="744">
        <v>3</v>
      </c>
      <c r="C314" s="744">
        <v>9</v>
      </c>
      <c r="D314" s="744">
        <v>3</v>
      </c>
      <c r="E314" s="744"/>
      <c r="F314" s="743" t="s">
        <v>4016</v>
      </c>
      <c r="G314" s="745">
        <f>SUM(G315)</f>
        <v>6071252.1799999997</v>
      </c>
      <c r="H314" s="745">
        <f>SUM(H315)</f>
        <v>527418.59</v>
      </c>
      <c r="I314" s="745">
        <f t="shared" si="14"/>
        <v>6598670.7699999996</v>
      </c>
      <c r="J314" s="752"/>
    </row>
    <row r="315" spans="1:10" x14ac:dyDescent="0.25">
      <c r="A315" s="756">
        <v>2</v>
      </c>
      <c r="B315" s="748">
        <v>3</v>
      </c>
      <c r="C315" s="748">
        <v>9</v>
      </c>
      <c r="D315" s="748">
        <v>3</v>
      </c>
      <c r="E315" s="749" t="s">
        <v>2221</v>
      </c>
      <c r="F315" s="747" t="s">
        <v>4016</v>
      </c>
      <c r="G315" s="875">
        <f>'[12]CUENTA T FONDO 100'!FT127</f>
        <v>6071252.1799999997</v>
      </c>
      <c r="H315" s="875">
        <f>'[12]CUENTA T VS'!FT89</f>
        <v>527418.59</v>
      </c>
      <c r="I315" s="875">
        <f t="shared" si="14"/>
        <v>6598670.7699999996</v>
      </c>
      <c r="J315" s="751">
        <f>I315/$I$25</f>
        <v>6.8251363149114966E-2</v>
      </c>
    </row>
    <row r="316" spans="1:10" x14ac:dyDescent="0.25">
      <c r="A316" s="755">
        <v>2</v>
      </c>
      <c r="B316" s="744">
        <v>3</v>
      </c>
      <c r="C316" s="744">
        <v>9</v>
      </c>
      <c r="D316" s="744">
        <v>4</v>
      </c>
      <c r="E316" s="744"/>
      <c r="F316" s="743" t="s">
        <v>4017</v>
      </c>
      <c r="G316" s="745">
        <f>SUM(G317)</f>
        <v>0</v>
      </c>
      <c r="H316" s="745">
        <f>SUM(H317)</f>
        <v>0</v>
      </c>
      <c r="I316" s="745">
        <f t="shared" si="14"/>
        <v>0</v>
      </c>
      <c r="J316" s="752"/>
    </row>
    <row r="317" spans="1:10" x14ac:dyDescent="0.25">
      <c r="A317" s="756">
        <v>2</v>
      </c>
      <c r="B317" s="748">
        <v>3</v>
      </c>
      <c r="C317" s="748">
        <v>9</v>
      </c>
      <c r="D317" s="748">
        <v>4</v>
      </c>
      <c r="E317" s="749" t="s">
        <v>2221</v>
      </c>
      <c r="F317" s="747" t="s">
        <v>4017</v>
      </c>
      <c r="G317" s="875">
        <f>'[12]CUENTA T FONDO 100'!FU127</f>
        <v>0</v>
      </c>
      <c r="H317" s="875">
        <f>'[12]CUENTA T VS'!FU89</f>
        <v>0</v>
      </c>
      <c r="I317" s="875">
        <f t="shared" si="14"/>
        <v>0</v>
      </c>
      <c r="J317" s="751">
        <f>I317/$I$25</f>
        <v>0</v>
      </c>
    </row>
    <row r="318" spans="1:10" x14ac:dyDescent="0.25">
      <c r="A318" s="755">
        <v>2</v>
      </c>
      <c r="B318" s="744">
        <v>3</v>
      </c>
      <c r="C318" s="744">
        <v>9</v>
      </c>
      <c r="D318" s="744">
        <v>5</v>
      </c>
      <c r="E318" s="744"/>
      <c r="F318" s="743" t="s">
        <v>125</v>
      </c>
      <c r="G318" s="745">
        <f>SUM(G319)</f>
        <v>0</v>
      </c>
      <c r="H318" s="745">
        <f>SUM(H319)</f>
        <v>0</v>
      </c>
      <c r="I318" s="745">
        <f t="shared" si="14"/>
        <v>0</v>
      </c>
      <c r="J318" s="752"/>
    </row>
    <row r="319" spans="1:10" x14ac:dyDescent="0.25">
      <c r="A319" s="756">
        <v>2</v>
      </c>
      <c r="B319" s="748">
        <v>3</v>
      </c>
      <c r="C319" s="748">
        <v>9</v>
      </c>
      <c r="D319" s="748">
        <v>5</v>
      </c>
      <c r="E319" s="749" t="s">
        <v>2221</v>
      </c>
      <c r="F319" s="747" t="s">
        <v>125</v>
      </c>
      <c r="G319" s="875">
        <f>'[12]CUENTA T FONDO 100'!FV127</f>
        <v>0</v>
      </c>
      <c r="H319" s="875">
        <f>'[12]CUENTA T VS'!FV89</f>
        <v>0</v>
      </c>
      <c r="I319" s="875">
        <f t="shared" si="14"/>
        <v>0</v>
      </c>
      <c r="J319" s="751">
        <f>I319/$I$25</f>
        <v>0</v>
      </c>
    </row>
    <row r="320" spans="1:10" x14ac:dyDescent="0.25">
      <c r="A320" s="755">
        <v>2</v>
      </c>
      <c r="B320" s="744">
        <v>3</v>
      </c>
      <c r="C320" s="744">
        <v>9</v>
      </c>
      <c r="D320" s="744">
        <v>6</v>
      </c>
      <c r="E320" s="744"/>
      <c r="F320" s="743" t="s">
        <v>126</v>
      </c>
      <c r="G320" s="745">
        <f>SUM(G321)</f>
        <v>86139.75</v>
      </c>
      <c r="H320" s="745">
        <f>SUM(H321)</f>
        <v>0</v>
      </c>
      <c r="I320" s="745">
        <f t="shared" si="14"/>
        <v>86139.75</v>
      </c>
      <c r="J320" s="752"/>
    </row>
    <row r="321" spans="1:10" x14ac:dyDescent="0.25">
      <c r="A321" s="756">
        <v>2</v>
      </c>
      <c r="B321" s="748">
        <v>3</v>
      </c>
      <c r="C321" s="748">
        <v>9</v>
      </c>
      <c r="D321" s="748">
        <v>6</v>
      </c>
      <c r="E321" s="749" t="s">
        <v>2221</v>
      </c>
      <c r="F321" s="747" t="s">
        <v>126</v>
      </c>
      <c r="G321" s="875">
        <f>'[12]CUENTA T FONDO 100'!FW127</f>
        <v>86139.75</v>
      </c>
      <c r="H321" s="875">
        <f>'[12]CUENTA T VS'!FW89</f>
        <v>0</v>
      </c>
      <c r="I321" s="875">
        <f t="shared" si="14"/>
        <v>86139.75</v>
      </c>
      <c r="J321" s="751">
        <f>I321/$I$25</f>
        <v>8.9096055307877949E-4</v>
      </c>
    </row>
    <row r="322" spans="1:10" x14ac:dyDescent="0.25">
      <c r="A322" s="755">
        <v>2</v>
      </c>
      <c r="B322" s="744">
        <v>3</v>
      </c>
      <c r="C322" s="744">
        <v>9</v>
      </c>
      <c r="D322" s="744">
        <v>7</v>
      </c>
      <c r="E322" s="744"/>
      <c r="F322" s="743" t="s">
        <v>4018</v>
      </c>
      <c r="G322" s="745">
        <f>SUM(G323)</f>
        <v>0</v>
      </c>
      <c r="H322" s="745">
        <f>SUM(H323)</f>
        <v>0</v>
      </c>
      <c r="I322" s="745">
        <f t="shared" si="14"/>
        <v>0</v>
      </c>
      <c r="J322" s="752"/>
    </row>
    <row r="323" spans="1:10" x14ac:dyDescent="0.25">
      <c r="A323" s="756">
        <v>2</v>
      </c>
      <c r="B323" s="748">
        <v>3</v>
      </c>
      <c r="C323" s="748">
        <v>9</v>
      </c>
      <c r="D323" s="748">
        <v>7</v>
      </c>
      <c r="E323" s="749" t="s">
        <v>2221</v>
      </c>
      <c r="F323" s="747" t="s">
        <v>4018</v>
      </c>
      <c r="G323" s="875">
        <f>'[12]CUENTA T FONDO 100'!FX127</f>
        <v>0</v>
      </c>
      <c r="H323" s="875">
        <f>'[12]CUENTA T VS'!FX89</f>
        <v>0</v>
      </c>
      <c r="I323" s="875">
        <f t="shared" si="14"/>
        <v>0</v>
      </c>
      <c r="J323" s="751">
        <f>I323/$I$25</f>
        <v>0</v>
      </c>
    </row>
    <row r="324" spans="1:10" x14ac:dyDescent="0.25">
      <c r="A324" s="755">
        <v>2</v>
      </c>
      <c r="B324" s="744">
        <v>3</v>
      </c>
      <c r="C324" s="744">
        <v>9</v>
      </c>
      <c r="D324" s="744">
        <v>8</v>
      </c>
      <c r="E324" s="744"/>
      <c r="F324" s="743" t="s">
        <v>3307</v>
      </c>
      <c r="G324" s="745">
        <f>SUM(G325:G326)</f>
        <v>0</v>
      </c>
      <c r="H324" s="745">
        <f>SUM(H325:H326)</f>
        <v>0</v>
      </c>
      <c r="I324" s="745">
        <f t="shared" si="14"/>
        <v>0</v>
      </c>
      <c r="J324" s="752"/>
    </row>
    <row r="325" spans="1:10" x14ac:dyDescent="0.25">
      <c r="A325" s="756">
        <v>2</v>
      </c>
      <c r="B325" s="748">
        <v>3</v>
      </c>
      <c r="C325" s="748">
        <v>9</v>
      </c>
      <c r="D325" s="748">
        <v>8</v>
      </c>
      <c r="E325" s="749" t="s">
        <v>2221</v>
      </c>
      <c r="F325" s="747" t="s">
        <v>4019</v>
      </c>
      <c r="G325" s="875">
        <f>'[12]CUENTA T FONDO 100'!FY127</f>
        <v>0</v>
      </c>
      <c r="H325" s="875">
        <f>'[12]CUENTA T VS'!FY89</f>
        <v>0</v>
      </c>
      <c r="I325" s="875">
        <f t="shared" si="14"/>
        <v>0</v>
      </c>
      <c r="J325" s="751">
        <f>I325/$I$25</f>
        <v>0</v>
      </c>
    </row>
    <row r="326" spans="1:10" x14ac:dyDescent="0.25">
      <c r="A326" s="756">
        <v>2</v>
      </c>
      <c r="B326" s="748">
        <v>3</v>
      </c>
      <c r="C326" s="748">
        <v>9</v>
      </c>
      <c r="D326" s="748">
        <v>8</v>
      </c>
      <c r="E326" s="749" t="s">
        <v>1733</v>
      </c>
      <c r="F326" s="747" t="s">
        <v>4020</v>
      </c>
      <c r="G326" s="875">
        <f>'[12]CUENTA T FONDO 100'!FZ127</f>
        <v>0</v>
      </c>
      <c r="H326" s="875">
        <f>'[12]CUENTA T VS'!FZ89</f>
        <v>0</v>
      </c>
      <c r="I326" s="875">
        <f t="shared" si="14"/>
        <v>0</v>
      </c>
      <c r="J326" s="751">
        <f>I326/$I$25</f>
        <v>0</v>
      </c>
    </row>
    <row r="327" spans="1:10" x14ac:dyDescent="0.25">
      <c r="A327" s="755">
        <v>2</v>
      </c>
      <c r="B327" s="744">
        <v>3</v>
      </c>
      <c r="C327" s="744">
        <v>9</v>
      </c>
      <c r="D327" s="744">
        <v>9</v>
      </c>
      <c r="E327" s="744"/>
      <c r="F327" s="743" t="s">
        <v>4021</v>
      </c>
      <c r="G327" s="745">
        <f>SUM(G328:G329)</f>
        <v>0</v>
      </c>
      <c r="H327" s="745">
        <f>SUM(H328:H329)</f>
        <v>118064.61</v>
      </c>
      <c r="I327" s="745">
        <f t="shared" si="14"/>
        <v>118064.61</v>
      </c>
      <c r="J327" s="752"/>
    </row>
    <row r="328" spans="1:10" x14ac:dyDescent="0.25">
      <c r="A328" s="756">
        <v>2</v>
      </c>
      <c r="B328" s="748">
        <v>3</v>
      </c>
      <c r="C328" s="748">
        <v>9</v>
      </c>
      <c r="D328" s="748">
        <v>9</v>
      </c>
      <c r="E328" s="749" t="s">
        <v>2221</v>
      </c>
      <c r="F328" s="747" t="s">
        <v>4021</v>
      </c>
      <c r="G328" s="875">
        <f>'[12]CUENTA T FONDO 100'!GA127</f>
        <v>0</v>
      </c>
      <c r="H328" s="875">
        <f>'[12]CUENTA T VS'!GA89</f>
        <v>56114.61</v>
      </c>
      <c r="I328" s="875">
        <f t="shared" si="14"/>
        <v>56114.61</v>
      </c>
      <c r="J328" s="751">
        <f>I328/$I$25</f>
        <v>5.8040456306641258E-4</v>
      </c>
    </row>
    <row r="329" spans="1:10" x14ac:dyDescent="0.25">
      <c r="A329" s="756">
        <v>2</v>
      </c>
      <c r="B329" s="748">
        <v>3</v>
      </c>
      <c r="C329" s="748">
        <v>9</v>
      </c>
      <c r="D329" s="748">
        <v>9</v>
      </c>
      <c r="E329" s="749" t="s">
        <v>625</v>
      </c>
      <c r="F329" s="747" t="s">
        <v>4022</v>
      </c>
      <c r="G329" s="875">
        <f>'[12]CUENTA T FONDO 100'!GB127</f>
        <v>0</v>
      </c>
      <c r="H329" s="875">
        <f>'[12]CUENTA T VS'!GB89</f>
        <v>61950</v>
      </c>
      <c r="I329" s="875">
        <f t="shared" si="14"/>
        <v>61950</v>
      </c>
      <c r="J329" s="751">
        <f>I329/$I$25</f>
        <v>6.4076116152218213E-4</v>
      </c>
    </row>
    <row r="330" spans="1:10" ht="38.25" x14ac:dyDescent="0.25">
      <c r="A330" s="754">
        <v>2</v>
      </c>
      <c r="B330" s="742">
        <v>4</v>
      </c>
      <c r="C330" s="742">
        <v>1</v>
      </c>
      <c r="D330" s="742">
        <v>2</v>
      </c>
      <c r="E330" s="742"/>
      <c r="F330" s="763" t="s">
        <v>4023</v>
      </c>
      <c r="G330" s="874">
        <f>G331+G332+G333+G334+G335</f>
        <v>0</v>
      </c>
      <c r="H330" s="874">
        <f>H331+H332+H333+H334+H335</f>
        <v>624573</v>
      </c>
      <c r="I330" s="874">
        <f t="shared" si="14"/>
        <v>624573</v>
      </c>
      <c r="J330" s="740">
        <f>+I330/I25</f>
        <v>6.4600826623953814E-3</v>
      </c>
    </row>
    <row r="331" spans="1:10" x14ac:dyDescent="0.25">
      <c r="A331" s="756">
        <v>2</v>
      </c>
      <c r="B331" s="748">
        <v>4</v>
      </c>
      <c r="C331" s="748">
        <v>1</v>
      </c>
      <c r="D331" s="748">
        <v>2</v>
      </c>
      <c r="E331" s="749" t="s">
        <v>2221</v>
      </c>
      <c r="F331" s="747" t="s">
        <v>4024</v>
      </c>
      <c r="G331" s="875">
        <f>'[12]CUENTA T FONDO 100'!GC127</f>
        <v>0</v>
      </c>
      <c r="H331" s="875">
        <f>'[12]CUENTA T VS'!GC89</f>
        <v>203615</v>
      </c>
      <c r="I331" s="875">
        <f t="shared" si="14"/>
        <v>203615</v>
      </c>
      <c r="J331" s="751">
        <f t="shared" ref="J331:J336" si="17">I331/$I$25</f>
        <v>2.1060304100619714E-3</v>
      </c>
    </row>
    <row r="332" spans="1:10" x14ac:dyDescent="0.25">
      <c r="A332" s="756">
        <v>2</v>
      </c>
      <c r="B332" s="748">
        <v>4</v>
      </c>
      <c r="C332" s="748">
        <v>1</v>
      </c>
      <c r="D332" s="748">
        <v>2</v>
      </c>
      <c r="E332" s="749" t="s">
        <v>1733</v>
      </c>
      <c r="F332" s="747" t="s">
        <v>98</v>
      </c>
      <c r="G332" s="875">
        <f>'[12]CUENTA T FONDO 100'!GD127</f>
        <v>0</v>
      </c>
      <c r="H332" s="875">
        <f>'[12]CUENTA T VS'!GD89</f>
        <v>420958</v>
      </c>
      <c r="I332" s="875">
        <f t="shared" si="14"/>
        <v>420958</v>
      </c>
      <c r="J332" s="751">
        <f t="shared" si="17"/>
        <v>4.35405225233341E-3</v>
      </c>
    </row>
    <row r="333" spans="1:10" x14ac:dyDescent="0.25">
      <c r="A333" s="756">
        <v>2</v>
      </c>
      <c r="B333" s="748">
        <v>4</v>
      </c>
      <c r="C333" s="748">
        <v>1</v>
      </c>
      <c r="D333" s="748">
        <v>2</v>
      </c>
      <c r="E333" s="749" t="s">
        <v>3839</v>
      </c>
      <c r="F333" s="747" t="s">
        <v>4025</v>
      </c>
      <c r="G333" s="875">
        <f>'[12]CUENTA T FONDO 100'!GE127</f>
        <v>0</v>
      </c>
      <c r="H333" s="875">
        <f>'[12]CUENTA T VS'!GE89</f>
        <v>0</v>
      </c>
      <c r="I333" s="875">
        <f t="shared" si="14"/>
        <v>0</v>
      </c>
      <c r="J333" s="751">
        <f t="shared" si="17"/>
        <v>0</v>
      </c>
    </row>
    <row r="334" spans="1:10" x14ac:dyDescent="0.25">
      <c r="A334" s="756">
        <v>2</v>
      </c>
      <c r="B334" s="748">
        <v>4</v>
      </c>
      <c r="C334" s="748">
        <v>1</v>
      </c>
      <c r="D334" s="748">
        <v>2</v>
      </c>
      <c r="E334" s="749" t="s">
        <v>625</v>
      </c>
      <c r="F334" s="747" t="s">
        <v>4026</v>
      </c>
      <c r="G334" s="875">
        <f>'[12]CUENTA T FONDO 100'!GF127</f>
        <v>0</v>
      </c>
      <c r="H334" s="875">
        <f>'[12]CUENTA T VS'!GF89</f>
        <v>0</v>
      </c>
      <c r="I334" s="875">
        <f t="shared" si="14"/>
        <v>0</v>
      </c>
      <c r="J334" s="751">
        <f t="shared" si="17"/>
        <v>0</v>
      </c>
    </row>
    <row r="335" spans="1:10" x14ac:dyDescent="0.25">
      <c r="A335" s="756">
        <v>2</v>
      </c>
      <c r="B335" s="748">
        <v>4</v>
      </c>
      <c r="C335" s="748">
        <v>1</v>
      </c>
      <c r="D335" s="748">
        <v>2</v>
      </c>
      <c r="E335" s="749" t="s">
        <v>3842</v>
      </c>
      <c r="F335" s="747" t="s">
        <v>4027</v>
      </c>
      <c r="G335" s="875">
        <f>'[12]CUENTA T FONDO 100'!GG127</f>
        <v>0</v>
      </c>
      <c r="H335" s="875">
        <f>'[12]CUENTA T VS'!GG89</f>
        <v>0</v>
      </c>
      <c r="I335" s="875">
        <f t="shared" si="14"/>
        <v>0</v>
      </c>
      <c r="J335" s="751">
        <f t="shared" si="17"/>
        <v>0</v>
      </c>
    </row>
    <row r="336" spans="1:10" ht="51" x14ac:dyDescent="0.25">
      <c r="A336" s="754">
        <v>2</v>
      </c>
      <c r="B336" s="742">
        <v>6</v>
      </c>
      <c r="C336" s="742"/>
      <c r="D336" s="742"/>
      <c r="E336" s="742"/>
      <c r="F336" s="763" t="s">
        <v>4028</v>
      </c>
      <c r="G336" s="874">
        <f>G337+G348+G357+G366+G383+G400+G405+G424+G446</f>
        <v>4665041.3900000006</v>
      </c>
      <c r="H336" s="874">
        <f>H337+H348+H357+H366+H383+H400+H405+H424+H446</f>
        <v>0</v>
      </c>
      <c r="I336" s="874">
        <f t="shared" si="14"/>
        <v>4665041.3900000006</v>
      </c>
      <c r="J336" s="740">
        <f t="shared" si="17"/>
        <v>4.8251450195406873E-2</v>
      </c>
    </row>
    <row r="337" spans="1:10" ht="25.5" x14ac:dyDescent="0.25">
      <c r="A337" s="741">
        <v>2</v>
      </c>
      <c r="B337" s="742">
        <v>6</v>
      </c>
      <c r="C337" s="742">
        <v>1</v>
      </c>
      <c r="D337" s="742"/>
      <c r="E337" s="742"/>
      <c r="F337" s="763" t="s">
        <v>4029</v>
      </c>
      <c r="G337" s="874">
        <f>+G338+G340+G342+G344+G346</f>
        <v>1812434.4800000002</v>
      </c>
      <c r="H337" s="874">
        <f>+H338+H340+H342+H344+H346</f>
        <v>0</v>
      </c>
      <c r="I337" s="874">
        <f t="shared" si="14"/>
        <v>1812434.4800000002</v>
      </c>
      <c r="J337" s="740"/>
    </row>
    <row r="338" spans="1:10" ht="51" x14ac:dyDescent="0.25">
      <c r="A338" s="743">
        <v>2</v>
      </c>
      <c r="B338" s="744">
        <v>6</v>
      </c>
      <c r="C338" s="744">
        <v>1</v>
      </c>
      <c r="D338" s="744">
        <v>1</v>
      </c>
      <c r="E338" s="744"/>
      <c r="F338" s="762" t="s">
        <v>2316</v>
      </c>
      <c r="G338" s="745">
        <f>SUM(G339)</f>
        <v>1535274.4900000002</v>
      </c>
      <c r="H338" s="745">
        <f>SUM(H339)</f>
        <v>0</v>
      </c>
      <c r="I338" s="745">
        <f t="shared" si="14"/>
        <v>1535274.4900000002</v>
      </c>
      <c r="J338" s="752"/>
    </row>
    <row r="339" spans="1:10" ht="51" x14ac:dyDescent="0.25">
      <c r="A339" s="747">
        <v>2</v>
      </c>
      <c r="B339" s="748">
        <v>6</v>
      </c>
      <c r="C339" s="748">
        <v>1</v>
      </c>
      <c r="D339" s="748">
        <v>1</v>
      </c>
      <c r="E339" s="749" t="s">
        <v>2221</v>
      </c>
      <c r="F339" s="753" t="s">
        <v>2316</v>
      </c>
      <c r="G339" s="875">
        <f>'[12]CUENTA T FONDO 100'!GH127</f>
        <v>1535274.4900000002</v>
      </c>
      <c r="H339" s="875">
        <f>'[12]CUENTA T VS'!GH89</f>
        <v>0</v>
      </c>
      <c r="I339" s="875">
        <f t="shared" si="14"/>
        <v>1535274.4900000002</v>
      </c>
      <c r="J339" s="751">
        <f>I339/$I$25</f>
        <v>1.5879649160093236E-2</v>
      </c>
    </row>
    <row r="340" spans="1:10" ht="63.75" x14ac:dyDescent="0.25">
      <c r="A340" s="743">
        <v>2</v>
      </c>
      <c r="B340" s="744">
        <v>6</v>
      </c>
      <c r="C340" s="744">
        <v>1</v>
      </c>
      <c r="D340" s="744">
        <v>2</v>
      </c>
      <c r="E340" s="744"/>
      <c r="F340" s="762" t="s">
        <v>4030</v>
      </c>
      <c r="G340" s="745">
        <f>SUM(G341)</f>
        <v>0</v>
      </c>
      <c r="H340" s="745">
        <f>SUM(H341)</f>
        <v>0</v>
      </c>
      <c r="I340" s="745">
        <f t="shared" si="14"/>
        <v>0</v>
      </c>
      <c r="J340" s="752"/>
    </row>
    <row r="341" spans="1:10" ht="63.75" x14ac:dyDescent="0.25">
      <c r="A341" s="747">
        <v>2</v>
      </c>
      <c r="B341" s="748">
        <v>6</v>
      </c>
      <c r="C341" s="748">
        <v>1</v>
      </c>
      <c r="D341" s="748">
        <v>2</v>
      </c>
      <c r="E341" s="749" t="s">
        <v>2221</v>
      </c>
      <c r="F341" s="753" t="s">
        <v>4030</v>
      </c>
      <c r="G341" s="875">
        <f>'[12]CUENTA T FONDO 100'!GI127</f>
        <v>0</v>
      </c>
      <c r="H341" s="875">
        <f>'[12]CUENTA T VS'!GI89</f>
        <v>0</v>
      </c>
      <c r="I341" s="875">
        <f t="shared" si="14"/>
        <v>0</v>
      </c>
      <c r="J341" s="751">
        <f>I341/$I$25</f>
        <v>0</v>
      </c>
    </row>
    <row r="342" spans="1:10" ht="89.25" x14ac:dyDescent="0.25">
      <c r="A342" s="743">
        <v>2</v>
      </c>
      <c r="B342" s="744">
        <v>6</v>
      </c>
      <c r="C342" s="744">
        <v>1</v>
      </c>
      <c r="D342" s="744">
        <v>3</v>
      </c>
      <c r="E342" s="744"/>
      <c r="F342" s="762" t="s">
        <v>4031</v>
      </c>
      <c r="G342" s="745">
        <f>SUM(G343)</f>
        <v>244260</v>
      </c>
      <c r="H342" s="745">
        <f>SUM(H343)</f>
        <v>0</v>
      </c>
      <c r="I342" s="745">
        <f t="shared" si="14"/>
        <v>244260</v>
      </c>
      <c r="J342" s="752"/>
    </row>
    <row r="343" spans="1:10" ht="89.25" x14ac:dyDescent="0.25">
      <c r="A343" s="747">
        <v>2</v>
      </c>
      <c r="B343" s="748">
        <v>6</v>
      </c>
      <c r="C343" s="748">
        <v>1</v>
      </c>
      <c r="D343" s="748">
        <v>3</v>
      </c>
      <c r="E343" s="749" t="s">
        <v>2221</v>
      </c>
      <c r="F343" s="753" t="s">
        <v>4031</v>
      </c>
      <c r="G343" s="875">
        <f>'[12]CUENTA T FONDO 100'!GJ127</f>
        <v>244260</v>
      </c>
      <c r="H343" s="875">
        <f>'[12]CUENTA T VS'!GJ89</f>
        <v>0</v>
      </c>
      <c r="I343" s="875">
        <f t="shared" si="14"/>
        <v>244260</v>
      </c>
      <c r="J343" s="751">
        <f>I343/$I$25</f>
        <v>2.5264297225731755E-3</v>
      </c>
    </row>
    <row r="344" spans="1:10" ht="25.5" x14ac:dyDescent="0.25">
      <c r="A344" s="743">
        <v>2</v>
      </c>
      <c r="B344" s="744">
        <v>6</v>
      </c>
      <c r="C344" s="744">
        <v>1</v>
      </c>
      <c r="D344" s="744">
        <v>4</v>
      </c>
      <c r="E344" s="744"/>
      <c r="F344" s="762" t="s">
        <v>2399</v>
      </c>
      <c r="G344" s="745">
        <f>SUM(G345)</f>
        <v>32899.99</v>
      </c>
      <c r="H344" s="745">
        <f>SUM(H345)</f>
        <v>0</v>
      </c>
      <c r="I344" s="745">
        <f t="shared" si="14"/>
        <v>32899.99</v>
      </c>
      <c r="J344" s="752"/>
    </row>
    <row r="345" spans="1:10" ht="25.5" x14ac:dyDescent="0.25">
      <c r="A345" s="747">
        <v>2</v>
      </c>
      <c r="B345" s="748">
        <v>6</v>
      </c>
      <c r="C345" s="748">
        <v>1</v>
      </c>
      <c r="D345" s="748">
        <v>4</v>
      </c>
      <c r="E345" s="749" t="s">
        <v>2221</v>
      </c>
      <c r="F345" s="753" t="s">
        <v>2399</v>
      </c>
      <c r="G345" s="875">
        <f>'[12]CUENTA T FONDO 100'!GK127</f>
        <v>32899.99</v>
      </c>
      <c r="H345" s="875">
        <f>'[12]CUENTA T VS'!GK89</f>
        <v>0</v>
      </c>
      <c r="I345" s="875">
        <f t="shared" ref="I345:I408" si="18">SUM(G345:H345)</f>
        <v>32899.99</v>
      </c>
      <c r="J345" s="751">
        <f>I345/$I$25</f>
        <v>3.4029113489052746E-4</v>
      </c>
    </row>
    <row r="346" spans="1:10" ht="76.5" x14ac:dyDescent="0.25">
      <c r="A346" s="743">
        <v>2</v>
      </c>
      <c r="B346" s="744">
        <v>6</v>
      </c>
      <c r="C346" s="744">
        <v>1</v>
      </c>
      <c r="D346" s="744">
        <v>9</v>
      </c>
      <c r="E346" s="744"/>
      <c r="F346" s="762" t="s">
        <v>2419</v>
      </c>
      <c r="G346" s="745">
        <f>SUM(G347)</f>
        <v>0</v>
      </c>
      <c r="H346" s="745">
        <f>SUM(H347)</f>
        <v>0</v>
      </c>
      <c r="I346" s="745">
        <f t="shared" si="18"/>
        <v>0</v>
      </c>
      <c r="J346" s="752"/>
    </row>
    <row r="347" spans="1:10" ht="76.5" x14ac:dyDescent="0.25">
      <c r="A347" s="747">
        <v>2</v>
      </c>
      <c r="B347" s="748">
        <v>6</v>
      </c>
      <c r="C347" s="748">
        <v>1</v>
      </c>
      <c r="D347" s="748">
        <v>9</v>
      </c>
      <c r="E347" s="749" t="s">
        <v>2221</v>
      </c>
      <c r="F347" s="753" t="s">
        <v>2419</v>
      </c>
      <c r="G347" s="875">
        <f>'[12]CUENTA T FONDO 100'!GL127</f>
        <v>0</v>
      </c>
      <c r="H347" s="875">
        <f>'[12]CUENTA T VS'!GL89</f>
        <v>0</v>
      </c>
      <c r="I347" s="875">
        <f t="shared" si="18"/>
        <v>0</v>
      </c>
      <c r="J347" s="751">
        <f>I347/$I$25</f>
        <v>0</v>
      </c>
    </row>
    <row r="348" spans="1:10" x14ac:dyDescent="0.25">
      <c r="A348" s="765">
        <v>2</v>
      </c>
      <c r="B348" s="765">
        <v>6</v>
      </c>
      <c r="C348" s="765">
        <v>2</v>
      </c>
      <c r="D348" s="765"/>
      <c r="E348" s="765"/>
      <c r="F348" s="766" t="s">
        <v>4032</v>
      </c>
      <c r="G348" s="874">
        <f>+G349+G351+G353+G355</f>
        <v>0</v>
      </c>
      <c r="H348" s="874">
        <f>+H349+H351+H353+H355</f>
        <v>0</v>
      </c>
      <c r="I348" s="874">
        <f t="shared" si="18"/>
        <v>0</v>
      </c>
      <c r="J348" s="740"/>
    </row>
    <row r="349" spans="1:10" ht="51" x14ac:dyDescent="0.25">
      <c r="A349" s="755">
        <v>2</v>
      </c>
      <c r="B349" s="744">
        <v>6</v>
      </c>
      <c r="C349" s="744">
        <v>2</v>
      </c>
      <c r="D349" s="744">
        <v>1</v>
      </c>
      <c r="E349" s="758"/>
      <c r="F349" s="762" t="s">
        <v>2659</v>
      </c>
      <c r="G349" s="745">
        <f>SUM(G350)</f>
        <v>0</v>
      </c>
      <c r="H349" s="745">
        <f>SUM(H350)</f>
        <v>0</v>
      </c>
      <c r="I349" s="745">
        <f t="shared" si="18"/>
        <v>0</v>
      </c>
      <c r="J349" s="752"/>
    </row>
    <row r="350" spans="1:10" ht="51" x14ac:dyDescent="0.25">
      <c r="A350" s="756">
        <v>2</v>
      </c>
      <c r="B350" s="748">
        <v>6</v>
      </c>
      <c r="C350" s="748">
        <v>2</v>
      </c>
      <c r="D350" s="748">
        <v>1</v>
      </c>
      <c r="E350" s="749" t="s">
        <v>2221</v>
      </c>
      <c r="F350" s="753" t="s">
        <v>2659</v>
      </c>
      <c r="G350" s="875">
        <f>'[12]CUENTA T FONDO 100'!GM127</f>
        <v>0</v>
      </c>
      <c r="H350" s="875">
        <f>'[12]CUENTA T VS'!GM89</f>
        <v>0</v>
      </c>
      <c r="I350" s="875">
        <f t="shared" si="18"/>
        <v>0</v>
      </c>
      <c r="J350" s="751">
        <f>I350/$I$25</f>
        <v>0</v>
      </c>
    </row>
    <row r="351" spans="1:10" ht="25.5" x14ac:dyDescent="0.25">
      <c r="A351" s="755">
        <v>2</v>
      </c>
      <c r="B351" s="744">
        <v>6</v>
      </c>
      <c r="C351" s="744">
        <v>2</v>
      </c>
      <c r="D351" s="744">
        <v>2</v>
      </c>
      <c r="E351" s="758"/>
      <c r="F351" s="762" t="s">
        <v>4033</v>
      </c>
      <c r="G351" s="745">
        <f>SUM(G352)</f>
        <v>0</v>
      </c>
      <c r="H351" s="745">
        <f>SUM(H352)</f>
        <v>0</v>
      </c>
      <c r="I351" s="745">
        <f t="shared" si="18"/>
        <v>0</v>
      </c>
      <c r="J351" s="752"/>
    </row>
    <row r="352" spans="1:10" ht="25.5" x14ac:dyDescent="0.25">
      <c r="A352" s="756">
        <v>2</v>
      </c>
      <c r="B352" s="748">
        <v>6</v>
      </c>
      <c r="C352" s="748">
        <v>2</v>
      </c>
      <c r="D352" s="748">
        <v>2</v>
      </c>
      <c r="E352" s="749" t="s">
        <v>2221</v>
      </c>
      <c r="F352" s="753" t="s">
        <v>4033</v>
      </c>
      <c r="G352" s="875">
        <f>'[12]CUENTA T FONDO 100'!GN127</f>
        <v>0</v>
      </c>
      <c r="H352" s="875">
        <f>'[12]CUENTA T VS'!GN89</f>
        <v>0</v>
      </c>
      <c r="I352" s="875">
        <f t="shared" si="18"/>
        <v>0</v>
      </c>
      <c r="J352" s="751">
        <f>I352/$I$25</f>
        <v>0</v>
      </c>
    </row>
    <row r="353" spans="1:10" ht="38.25" x14ac:dyDescent="0.25">
      <c r="A353" s="755">
        <v>2</v>
      </c>
      <c r="B353" s="744">
        <v>6</v>
      </c>
      <c r="C353" s="744">
        <v>2</v>
      </c>
      <c r="D353" s="744">
        <v>3</v>
      </c>
      <c r="E353" s="758"/>
      <c r="F353" s="762" t="s">
        <v>4034</v>
      </c>
      <c r="G353" s="745">
        <f>SUM(G354)</f>
        <v>0</v>
      </c>
      <c r="H353" s="745">
        <f>SUM(H354)</f>
        <v>0</v>
      </c>
      <c r="I353" s="745">
        <f t="shared" si="18"/>
        <v>0</v>
      </c>
      <c r="J353" s="752"/>
    </row>
    <row r="354" spans="1:10" ht="38.25" x14ac:dyDescent="0.25">
      <c r="A354" s="756">
        <v>2</v>
      </c>
      <c r="B354" s="748">
        <v>6</v>
      </c>
      <c r="C354" s="748">
        <v>2</v>
      </c>
      <c r="D354" s="748">
        <v>3</v>
      </c>
      <c r="E354" s="749" t="s">
        <v>2221</v>
      </c>
      <c r="F354" s="753" t="s">
        <v>4034</v>
      </c>
      <c r="G354" s="875">
        <f>'[12]CUENTA T FONDO 100'!GO127</f>
        <v>0</v>
      </c>
      <c r="H354" s="875">
        <f>'[12]CUENTA T VS'!GO89</f>
        <v>0</v>
      </c>
      <c r="I354" s="875">
        <f t="shared" si="18"/>
        <v>0</v>
      </c>
      <c r="J354" s="751">
        <f>I354/$I$25</f>
        <v>0</v>
      </c>
    </row>
    <row r="355" spans="1:10" ht="51" x14ac:dyDescent="0.25">
      <c r="A355" s="755">
        <v>2</v>
      </c>
      <c r="B355" s="744">
        <v>6</v>
      </c>
      <c r="C355" s="744">
        <v>2</v>
      </c>
      <c r="D355" s="744">
        <v>4</v>
      </c>
      <c r="E355" s="758"/>
      <c r="F355" s="762" t="s">
        <v>4035</v>
      </c>
      <c r="G355" s="745">
        <f>SUM(G356)</f>
        <v>0</v>
      </c>
      <c r="H355" s="745">
        <f>SUM(H356)</f>
        <v>0</v>
      </c>
      <c r="I355" s="745">
        <f t="shared" si="18"/>
        <v>0</v>
      </c>
      <c r="J355" s="752"/>
    </row>
    <row r="356" spans="1:10" ht="51" x14ac:dyDescent="0.25">
      <c r="A356" s="756">
        <v>2</v>
      </c>
      <c r="B356" s="748">
        <v>6</v>
      </c>
      <c r="C356" s="748">
        <v>2</v>
      </c>
      <c r="D356" s="748">
        <v>4</v>
      </c>
      <c r="E356" s="749" t="s">
        <v>2221</v>
      </c>
      <c r="F356" s="753" t="s">
        <v>4035</v>
      </c>
      <c r="G356" s="875">
        <f>'[12]CUENTA T FONDO 100'!GP127</f>
        <v>0</v>
      </c>
      <c r="H356" s="875">
        <f>'[12]CUENTA T VS'!GP89</f>
        <v>0</v>
      </c>
      <c r="I356" s="875">
        <f t="shared" si="18"/>
        <v>0</v>
      </c>
      <c r="J356" s="751">
        <f>I356/$I$25</f>
        <v>0</v>
      </c>
    </row>
    <row r="357" spans="1:10" x14ac:dyDescent="0.25">
      <c r="A357" s="765">
        <v>2</v>
      </c>
      <c r="B357" s="765">
        <v>6</v>
      </c>
      <c r="C357" s="765">
        <v>3</v>
      </c>
      <c r="D357" s="765"/>
      <c r="E357" s="765"/>
      <c r="F357" s="766" t="s">
        <v>4036</v>
      </c>
      <c r="G357" s="874">
        <f>+G358+G360+G362+G364</f>
        <v>2635786.91</v>
      </c>
      <c r="H357" s="874">
        <f>+H358+H360+H362+H364</f>
        <v>0</v>
      </c>
      <c r="I357" s="874">
        <f t="shared" si="18"/>
        <v>2635786.91</v>
      </c>
      <c r="J357" s="740"/>
    </row>
    <row r="358" spans="1:10" ht="38.25" x14ac:dyDescent="0.25">
      <c r="A358" s="755">
        <v>2</v>
      </c>
      <c r="B358" s="744">
        <v>6</v>
      </c>
      <c r="C358" s="744">
        <v>3</v>
      </c>
      <c r="D358" s="744">
        <v>1</v>
      </c>
      <c r="E358" s="758"/>
      <c r="F358" s="762" t="s">
        <v>2339</v>
      </c>
      <c r="G358" s="745">
        <f>SUM(G359)</f>
        <v>1121858</v>
      </c>
      <c r="H358" s="745">
        <f>SUM(H359)</f>
        <v>0</v>
      </c>
      <c r="I358" s="745">
        <f t="shared" si="18"/>
        <v>1121858</v>
      </c>
      <c r="J358" s="752"/>
    </row>
    <row r="359" spans="1:10" ht="38.25" x14ac:dyDescent="0.25">
      <c r="A359" s="756">
        <v>2</v>
      </c>
      <c r="B359" s="748">
        <v>6</v>
      </c>
      <c r="C359" s="748">
        <v>3</v>
      </c>
      <c r="D359" s="748">
        <v>1</v>
      </c>
      <c r="E359" s="749" t="s">
        <v>2221</v>
      </c>
      <c r="F359" s="753" t="s">
        <v>2339</v>
      </c>
      <c r="G359" s="875">
        <f>'[12]CUENTA T FONDO 100'!GQ127</f>
        <v>1121858</v>
      </c>
      <c r="H359" s="875">
        <f>'[12]CUENTA T VS'!GQ89</f>
        <v>0</v>
      </c>
      <c r="I359" s="875">
        <f t="shared" si="18"/>
        <v>1121858</v>
      </c>
      <c r="J359" s="751">
        <f>I359/$I$25</f>
        <v>1.1603600244438293E-2</v>
      </c>
    </row>
    <row r="360" spans="1:10" ht="38.25" x14ac:dyDescent="0.25">
      <c r="A360" s="755">
        <v>2</v>
      </c>
      <c r="B360" s="744">
        <v>6</v>
      </c>
      <c r="C360" s="744">
        <v>3</v>
      </c>
      <c r="D360" s="744">
        <v>2</v>
      </c>
      <c r="E360" s="758"/>
      <c r="F360" s="762" t="s">
        <v>2545</v>
      </c>
      <c r="G360" s="745">
        <f>SUM(G361)</f>
        <v>1314567.9099999999</v>
      </c>
      <c r="H360" s="745">
        <f>SUM(H361)</f>
        <v>0</v>
      </c>
      <c r="I360" s="745">
        <f t="shared" si="18"/>
        <v>1314567.9099999999</v>
      </c>
      <c r="J360" s="752"/>
    </row>
    <row r="361" spans="1:10" ht="38.25" x14ac:dyDescent="0.25">
      <c r="A361" s="756">
        <v>2</v>
      </c>
      <c r="B361" s="748">
        <v>6</v>
      </c>
      <c r="C361" s="748">
        <v>3</v>
      </c>
      <c r="D361" s="748">
        <v>2</v>
      </c>
      <c r="E361" s="749" t="s">
        <v>2221</v>
      </c>
      <c r="F361" s="753" t="s">
        <v>2545</v>
      </c>
      <c r="G361" s="875">
        <f>'[12]CUENTA T FONDO 100'!GR127</f>
        <v>1314567.9099999999</v>
      </c>
      <c r="H361" s="875">
        <f>'[12]CUENTA T VS'!GR89</f>
        <v>0</v>
      </c>
      <c r="I361" s="875">
        <f t="shared" si="18"/>
        <v>1314567.9099999999</v>
      </c>
      <c r="J361" s="751">
        <f>I361/$I$25</f>
        <v>1.3596837141426753E-2</v>
      </c>
    </row>
    <row r="362" spans="1:10" ht="25.5" x14ac:dyDescent="0.25">
      <c r="A362" s="755">
        <v>2</v>
      </c>
      <c r="B362" s="744">
        <v>6</v>
      </c>
      <c r="C362" s="744">
        <v>3</v>
      </c>
      <c r="D362" s="744">
        <v>3</v>
      </c>
      <c r="E362" s="758"/>
      <c r="F362" s="762" t="s">
        <v>4037</v>
      </c>
      <c r="G362" s="745">
        <f>SUM(G363)</f>
        <v>0</v>
      </c>
      <c r="H362" s="745">
        <f>SUM(H363)</f>
        <v>0</v>
      </c>
      <c r="I362" s="745">
        <f t="shared" si="18"/>
        <v>0</v>
      </c>
      <c r="J362" s="752"/>
    </row>
    <row r="363" spans="1:10" ht="25.5" x14ac:dyDescent="0.25">
      <c r="A363" s="756">
        <v>2</v>
      </c>
      <c r="B363" s="748">
        <v>6</v>
      </c>
      <c r="C363" s="748">
        <v>3</v>
      </c>
      <c r="D363" s="748">
        <v>3</v>
      </c>
      <c r="E363" s="749" t="s">
        <v>2221</v>
      </c>
      <c r="F363" s="753" t="s">
        <v>4037</v>
      </c>
      <c r="G363" s="875">
        <f>'[12]CUENTA T FONDO 100'!GS127</f>
        <v>0</v>
      </c>
      <c r="H363" s="875">
        <f>'[12]CUENTA T VS'!GS89</f>
        <v>0</v>
      </c>
      <c r="I363" s="875">
        <f t="shared" si="18"/>
        <v>0</v>
      </c>
      <c r="J363" s="751">
        <f>I363/$I$25</f>
        <v>0</v>
      </c>
    </row>
    <row r="364" spans="1:10" ht="51" x14ac:dyDescent="0.25">
      <c r="A364" s="755">
        <v>2</v>
      </c>
      <c r="B364" s="744">
        <v>6</v>
      </c>
      <c r="C364" s="744">
        <v>3</v>
      </c>
      <c r="D364" s="744">
        <v>4</v>
      </c>
      <c r="E364" s="744"/>
      <c r="F364" s="762" t="s">
        <v>4038</v>
      </c>
      <c r="G364" s="745">
        <f>+G365</f>
        <v>199361</v>
      </c>
      <c r="H364" s="745">
        <f>+H365</f>
        <v>0</v>
      </c>
      <c r="I364" s="745">
        <f t="shared" si="18"/>
        <v>199361</v>
      </c>
      <c r="J364" s="752"/>
    </row>
    <row r="365" spans="1:10" ht="51" x14ac:dyDescent="0.25">
      <c r="A365" s="756">
        <v>2</v>
      </c>
      <c r="B365" s="748">
        <v>6</v>
      </c>
      <c r="C365" s="748">
        <v>3</v>
      </c>
      <c r="D365" s="748">
        <v>4</v>
      </c>
      <c r="E365" s="749" t="s">
        <v>2221</v>
      </c>
      <c r="F365" s="753" t="s">
        <v>4038</v>
      </c>
      <c r="G365" s="875">
        <f>'[12]CUENTA T FONDO 100'!GT127</f>
        <v>199361</v>
      </c>
      <c r="H365" s="875">
        <f>'[12]CUENTA T VS'!GT89</f>
        <v>0</v>
      </c>
      <c r="I365" s="875">
        <f t="shared" si="18"/>
        <v>199361</v>
      </c>
      <c r="J365" s="751">
        <f>I365/$I$25</f>
        <v>2.062030442650908E-3</v>
      </c>
    </row>
    <row r="366" spans="1:10" ht="63.75" x14ac:dyDescent="0.25">
      <c r="A366" s="741">
        <v>2</v>
      </c>
      <c r="B366" s="742">
        <v>6</v>
      </c>
      <c r="C366" s="742">
        <v>4</v>
      </c>
      <c r="D366" s="742"/>
      <c r="E366" s="759"/>
      <c r="F366" s="763" t="s">
        <v>4039</v>
      </c>
      <c r="G366" s="874">
        <f>+G367+G369+G371+G373+G375+G377+G379+G381</f>
        <v>0</v>
      </c>
      <c r="H366" s="874">
        <f>+H367+H369+H371+H373+H375+H377+H379+H381</f>
        <v>0</v>
      </c>
      <c r="I366" s="874">
        <f t="shared" si="18"/>
        <v>0</v>
      </c>
      <c r="J366" s="740"/>
    </row>
    <row r="367" spans="1:10" ht="25.5" x14ac:dyDescent="0.25">
      <c r="A367" s="755">
        <v>2</v>
      </c>
      <c r="B367" s="744">
        <v>6</v>
      </c>
      <c r="C367" s="744">
        <v>4</v>
      </c>
      <c r="D367" s="744">
        <v>1</v>
      </c>
      <c r="E367" s="744"/>
      <c r="F367" s="762" t="s">
        <v>4040</v>
      </c>
      <c r="G367" s="745">
        <f>SUM(G368)</f>
        <v>0</v>
      </c>
      <c r="H367" s="745">
        <f>SUM(H368)</f>
        <v>0</v>
      </c>
      <c r="I367" s="745">
        <f t="shared" si="18"/>
        <v>0</v>
      </c>
      <c r="J367" s="752"/>
    </row>
    <row r="368" spans="1:10" ht="25.5" x14ac:dyDescent="0.25">
      <c r="A368" s="756">
        <v>2</v>
      </c>
      <c r="B368" s="748">
        <v>6</v>
      </c>
      <c r="C368" s="748">
        <v>4</v>
      </c>
      <c r="D368" s="748">
        <v>1</v>
      </c>
      <c r="E368" s="749" t="s">
        <v>2221</v>
      </c>
      <c r="F368" s="753" t="s">
        <v>4040</v>
      </c>
      <c r="G368" s="875">
        <f>'[12]CUENTA T FONDO 100'!GU127</f>
        <v>0</v>
      </c>
      <c r="H368" s="875">
        <f>'[12]CUENTA T VS'!GU89</f>
        <v>0</v>
      </c>
      <c r="I368" s="875">
        <f t="shared" si="18"/>
        <v>0</v>
      </c>
      <c r="J368" s="751">
        <f>I368/$I$25</f>
        <v>0</v>
      </c>
    </row>
    <row r="369" spans="1:10" ht="25.5" x14ac:dyDescent="0.25">
      <c r="A369" s="755">
        <v>2</v>
      </c>
      <c r="B369" s="744">
        <v>6</v>
      </c>
      <c r="C369" s="744">
        <v>4</v>
      </c>
      <c r="D369" s="744">
        <v>2</v>
      </c>
      <c r="E369" s="744"/>
      <c r="F369" s="762" t="s">
        <v>4041</v>
      </c>
      <c r="G369" s="745">
        <f>SUM(G370)</f>
        <v>0</v>
      </c>
      <c r="H369" s="745">
        <f>SUM(H370)</f>
        <v>0</v>
      </c>
      <c r="I369" s="745">
        <f t="shared" si="18"/>
        <v>0</v>
      </c>
      <c r="J369" s="752"/>
    </row>
    <row r="370" spans="1:10" ht="25.5" x14ac:dyDescent="0.25">
      <c r="A370" s="756">
        <v>2</v>
      </c>
      <c r="B370" s="748">
        <v>6</v>
      </c>
      <c r="C370" s="748">
        <v>4</v>
      </c>
      <c r="D370" s="748">
        <v>2</v>
      </c>
      <c r="E370" s="749" t="s">
        <v>2221</v>
      </c>
      <c r="F370" s="753" t="s">
        <v>4041</v>
      </c>
      <c r="G370" s="875">
        <f>'[12]CUENTA T FONDO 100'!GV127</f>
        <v>0</v>
      </c>
      <c r="H370" s="875">
        <f>'[12]CUENTA T VS'!GV89</f>
        <v>0</v>
      </c>
      <c r="I370" s="875">
        <f t="shared" si="18"/>
        <v>0</v>
      </c>
      <c r="J370" s="751">
        <f>I370/$I$25</f>
        <v>0</v>
      </c>
    </row>
    <row r="371" spans="1:10" ht="25.5" x14ac:dyDescent="0.25">
      <c r="A371" s="755">
        <v>2</v>
      </c>
      <c r="B371" s="744">
        <v>6</v>
      </c>
      <c r="C371" s="744">
        <v>4</v>
      </c>
      <c r="D371" s="744">
        <v>3</v>
      </c>
      <c r="E371" s="744"/>
      <c r="F371" s="762" t="s">
        <v>4042</v>
      </c>
      <c r="G371" s="745">
        <f>SUM(G372)</f>
        <v>0</v>
      </c>
      <c r="H371" s="745">
        <f>SUM(H372)</f>
        <v>0</v>
      </c>
      <c r="I371" s="745">
        <f t="shared" si="18"/>
        <v>0</v>
      </c>
      <c r="J371" s="752"/>
    </row>
    <row r="372" spans="1:10" ht="25.5" x14ac:dyDescent="0.25">
      <c r="A372" s="756">
        <v>2</v>
      </c>
      <c r="B372" s="748">
        <v>6</v>
      </c>
      <c r="C372" s="748">
        <v>4</v>
      </c>
      <c r="D372" s="748">
        <v>3</v>
      </c>
      <c r="E372" s="749" t="s">
        <v>2221</v>
      </c>
      <c r="F372" s="753" t="s">
        <v>4042</v>
      </c>
      <c r="G372" s="875">
        <f>'[12]CUENTA T FONDO 100'!GW127</f>
        <v>0</v>
      </c>
      <c r="H372" s="875">
        <f>'[12]CUENTA T VS'!GX89</f>
        <v>0</v>
      </c>
      <c r="I372" s="875">
        <f t="shared" si="18"/>
        <v>0</v>
      </c>
      <c r="J372" s="751">
        <f>I372/$I$25</f>
        <v>0</v>
      </c>
    </row>
    <row r="373" spans="1:10" ht="25.5" x14ac:dyDescent="0.25">
      <c r="A373" s="755">
        <v>2</v>
      </c>
      <c r="B373" s="744">
        <v>6</v>
      </c>
      <c r="C373" s="744">
        <v>4</v>
      </c>
      <c r="D373" s="744">
        <v>4</v>
      </c>
      <c r="E373" s="744"/>
      <c r="F373" s="762" t="s">
        <v>4043</v>
      </c>
      <c r="G373" s="745">
        <f>SUM(G374)</f>
        <v>0</v>
      </c>
      <c r="H373" s="745">
        <f>SUM(H374)</f>
        <v>0</v>
      </c>
      <c r="I373" s="745">
        <f t="shared" si="18"/>
        <v>0</v>
      </c>
      <c r="J373" s="752"/>
    </row>
    <row r="374" spans="1:10" ht="25.5" x14ac:dyDescent="0.25">
      <c r="A374" s="756">
        <v>2</v>
      </c>
      <c r="B374" s="748">
        <v>6</v>
      </c>
      <c r="C374" s="748">
        <v>4</v>
      </c>
      <c r="D374" s="748">
        <v>4</v>
      </c>
      <c r="E374" s="749" t="s">
        <v>2221</v>
      </c>
      <c r="F374" s="753" t="s">
        <v>4043</v>
      </c>
      <c r="G374" s="875">
        <f>'[12]CUENTA T FONDO 100'!GX127</f>
        <v>0</v>
      </c>
      <c r="H374" s="875">
        <f>'[12]CUENTA T VS'!GX89</f>
        <v>0</v>
      </c>
      <c r="I374" s="875">
        <f t="shared" si="18"/>
        <v>0</v>
      </c>
      <c r="J374" s="751">
        <f>I374/$I$25</f>
        <v>0</v>
      </c>
    </row>
    <row r="375" spans="1:10" ht="25.5" x14ac:dyDescent="0.25">
      <c r="A375" s="755">
        <v>2</v>
      </c>
      <c r="B375" s="744">
        <v>6</v>
      </c>
      <c r="C375" s="744">
        <v>4</v>
      </c>
      <c r="D375" s="744">
        <v>5</v>
      </c>
      <c r="E375" s="744"/>
      <c r="F375" s="762" t="s">
        <v>4044</v>
      </c>
      <c r="G375" s="745">
        <f>SUM(G376)</f>
        <v>0</v>
      </c>
      <c r="H375" s="745">
        <f>SUM(H376)</f>
        <v>0</v>
      </c>
      <c r="I375" s="745">
        <f t="shared" si="18"/>
        <v>0</v>
      </c>
      <c r="J375" s="752"/>
    </row>
    <row r="376" spans="1:10" ht="25.5" x14ac:dyDescent="0.25">
      <c r="A376" s="756">
        <v>2</v>
      </c>
      <c r="B376" s="748">
        <v>6</v>
      </c>
      <c r="C376" s="748">
        <v>4</v>
      </c>
      <c r="D376" s="748">
        <v>5</v>
      </c>
      <c r="E376" s="749" t="s">
        <v>2221</v>
      </c>
      <c r="F376" s="753" t="s">
        <v>4044</v>
      </c>
      <c r="G376" s="875">
        <f>'[12]CUENTA T FONDO 100'!GY127</f>
        <v>0</v>
      </c>
      <c r="H376" s="875">
        <f>'[12]CUENTA T VS'!GY89</f>
        <v>0</v>
      </c>
      <c r="I376" s="875">
        <f t="shared" si="18"/>
        <v>0</v>
      </c>
      <c r="J376" s="751">
        <f>I376/$I$25</f>
        <v>0</v>
      </c>
    </row>
    <row r="377" spans="1:10" ht="25.5" x14ac:dyDescent="0.25">
      <c r="A377" s="755">
        <v>2</v>
      </c>
      <c r="B377" s="744">
        <v>6</v>
      </c>
      <c r="C377" s="744">
        <v>4</v>
      </c>
      <c r="D377" s="744">
        <v>6</v>
      </c>
      <c r="E377" s="744"/>
      <c r="F377" s="762" t="s">
        <v>4045</v>
      </c>
      <c r="G377" s="745">
        <f>SUM(G378)</f>
        <v>0</v>
      </c>
      <c r="H377" s="745">
        <f>SUM(H378)</f>
        <v>0</v>
      </c>
      <c r="I377" s="745">
        <f t="shared" si="18"/>
        <v>0</v>
      </c>
      <c r="J377" s="752"/>
    </row>
    <row r="378" spans="1:10" ht="25.5" x14ac:dyDescent="0.25">
      <c r="A378" s="756">
        <v>2</v>
      </c>
      <c r="B378" s="748">
        <v>6</v>
      </c>
      <c r="C378" s="748">
        <v>4</v>
      </c>
      <c r="D378" s="748">
        <v>6</v>
      </c>
      <c r="E378" s="749" t="s">
        <v>2221</v>
      </c>
      <c r="F378" s="753" t="s">
        <v>4045</v>
      </c>
      <c r="G378" s="875">
        <f>'[12]CUENTA T FONDO 100'!GZ127</f>
        <v>0</v>
      </c>
      <c r="H378" s="875">
        <f>'[12]CUENTA T VS'!GZ89</f>
        <v>0</v>
      </c>
      <c r="I378" s="875">
        <f t="shared" si="18"/>
        <v>0</v>
      </c>
      <c r="J378" s="751">
        <f>I378/$I$25</f>
        <v>0</v>
      </c>
    </row>
    <row r="379" spans="1:10" ht="25.5" x14ac:dyDescent="0.25">
      <c r="A379" s="755">
        <v>2</v>
      </c>
      <c r="B379" s="744">
        <v>6</v>
      </c>
      <c r="C379" s="744">
        <v>4</v>
      </c>
      <c r="D379" s="744">
        <v>7</v>
      </c>
      <c r="E379" s="744"/>
      <c r="F379" s="762" t="s">
        <v>4046</v>
      </c>
      <c r="G379" s="745">
        <f>SUM(G380)</f>
        <v>0</v>
      </c>
      <c r="H379" s="745">
        <f>SUM(H380)</f>
        <v>0</v>
      </c>
      <c r="I379" s="745">
        <f t="shared" si="18"/>
        <v>0</v>
      </c>
      <c r="J379" s="752"/>
    </row>
    <row r="380" spans="1:10" ht="25.5" x14ac:dyDescent="0.25">
      <c r="A380" s="756">
        <v>2</v>
      </c>
      <c r="B380" s="748">
        <v>6</v>
      </c>
      <c r="C380" s="748">
        <v>4</v>
      </c>
      <c r="D380" s="748">
        <v>7</v>
      </c>
      <c r="E380" s="749" t="s">
        <v>2221</v>
      </c>
      <c r="F380" s="753" t="s">
        <v>4046</v>
      </c>
      <c r="G380" s="875">
        <f>'[12]CUENTA T FONDO 100'!HA127</f>
        <v>0</v>
      </c>
      <c r="H380" s="875">
        <f>'[12]CUENTA T VS'!HA89</f>
        <v>0</v>
      </c>
      <c r="I380" s="875">
        <f t="shared" si="18"/>
        <v>0</v>
      </c>
      <c r="J380" s="751">
        <f>I380/$I$25</f>
        <v>0</v>
      </c>
    </row>
    <row r="381" spans="1:10" ht="38.25" x14ac:dyDescent="0.25">
      <c r="A381" s="755">
        <v>2</v>
      </c>
      <c r="B381" s="744">
        <v>6</v>
      </c>
      <c r="C381" s="744">
        <v>4</v>
      </c>
      <c r="D381" s="744">
        <v>8</v>
      </c>
      <c r="E381" s="744"/>
      <c r="F381" s="762" t="s">
        <v>4047</v>
      </c>
      <c r="G381" s="745">
        <f>SUM(G382)</f>
        <v>0</v>
      </c>
      <c r="H381" s="745">
        <f>SUM(H382)</f>
        <v>0</v>
      </c>
      <c r="I381" s="745">
        <f t="shared" si="18"/>
        <v>0</v>
      </c>
      <c r="J381" s="752"/>
    </row>
    <row r="382" spans="1:10" ht="38.25" x14ac:dyDescent="0.25">
      <c r="A382" s="756">
        <v>2</v>
      </c>
      <c r="B382" s="748">
        <v>6</v>
      </c>
      <c r="C382" s="748">
        <v>4</v>
      </c>
      <c r="D382" s="748">
        <v>8</v>
      </c>
      <c r="E382" s="749" t="s">
        <v>2221</v>
      </c>
      <c r="F382" s="753" t="s">
        <v>4047</v>
      </c>
      <c r="G382" s="875">
        <f>'[12]CUENTA T FONDO 100'!HB127</f>
        <v>0</v>
      </c>
      <c r="H382" s="875">
        <f>'[12]CUENTA T VS'!HB89</f>
        <v>0</v>
      </c>
      <c r="I382" s="875">
        <f t="shared" si="18"/>
        <v>0</v>
      </c>
      <c r="J382" s="751">
        <f>I382/$I$25</f>
        <v>0</v>
      </c>
    </row>
    <row r="383" spans="1:10" ht="63.75" x14ac:dyDescent="0.25">
      <c r="A383" s="741">
        <v>2</v>
      </c>
      <c r="B383" s="742">
        <v>6</v>
      </c>
      <c r="C383" s="742">
        <v>5</v>
      </c>
      <c r="D383" s="742"/>
      <c r="E383" s="759"/>
      <c r="F383" s="763" t="s">
        <v>4048</v>
      </c>
      <c r="G383" s="874">
        <f>+G384+G386+G388+G390+G392+G394+G396+G398</f>
        <v>216820</v>
      </c>
      <c r="H383" s="874">
        <f>+H384+H386+H388+H390+H392+H394+H396+H398</f>
        <v>0</v>
      </c>
      <c r="I383" s="874">
        <f t="shared" si="18"/>
        <v>216820</v>
      </c>
      <c r="J383" s="740"/>
    </row>
    <row r="384" spans="1:10" ht="51" x14ac:dyDescent="0.25">
      <c r="A384" s="743">
        <v>2</v>
      </c>
      <c r="B384" s="744">
        <v>6</v>
      </c>
      <c r="C384" s="744">
        <v>5</v>
      </c>
      <c r="D384" s="744">
        <v>1</v>
      </c>
      <c r="E384" s="744"/>
      <c r="F384" s="762" t="s">
        <v>4049</v>
      </c>
      <c r="G384" s="745">
        <f>SUM(G385)</f>
        <v>0</v>
      </c>
      <c r="H384" s="745">
        <f>SUM(H385)</f>
        <v>0</v>
      </c>
      <c r="I384" s="745">
        <f t="shared" si="18"/>
        <v>0</v>
      </c>
      <c r="J384" s="752"/>
    </row>
    <row r="385" spans="1:10" ht="51" x14ac:dyDescent="0.25">
      <c r="A385" s="747">
        <v>2</v>
      </c>
      <c r="B385" s="748">
        <v>6</v>
      </c>
      <c r="C385" s="748">
        <v>5</v>
      </c>
      <c r="D385" s="748">
        <v>1</v>
      </c>
      <c r="E385" s="749" t="s">
        <v>2221</v>
      </c>
      <c r="F385" s="753" t="s">
        <v>4049</v>
      </c>
      <c r="G385" s="875">
        <f>'[12]CUENTA T FONDO 100'!HC127</f>
        <v>0</v>
      </c>
      <c r="H385" s="875">
        <f>'[12]CUENTA T VS'!HC89</f>
        <v>0</v>
      </c>
      <c r="I385" s="875">
        <f t="shared" si="18"/>
        <v>0</v>
      </c>
      <c r="J385" s="751">
        <f>I385/$I$25</f>
        <v>0</v>
      </c>
    </row>
    <row r="386" spans="1:10" ht="38.25" x14ac:dyDescent="0.25">
      <c r="A386" s="743">
        <v>2</v>
      </c>
      <c r="B386" s="744">
        <v>6</v>
      </c>
      <c r="C386" s="744">
        <v>5</v>
      </c>
      <c r="D386" s="744">
        <v>2</v>
      </c>
      <c r="E386" s="744"/>
      <c r="F386" s="762" t="s">
        <v>2406</v>
      </c>
      <c r="G386" s="745">
        <f>SUM(G387)</f>
        <v>58700</v>
      </c>
      <c r="H386" s="745">
        <f>SUM(H387)</f>
        <v>0</v>
      </c>
      <c r="I386" s="745">
        <f t="shared" si="18"/>
        <v>58700</v>
      </c>
      <c r="J386" s="752"/>
    </row>
    <row r="387" spans="1:10" ht="38.25" x14ac:dyDescent="0.25">
      <c r="A387" s="747">
        <v>2</v>
      </c>
      <c r="B387" s="748">
        <v>6</v>
      </c>
      <c r="C387" s="748">
        <v>5</v>
      </c>
      <c r="D387" s="748">
        <v>2</v>
      </c>
      <c r="E387" s="749" t="s">
        <v>2221</v>
      </c>
      <c r="F387" s="753" t="s">
        <v>2406</v>
      </c>
      <c r="G387" s="875">
        <f>'[12]CUENTA T FONDO 100'!HD127</f>
        <v>58700</v>
      </c>
      <c r="H387" s="875">
        <f>'[12]CUENTA T VS'!HD89</f>
        <v>0</v>
      </c>
      <c r="I387" s="875">
        <f t="shared" si="18"/>
        <v>58700</v>
      </c>
      <c r="J387" s="751">
        <f>I387/$I$25</f>
        <v>6.0714576563925893E-4</v>
      </c>
    </row>
    <row r="388" spans="1:10" ht="38.25" x14ac:dyDescent="0.25">
      <c r="A388" s="743">
        <v>2</v>
      </c>
      <c r="B388" s="744">
        <v>6</v>
      </c>
      <c r="C388" s="744">
        <v>5</v>
      </c>
      <c r="D388" s="744">
        <v>3</v>
      </c>
      <c r="E388" s="744"/>
      <c r="F388" s="762" t="s">
        <v>4050</v>
      </c>
      <c r="G388" s="745">
        <f>SUM(G389)</f>
        <v>0</v>
      </c>
      <c r="H388" s="745">
        <f>SUM(H389)</f>
        <v>0</v>
      </c>
      <c r="I388" s="745">
        <f t="shared" si="18"/>
        <v>0</v>
      </c>
      <c r="J388" s="752"/>
    </row>
    <row r="389" spans="1:10" ht="38.25" x14ac:dyDescent="0.25">
      <c r="A389" s="747">
        <v>2</v>
      </c>
      <c r="B389" s="748">
        <v>6</v>
      </c>
      <c r="C389" s="748">
        <v>5</v>
      </c>
      <c r="D389" s="748">
        <v>3</v>
      </c>
      <c r="E389" s="749" t="s">
        <v>2221</v>
      </c>
      <c r="F389" s="753" t="s">
        <v>4050</v>
      </c>
      <c r="G389" s="875">
        <f>'[12]CUENTA T FONDO 100'!HE127</f>
        <v>0</v>
      </c>
      <c r="H389" s="875">
        <f>'[12]CUENTA T VS'!HE89</f>
        <v>0</v>
      </c>
      <c r="I389" s="875">
        <f t="shared" si="18"/>
        <v>0</v>
      </c>
      <c r="J389" s="751">
        <f>I389/$I$25</f>
        <v>0</v>
      </c>
    </row>
    <row r="390" spans="1:10" ht="51" x14ac:dyDescent="0.25">
      <c r="A390" s="743">
        <v>2</v>
      </c>
      <c r="B390" s="744">
        <v>6</v>
      </c>
      <c r="C390" s="744">
        <v>5</v>
      </c>
      <c r="D390" s="744">
        <v>4</v>
      </c>
      <c r="E390" s="744"/>
      <c r="F390" s="762" t="s">
        <v>4051</v>
      </c>
      <c r="G390" s="745">
        <f>SUM(G391)</f>
        <v>158120</v>
      </c>
      <c r="H390" s="745">
        <f>SUM(H391)</f>
        <v>0</v>
      </c>
      <c r="I390" s="745">
        <f t="shared" si="18"/>
        <v>158120</v>
      </c>
      <c r="J390" s="752"/>
    </row>
    <row r="391" spans="1:10" ht="51" x14ac:dyDescent="0.25">
      <c r="A391" s="747">
        <v>2</v>
      </c>
      <c r="B391" s="748">
        <v>6</v>
      </c>
      <c r="C391" s="748">
        <v>5</v>
      </c>
      <c r="D391" s="748">
        <v>4</v>
      </c>
      <c r="E391" s="749" t="s">
        <v>2221</v>
      </c>
      <c r="F391" s="753" t="s">
        <v>4051</v>
      </c>
      <c r="G391" s="875">
        <f>'[12]CUENTA T FONDO 100'!HF127</f>
        <v>158120</v>
      </c>
      <c r="H391" s="875">
        <f>'[12]CUENTA T VS'!HF89</f>
        <v>0</v>
      </c>
      <c r="I391" s="875">
        <f t="shared" si="18"/>
        <v>158120</v>
      </c>
      <c r="J391" s="751">
        <f>I391/$I$25</f>
        <v>1.6354665836947125E-3</v>
      </c>
    </row>
    <row r="392" spans="1:10" ht="89.25" x14ac:dyDescent="0.25">
      <c r="A392" s="743">
        <v>2</v>
      </c>
      <c r="B392" s="744">
        <v>6</v>
      </c>
      <c r="C392" s="744">
        <v>5</v>
      </c>
      <c r="D392" s="744">
        <v>5</v>
      </c>
      <c r="E392" s="744"/>
      <c r="F392" s="762" t="s">
        <v>4052</v>
      </c>
      <c r="G392" s="745">
        <f>SUM(G393)</f>
        <v>0</v>
      </c>
      <c r="H392" s="745">
        <f>SUM(H393)</f>
        <v>0</v>
      </c>
      <c r="I392" s="745">
        <f t="shared" si="18"/>
        <v>0</v>
      </c>
      <c r="J392" s="752"/>
    </row>
    <row r="393" spans="1:10" ht="89.25" x14ac:dyDescent="0.25">
      <c r="A393" s="747">
        <v>2</v>
      </c>
      <c r="B393" s="748">
        <v>6</v>
      </c>
      <c r="C393" s="748">
        <v>5</v>
      </c>
      <c r="D393" s="748">
        <v>5</v>
      </c>
      <c r="E393" s="749" t="s">
        <v>2221</v>
      </c>
      <c r="F393" s="753" t="s">
        <v>4052</v>
      </c>
      <c r="G393" s="875">
        <f>'[12]CUENTA T FONDO 100'!HG127</f>
        <v>0</v>
      </c>
      <c r="H393" s="875">
        <f>'[12]CUENTA T VS'!HG89</f>
        <v>0</v>
      </c>
      <c r="I393" s="875">
        <f t="shared" si="18"/>
        <v>0</v>
      </c>
      <c r="J393" s="751">
        <f>I393/$I$25</f>
        <v>0</v>
      </c>
    </row>
    <row r="394" spans="1:10" ht="51" x14ac:dyDescent="0.25">
      <c r="A394" s="743">
        <v>2</v>
      </c>
      <c r="B394" s="744">
        <v>6</v>
      </c>
      <c r="C394" s="744">
        <v>5</v>
      </c>
      <c r="D394" s="744">
        <v>6</v>
      </c>
      <c r="E394" s="744"/>
      <c r="F394" s="762" t="s">
        <v>4053</v>
      </c>
      <c r="G394" s="745">
        <f>SUM(G395)</f>
        <v>0</v>
      </c>
      <c r="H394" s="745">
        <f>SUM(H395)</f>
        <v>0</v>
      </c>
      <c r="I394" s="745">
        <f t="shared" si="18"/>
        <v>0</v>
      </c>
      <c r="J394" s="752"/>
    </row>
    <row r="395" spans="1:10" ht="51" x14ac:dyDescent="0.25">
      <c r="A395" s="747">
        <v>2</v>
      </c>
      <c r="B395" s="748">
        <v>6</v>
      </c>
      <c r="C395" s="748">
        <v>5</v>
      </c>
      <c r="D395" s="748">
        <v>6</v>
      </c>
      <c r="E395" s="749" t="s">
        <v>2221</v>
      </c>
      <c r="F395" s="753" t="s">
        <v>4053</v>
      </c>
      <c r="G395" s="875">
        <f>'[12]CUENTA T FONDO 100'!HH127</f>
        <v>0</v>
      </c>
      <c r="H395" s="875">
        <f>'[12]CUENTA T VS'!HH89</f>
        <v>0</v>
      </c>
      <c r="I395" s="875">
        <f t="shared" si="18"/>
        <v>0</v>
      </c>
      <c r="J395" s="751">
        <f>I395/$I$25</f>
        <v>0</v>
      </c>
    </row>
    <row r="396" spans="1:10" ht="38.25" x14ac:dyDescent="0.25">
      <c r="A396" s="743">
        <v>2</v>
      </c>
      <c r="B396" s="744">
        <v>6</v>
      </c>
      <c r="C396" s="744">
        <v>5</v>
      </c>
      <c r="D396" s="744">
        <v>7</v>
      </c>
      <c r="E396" s="744"/>
      <c r="F396" s="762" t="s">
        <v>2702</v>
      </c>
      <c r="G396" s="745">
        <f>SUM(G397)</f>
        <v>0</v>
      </c>
      <c r="H396" s="745">
        <f>SUM(H397)</f>
        <v>0</v>
      </c>
      <c r="I396" s="745">
        <f t="shared" si="18"/>
        <v>0</v>
      </c>
      <c r="J396" s="752"/>
    </row>
    <row r="397" spans="1:10" ht="38.25" x14ac:dyDescent="0.25">
      <c r="A397" s="747">
        <v>2</v>
      </c>
      <c r="B397" s="748">
        <v>6</v>
      </c>
      <c r="C397" s="748">
        <v>5</v>
      </c>
      <c r="D397" s="748">
        <v>7</v>
      </c>
      <c r="E397" s="749" t="s">
        <v>2221</v>
      </c>
      <c r="F397" s="753" t="s">
        <v>2702</v>
      </c>
      <c r="G397" s="875">
        <f>'[12]CUENTA T FONDO 100'!HI127</f>
        <v>0</v>
      </c>
      <c r="H397" s="875">
        <f>'[12]CUENTA T VS'!HI89</f>
        <v>0</v>
      </c>
      <c r="I397" s="875">
        <f t="shared" si="18"/>
        <v>0</v>
      </c>
      <c r="J397" s="751">
        <f>I397/$I$25</f>
        <v>0</v>
      </c>
    </row>
    <row r="398" spans="1:10" ht="25.5" x14ac:dyDescent="0.25">
      <c r="A398" s="743">
        <v>2</v>
      </c>
      <c r="B398" s="744">
        <v>6</v>
      </c>
      <c r="C398" s="744">
        <v>5</v>
      </c>
      <c r="D398" s="744">
        <v>8</v>
      </c>
      <c r="E398" s="744"/>
      <c r="F398" s="762" t="s">
        <v>4054</v>
      </c>
      <c r="G398" s="745">
        <f>SUM(G399)</f>
        <v>0</v>
      </c>
      <c r="H398" s="745">
        <f>SUM(H399)</f>
        <v>0</v>
      </c>
      <c r="I398" s="745">
        <f t="shared" si="18"/>
        <v>0</v>
      </c>
      <c r="J398" s="752"/>
    </row>
    <row r="399" spans="1:10" ht="25.5" x14ac:dyDescent="0.25">
      <c r="A399" s="747">
        <v>2</v>
      </c>
      <c r="B399" s="748">
        <v>6</v>
      </c>
      <c r="C399" s="748">
        <v>5</v>
      </c>
      <c r="D399" s="748">
        <v>8</v>
      </c>
      <c r="E399" s="749" t="s">
        <v>2221</v>
      </c>
      <c r="F399" s="753" t="s">
        <v>4054</v>
      </c>
      <c r="G399" s="875">
        <f>'[12]CUENTA T FONDO 100'!HJ127</f>
        <v>0</v>
      </c>
      <c r="H399" s="875">
        <f>'[12]CUENTA T VS'!HJ89</f>
        <v>0</v>
      </c>
      <c r="I399" s="875">
        <f t="shared" si="18"/>
        <v>0</v>
      </c>
      <c r="J399" s="751">
        <f>I399/$I$25</f>
        <v>0</v>
      </c>
    </row>
    <row r="400" spans="1:10" ht="38.25" x14ac:dyDescent="0.25">
      <c r="A400" s="754">
        <v>2</v>
      </c>
      <c r="B400" s="742">
        <v>6</v>
      </c>
      <c r="C400" s="742">
        <v>6</v>
      </c>
      <c r="D400" s="742"/>
      <c r="E400" s="742"/>
      <c r="F400" s="763" t="s">
        <v>4055</v>
      </c>
      <c r="G400" s="874">
        <f>+G401+G403</f>
        <v>0</v>
      </c>
      <c r="H400" s="874">
        <f>+H401+H403</f>
        <v>0</v>
      </c>
      <c r="I400" s="874">
        <f t="shared" si="18"/>
        <v>0</v>
      </c>
      <c r="J400" s="740">
        <f>I400/$I$25</f>
        <v>0</v>
      </c>
    </row>
    <row r="401" spans="1:10" ht="25.5" x14ac:dyDescent="0.25">
      <c r="A401" s="755">
        <v>2</v>
      </c>
      <c r="B401" s="744">
        <v>6</v>
      </c>
      <c r="C401" s="744">
        <v>6</v>
      </c>
      <c r="D401" s="744">
        <v>1</v>
      </c>
      <c r="E401" s="758"/>
      <c r="F401" s="762" t="s">
        <v>4056</v>
      </c>
      <c r="G401" s="745">
        <f>+G402</f>
        <v>0</v>
      </c>
      <c r="H401" s="745">
        <f>+H402</f>
        <v>0</v>
      </c>
      <c r="I401" s="745">
        <f t="shared" si="18"/>
        <v>0</v>
      </c>
      <c r="J401" s="752"/>
    </row>
    <row r="402" spans="1:10" ht="25.5" x14ac:dyDescent="0.25">
      <c r="A402" s="756">
        <v>2</v>
      </c>
      <c r="B402" s="748">
        <v>6</v>
      </c>
      <c r="C402" s="748">
        <v>6</v>
      </c>
      <c r="D402" s="748">
        <v>1</v>
      </c>
      <c r="E402" s="748" t="s">
        <v>4057</v>
      </c>
      <c r="F402" s="753" t="s">
        <v>4056</v>
      </c>
      <c r="G402" s="875">
        <f>'[12]CUENTA T FONDO 100'!HK127</f>
        <v>0</v>
      </c>
      <c r="H402" s="875">
        <f>'[12]CUENTA T VS'!HK89</f>
        <v>0</v>
      </c>
      <c r="I402" s="875">
        <f t="shared" si="18"/>
        <v>0</v>
      </c>
      <c r="J402" s="751">
        <f>I402/$I$25</f>
        <v>0</v>
      </c>
    </row>
    <row r="403" spans="1:10" ht="25.5" x14ac:dyDescent="0.25">
      <c r="A403" s="755">
        <v>2</v>
      </c>
      <c r="B403" s="744">
        <v>6</v>
      </c>
      <c r="C403" s="744">
        <v>6</v>
      </c>
      <c r="D403" s="744">
        <v>2</v>
      </c>
      <c r="E403" s="758"/>
      <c r="F403" s="762" t="s">
        <v>4058</v>
      </c>
      <c r="G403" s="745">
        <f>+G404</f>
        <v>0</v>
      </c>
      <c r="H403" s="745">
        <f>+H404</f>
        <v>0</v>
      </c>
      <c r="I403" s="745">
        <f t="shared" si="18"/>
        <v>0</v>
      </c>
      <c r="J403" s="752"/>
    </row>
    <row r="404" spans="1:10" ht="25.5" x14ac:dyDescent="0.25">
      <c r="A404" s="756">
        <v>2</v>
      </c>
      <c r="B404" s="748">
        <v>6</v>
      </c>
      <c r="C404" s="748">
        <v>6</v>
      </c>
      <c r="D404" s="748">
        <v>2</v>
      </c>
      <c r="E404" s="748" t="s">
        <v>4057</v>
      </c>
      <c r="F404" s="753" t="s">
        <v>4058</v>
      </c>
      <c r="G404" s="875">
        <f>'[12]CUENTA T FONDO 100'!HL127</f>
        <v>0</v>
      </c>
      <c r="H404" s="875">
        <f>'[12]CUENTA T VS'!HL89</f>
        <v>0</v>
      </c>
      <c r="I404" s="875">
        <f t="shared" si="18"/>
        <v>0</v>
      </c>
      <c r="J404" s="751">
        <f>I404/$I$25</f>
        <v>0</v>
      </c>
    </row>
    <row r="405" spans="1:10" ht="38.25" x14ac:dyDescent="0.25">
      <c r="A405" s="741">
        <v>2</v>
      </c>
      <c r="B405" s="742">
        <v>6</v>
      </c>
      <c r="C405" s="742">
        <v>7</v>
      </c>
      <c r="D405" s="742"/>
      <c r="E405" s="759"/>
      <c r="F405" s="763" t="s">
        <v>4059</v>
      </c>
      <c r="G405" s="874">
        <f>+G406+G408+G410+G412+G414+G416+G418+G420+G422</f>
        <v>0</v>
      </c>
      <c r="H405" s="874">
        <f>+H406+H408+H410+H412+H414+H416+H418+H420+H422</f>
        <v>0</v>
      </c>
      <c r="I405" s="874">
        <f t="shared" si="18"/>
        <v>0</v>
      </c>
      <c r="J405" s="740"/>
    </row>
    <row r="406" spans="1:10" x14ac:dyDescent="0.25">
      <c r="A406" s="743">
        <v>2</v>
      </c>
      <c r="B406" s="744">
        <v>6</v>
      </c>
      <c r="C406" s="744">
        <v>7</v>
      </c>
      <c r="D406" s="744">
        <v>1</v>
      </c>
      <c r="E406" s="744"/>
      <c r="F406" s="762" t="s">
        <v>4060</v>
      </c>
      <c r="G406" s="745">
        <f>SUM(G407)</f>
        <v>0</v>
      </c>
      <c r="H406" s="745">
        <f>SUM(H407)</f>
        <v>0</v>
      </c>
      <c r="I406" s="745">
        <f t="shared" si="18"/>
        <v>0</v>
      </c>
      <c r="J406" s="752"/>
    </row>
    <row r="407" spans="1:10" x14ac:dyDescent="0.25">
      <c r="A407" s="747">
        <v>2</v>
      </c>
      <c r="B407" s="748">
        <v>6</v>
      </c>
      <c r="C407" s="748">
        <v>7</v>
      </c>
      <c r="D407" s="748">
        <v>1</v>
      </c>
      <c r="E407" s="749" t="s">
        <v>2221</v>
      </c>
      <c r="F407" s="753" t="s">
        <v>4060</v>
      </c>
      <c r="G407" s="875">
        <f>'[12]CUENTA T FONDO 100'!HM127</f>
        <v>0</v>
      </c>
      <c r="H407" s="875">
        <f>'[12]CUENTA T VS'!HM89</f>
        <v>0</v>
      </c>
      <c r="I407" s="875">
        <f t="shared" si="18"/>
        <v>0</v>
      </c>
      <c r="J407" s="751">
        <f>I407/$I$25</f>
        <v>0</v>
      </c>
    </row>
    <row r="408" spans="1:10" x14ac:dyDescent="0.25">
      <c r="A408" s="755">
        <v>2</v>
      </c>
      <c r="B408" s="744">
        <v>6</v>
      </c>
      <c r="C408" s="744">
        <v>7</v>
      </c>
      <c r="D408" s="744">
        <v>2</v>
      </c>
      <c r="E408" s="744"/>
      <c r="F408" s="762" t="s">
        <v>4061</v>
      </c>
      <c r="G408" s="745">
        <f>SUM(G409)</f>
        <v>0</v>
      </c>
      <c r="H408" s="745">
        <f>SUM(H409)</f>
        <v>0</v>
      </c>
      <c r="I408" s="745">
        <f t="shared" si="18"/>
        <v>0</v>
      </c>
      <c r="J408" s="752"/>
    </row>
    <row r="409" spans="1:10" x14ac:dyDescent="0.25">
      <c r="A409" s="756">
        <v>2</v>
      </c>
      <c r="B409" s="748">
        <v>6</v>
      </c>
      <c r="C409" s="748">
        <v>7</v>
      </c>
      <c r="D409" s="748">
        <v>2</v>
      </c>
      <c r="E409" s="749" t="s">
        <v>2221</v>
      </c>
      <c r="F409" s="753" t="s">
        <v>4061</v>
      </c>
      <c r="G409" s="875">
        <f>'[12]CUENTA T FONDO 100'!HN127</f>
        <v>0</v>
      </c>
      <c r="H409" s="875">
        <f>'[12]CUENTA T VS'!HN89</f>
        <v>0</v>
      </c>
      <c r="I409" s="875">
        <f t="shared" ref="I409:I472" si="19">SUM(G409:H409)</f>
        <v>0</v>
      </c>
      <c r="J409" s="751">
        <f>I409/$I$25</f>
        <v>0</v>
      </c>
    </row>
    <row r="410" spans="1:10" x14ac:dyDescent="0.25">
      <c r="A410" s="755">
        <v>2</v>
      </c>
      <c r="B410" s="744">
        <v>6</v>
      </c>
      <c r="C410" s="744">
        <v>7</v>
      </c>
      <c r="D410" s="744">
        <v>3</v>
      </c>
      <c r="E410" s="744"/>
      <c r="F410" s="762" t="s">
        <v>4062</v>
      </c>
      <c r="G410" s="745">
        <f>SUM(G411)</f>
        <v>0</v>
      </c>
      <c r="H410" s="745">
        <f>SUM(H411)</f>
        <v>0</v>
      </c>
      <c r="I410" s="745">
        <f t="shared" si="19"/>
        <v>0</v>
      </c>
      <c r="J410" s="752"/>
    </row>
    <row r="411" spans="1:10" x14ac:dyDescent="0.25">
      <c r="A411" s="756">
        <v>2</v>
      </c>
      <c r="B411" s="748">
        <v>6</v>
      </c>
      <c r="C411" s="748">
        <v>7</v>
      </c>
      <c r="D411" s="748">
        <v>3</v>
      </c>
      <c r="E411" s="749" t="s">
        <v>2221</v>
      </c>
      <c r="F411" s="753" t="s">
        <v>4062</v>
      </c>
      <c r="G411" s="875">
        <f>'[12]CUENTA T FONDO 100'!HO127</f>
        <v>0</v>
      </c>
      <c r="H411" s="875">
        <f>'[12]CUENTA T VS'!HO89</f>
        <v>0</v>
      </c>
      <c r="I411" s="875">
        <f t="shared" si="19"/>
        <v>0</v>
      </c>
      <c r="J411" s="751">
        <f>I411/$I$25</f>
        <v>0</v>
      </c>
    </row>
    <row r="412" spans="1:10" ht="25.5" x14ac:dyDescent="0.25">
      <c r="A412" s="755">
        <v>2</v>
      </c>
      <c r="B412" s="744">
        <v>6</v>
      </c>
      <c r="C412" s="744">
        <v>7</v>
      </c>
      <c r="D412" s="744">
        <v>4</v>
      </c>
      <c r="E412" s="744"/>
      <c r="F412" s="762" t="s">
        <v>4063</v>
      </c>
      <c r="G412" s="745">
        <f>SUM(G413)</f>
        <v>0</v>
      </c>
      <c r="H412" s="745">
        <f>SUM(H413)</f>
        <v>0</v>
      </c>
      <c r="I412" s="745">
        <f t="shared" si="19"/>
        <v>0</v>
      </c>
      <c r="J412" s="752"/>
    </row>
    <row r="413" spans="1:10" ht="25.5" x14ac:dyDescent="0.25">
      <c r="A413" s="756">
        <v>2</v>
      </c>
      <c r="B413" s="748">
        <v>6</v>
      </c>
      <c r="C413" s="748">
        <v>7</v>
      </c>
      <c r="D413" s="748">
        <v>4</v>
      </c>
      <c r="E413" s="749" t="s">
        <v>2221</v>
      </c>
      <c r="F413" s="753" t="s">
        <v>4063</v>
      </c>
      <c r="G413" s="875">
        <f>'[12]CUENTA T FONDO 100'!HP127</f>
        <v>0</v>
      </c>
      <c r="H413" s="875">
        <f>'[12]CUENTA T VS'!HP89</f>
        <v>0</v>
      </c>
      <c r="I413" s="875">
        <f t="shared" si="19"/>
        <v>0</v>
      </c>
      <c r="J413" s="751">
        <f>I413/$I$25</f>
        <v>0</v>
      </c>
    </row>
    <row r="414" spans="1:10" ht="25.5" x14ac:dyDescent="0.25">
      <c r="A414" s="755">
        <v>2</v>
      </c>
      <c r="B414" s="744">
        <v>6</v>
      </c>
      <c r="C414" s="744">
        <v>7</v>
      </c>
      <c r="D414" s="744">
        <v>5</v>
      </c>
      <c r="E414" s="744"/>
      <c r="F414" s="762" t="s">
        <v>4064</v>
      </c>
      <c r="G414" s="745">
        <f>SUM(G415)</f>
        <v>0</v>
      </c>
      <c r="H414" s="745">
        <f>SUM(H415)</f>
        <v>0</v>
      </c>
      <c r="I414" s="745">
        <f t="shared" si="19"/>
        <v>0</v>
      </c>
      <c r="J414" s="752"/>
    </row>
    <row r="415" spans="1:10" ht="25.5" x14ac:dyDescent="0.25">
      <c r="A415" s="756">
        <v>2</v>
      </c>
      <c r="B415" s="748">
        <v>6</v>
      </c>
      <c r="C415" s="748">
        <v>7</v>
      </c>
      <c r="D415" s="748">
        <v>5</v>
      </c>
      <c r="E415" s="749" t="s">
        <v>2221</v>
      </c>
      <c r="F415" s="753" t="s">
        <v>4064</v>
      </c>
      <c r="G415" s="875">
        <f>'[12]CUENTA T FONDO 100'!HQ127</f>
        <v>0</v>
      </c>
      <c r="H415" s="875">
        <f>'[12]CUENTA T VS'!HQ89</f>
        <v>0</v>
      </c>
      <c r="I415" s="875">
        <f t="shared" si="19"/>
        <v>0</v>
      </c>
      <c r="J415" s="751">
        <f>I415/$I$25</f>
        <v>0</v>
      </c>
    </row>
    <row r="416" spans="1:10" x14ac:dyDescent="0.25">
      <c r="A416" s="755">
        <v>2</v>
      </c>
      <c r="B416" s="744">
        <v>6</v>
      </c>
      <c r="C416" s="744">
        <v>7</v>
      </c>
      <c r="D416" s="744">
        <v>6</v>
      </c>
      <c r="E416" s="744"/>
      <c r="F416" s="762" t="s">
        <v>4065</v>
      </c>
      <c r="G416" s="745">
        <f>SUM(G417)</f>
        <v>0</v>
      </c>
      <c r="H416" s="745">
        <f>SUM(H417)</f>
        <v>0</v>
      </c>
      <c r="I416" s="745">
        <f t="shared" si="19"/>
        <v>0</v>
      </c>
      <c r="J416" s="752"/>
    </row>
    <row r="417" spans="1:10" x14ac:dyDescent="0.25">
      <c r="A417" s="756">
        <v>2</v>
      </c>
      <c r="B417" s="748">
        <v>6</v>
      </c>
      <c r="C417" s="748">
        <v>7</v>
      </c>
      <c r="D417" s="748">
        <v>6</v>
      </c>
      <c r="E417" s="749" t="s">
        <v>2221</v>
      </c>
      <c r="F417" s="753" t="s">
        <v>4065</v>
      </c>
      <c r="G417" s="875">
        <f>'[12]CUENTA T FONDO 100'!HR127</f>
        <v>0</v>
      </c>
      <c r="H417" s="875">
        <f>'[12]CUENTA T VS'!HR89</f>
        <v>0</v>
      </c>
      <c r="I417" s="875">
        <f t="shared" si="19"/>
        <v>0</v>
      </c>
      <c r="J417" s="751">
        <f>I417/$I$25</f>
        <v>0</v>
      </c>
    </row>
    <row r="418" spans="1:10" ht="38.25" x14ac:dyDescent="0.25">
      <c r="A418" s="755">
        <v>2</v>
      </c>
      <c r="B418" s="744">
        <v>6</v>
      </c>
      <c r="C418" s="744">
        <v>7</v>
      </c>
      <c r="D418" s="744">
        <v>7</v>
      </c>
      <c r="E418" s="744"/>
      <c r="F418" s="762" t="s">
        <v>4066</v>
      </c>
      <c r="G418" s="745">
        <f>SUM(G419)</f>
        <v>0</v>
      </c>
      <c r="H418" s="745">
        <f>SUM(H419)</f>
        <v>0</v>
      </c>
      <c r="I418" s="745">
        <f t="shared" si="19"/>
        <v>0</v>
      </c>
      <c r="J418" s="752"/>
    </row>
    <row r="419" spans="1:10" ht="38.25" x14ac:dyDescent="0.25">
      <c r="A419" s="756">
        <v>2</v>
      </c>
      <c r="B419" s="748">
        <v>6</v>
      </c>
      <c r="C419" s="748">
        <v>7</v>
      </c>
      <c r="D419" s="748">
        <v>7</v>
      </c>
      <c r="E419" s="749" t="s">
        <v>2221</v>
      </c>
      <c r="F419" s="753" t="s">
        <v>4066</v>
      </c>
      <c r="G419" s="875">
        <f>'[12]CUENTA T FONDO 100'!HS127</f>
        <v>0</v>
      </c>
      <c r="H419" s="875">
        <f>'[12]CUENTA T VS'!HS89</f>
        <v>0</v>
      </c>
      <c r="I419" s="875">
        <f t="shared" si="19"/>
        <v>0</v>
      </c>
      <c r="J419" s="751">
        <f>I419/$I$25</f>
        <v>0</v>
      </c>
    </row>
    <row r="420" spans="1:10" ht="63.75" x14ac:dyDescent="0.25">
      <c r="A420" s="755">
        <v>2</v>
      </c>
      <c r="B420" s="744">
        <v>6</v>
      </c>
      <c r="C420" s="744">
        <v>7</v>
      </c>
      <c r="D420" s="744">
        <v>8</v>
      </c>
      <c r="E420" s="744"/>
      <c r="F420" s="762" t="s">
        <v>4067</v>
      </c>
      <c r="G420" s="745">
        <f>SUM(G421)</f>
        <v>0</v>
      </c>
      <c r="H420" s="745">
        <f>SUM(H421)</f>
        <v>0</v>
      </c>
      <c r="I420" s="745">
        <f t="shared" si="19"/>
        <v>0</v>
      </c>
      <c r="J420" s="752"/>
    </row>
    <row r="421" spans="1:10" ht="63.75" x14ac:dyDescent="0.25">
      <c r="A421" s="756">
        <v>2</v>
      </c>
      <c r="B421" s="748">
        <v>6</v>
      </c>
      <c r="C421" s="748">
        <v>7</v>
      </c>
      <c r="D421" s="748">
        <v>8</v>
      </c>
      <c r="E421" s="749" t="s">
        <v>2221</v>
      </c>
      <c r="F421" s="753" t="s">
        <v>4067</v>
      </c>
      <c r="G421" s="875">
        <f>'[12]CUENTA T FONDO 100'!HT127</f>
        <v>0</v>
      </c>
      <c r="H421" s="875">
        <f>'[12]CUENTA T VS'!HT89</f>
        <v>0</v>
      </c>
      <c r="I421" s="875">
        <f t="shared" si="19"/>
        <v>0</v>
      </c>
      <c r="J421" s="751">
        <f>I421/$I$25</f>
        <v>0</v>
      </c>
    </row>
    <row r="422" spans="1:10" ht="76.5" x14ac:dyDescent="0.25">
      <c r="A422" s="755">
        <v>2</v>
      </c>
      <c r="B422" s="744">
        <v>6</v>
      </c>
      <c r="C422" s="744">
        <v>7</v>
      </c>
      <c r="D422" s="744">
        <v>9</v>
      </c>
      <c r="E422" s="744"/>
      <c r="F422" s="762" t="s">
        <v>4068</v>
      </c>
      <c r="G422" s="745">
        <f>SUM(G423)</f>
        <v>0</v>
      </c>
      <c r="H422" s="745">
        <f>SUM(H423)</f>
        <v>0</v>
      </c>
      <c r="I422" s="745">
        <f t="shared" si="19"/>
        <v>0</v>
      </c>
      <c r="J422" s="752"/>
    </row>
    <row r="423" spans="1:10" ht="76.5" x14ac:dyDescent="0.25">
      <c r="A423" s="756">
        <v>2</v>
      </c>
      <c r="B423" s="748">
        <v>6</v>
      </c>
      <c r="C423" s="748">
        <v>7</v>
      </c>
      <c r="D423" s="748">
        <v>9</v>
      </c>
      <c r="E423" s="749" t="s">
        <v>2221</v>
      </c>
      <c r="F423" s="753" t="s">
        <v>4068</v>
      </c>
      <c r="G423" s="875">
        <f>'[12]CUENTA T FONDO 100'!HU127</f>
        <v>0</v>
      </c>
      <c r="H423" s="875">
        <f>'[12]CUENTA T VS'!HU89</f>
        <v>0</v>
      </c>
      <c r="I423" s="875">
        <f t="shared" si="19"/>
        <v>0</v>
      </c>
      <c r="J423" s="751">
        <f>I423/$I$25</f>
        <v>0</v>
      </c>
    </row>
    <row r="424" spans="1:10" ht="25.5" x14ac:dyDescent="0.25">
      <c r="A424" s="754">
        <v>2</v>
      </c>
      <c r="B424" s="742">
        <v>6</v>
      </c>
      <c r="C424" s="742">
        <v>8</v>
      </c>
      <c r="D424" s="742"/>
      <c r="E424" s="742"/>
      <c r="F424" s="763" t="s">
        <v>4069</v>
      </c>
      <c r="G424" s="874">
        <f>G425+G427+G429+G432+G434+G436+G438+G440+G444</f>
        <v>0</v>
      </c>
      <c r="H424" s="874">
        <f>H425+H427+H429+H432+H434+H436+H438+H440+H444</f>
        <v>0</v>
      </c>
      <c r="I424" s="874">
        <f t="shared" si="19"/>
        <v>0</v>
      </c>
      <c r="J424" s="740"/>
    </row>
    <row r="425" spans="1:10" ht="38.25" x14ac:dyDescent="0.25">
      <c r="A425" s="755">
        <v>2</v>
      </c>
      <c r="B425" s="744">
        <v>6</v>
      </c>
      <c r="C425" s="744">
        <v>8</v>
      </c>
      <c r="D425" s="744">
        <v>1</v>
      </c>
      <c r="E425" s="744"/>
      <c r="F425" s="762" t="s">
        <v>4070</v>
      </c>
      <c r="G425" s="745">
        <f>+G426</f>
        <v>0</v>
      </c>
      <c r="H425" s="745">
        <f>+H426</f>
        <v>0</v>
      </c>
      <c r="I425" s="745">
        <f t="shared" si="19"/>
        <v>0</v>
      </c>
      <c r="J425" s="752"/>
    </row>
    <row r="426" spans="1:10" ht="38.25" x14ac:dyDescent="0.25">
      <c r="A426" s="756">
        <v>2</v>
      </c>
      <c r="B426" s="748">
        <v>6</v>
      </c>
      <c r="C426" s="748">
        <v>8</v>
      </c>
      <c r="D426" s="748">
        <v>1</v>
      </c>
      <c r="E426" s="749" t="s">
        <v>2221</v>
      </c>
      <c r="F426" s="753" t="s">
        <v>4070</v>
      </c>
      <c r="G426" s="875">
        <f>'[12]CUENTA T FONDO 100'!HV127</f>
        <v>0</v>
      </c>
      <c r="H426" s="875">
        <f>'[12]CUENTA T VS'!HV89</f>
        <v>0</v>
      </c>
      <c r="I426" s="875">
        <f t="shared" si="19"/>
        <v>0</v>
      </c>
      <c r="J426" s="751">
        <f>I426/$I$25</f>
        <v>0</v>
      </c>
    </row>
    <row r="427" spans="1:10" ht="38.25" x14ac:dyDescent="0.25">
      <c r="A427" s="755">
        <v>2</v>
      </c>
      <c r="B427" s="744">
        <v>6</v>
      </c>
      <c r="C427" s="744">
        <v>8</v>
      </c>
      <c r="D427" s="744">
        <v>2</v>
      </c>
      <c r="E427" s="744"/>
      <c r="F427" s="762" t="s">
        <v>4071</v>
      </c>
      <c r="G427" s="745">
        <f>+G428</f>
        <v>0</v>
      </c>
      <c r="H427" s="745">
        <f>+H428</f>
        <v>0</v>
      </c>
      <c r="I427" s="745">
        <f t="shared" si="19"/>
        <v>0</v>
      </c>
      <c r="J427" s="752"/>
    </row>
    <row r="428" spans="1:10" ht="38.25" x14ac:dyDescent="0.25">
      <c r="A428" s="756">
        <v>2</v>
      </c>
      <c r="B428" s="748">
        <v>6</v>
      </c>
      <c r="C428" s="748">
        <v>8</v>
      </c>
      <c r="D428" s="748">
        <v>2</v>
      </c>
      <c r="E428" s="749" t="s">
        <v>2221</v>
      </c>
      <c r="F428" s="753" t="s">
        <v>4071</v>
      </c>
      <c r="G428" s="875">
        <f>'[12]CUENTA T FONDO 100'!HW127</f>
        <v>0</v>
      </c>
      <c r="H428" s="875">
        <f>'[12]CUENTA T VS'!HW89</f>
        <v>0</v>
      </c>
      <c r="I428" s="875">
        <f t="shared" si="19"/>
        <v>0</v>
      </c>
      <c r="J428" s="751">
        <f>I428/$I$25</f>
        <v>0</v>
      </c>
    </row>
    <row r="429" spans="1:10" ht="63.75" x14ac:dyDescent="0.25">
      <c r="A429" s="755">
        <v>2</v>
      </c>
      <c r="B429" s="744">
        <v>6</v>
      </c>
      <c r="C429" s="744">
        <v>8</v>
      </c>
      <c r="D429" s="744">
        <v>3</v>
      </c>
      <c r="E429" s="744"/>
      <c r="F429" s="762" t="s">
        <v>4072</v>
      </c>
      <c r="G429" s="745">
        <f>SUM(G430:G431)</f>
        <v>0</v>
      </c>
      <c r="H429" s="745">
        <f>SUM(H430:H431)</f>
        <v>0</v>
      </c>
      <c r="I429" s="745">
        <f t="shared" si="19"/>
        <v>0</v>
      </c>
      <c r="J429" s="752"/>
    </row>
    <row r="430" spans="1:10" ht="38.25" x14ac:dyDescent="0.25">
      <c r="A430" s="756">
        <v>2</v>
      </c>
      <c r="B430" s="748">
        <v>6</v>
      </c>
      <c r="C430" s="748">
        <v>8</v>
      </c>
      <c r="D430" s="748">
        <v>3</v>
      </c>
      <c r="E430" s="749" t="s">
        <v>2221</v>
      </c>
      <c r="F430" s="753" t="s">
        <v>4073</v>
      </c>
      <c r="G430" s="875">
        <f>'[12]CUENTA T FONDO 100'!HX127</f>
        <v>0</v>
      </c>
      <c r="H430" s="875">
        <f>'[12]CUENTA T VS'!HX89</f>
        <v>0</v>
      </c>
      <c r="I430" s="875">
        <f t="shared" si="19"/>
        <v>0</v>
      </c>
      <c r="J430" s="751">
        <f>I430/$I$25</f>
        <v>0</v>
      </c>
    </row>
    <row r="431" spans="1:10" ht="25.5" x14ac:dyDescent="0.25">
      <c r="A431" s="756">
        <v>2</v>
      </c>
      <c r="B431" s="748">
        <v>6</v>
      </c>
      <c r="C431" s="748">
        <v>8</v>
      </c>
      <c r="D431" s="748">
        <v>3</v>
      </c>
      <c r="E431" s="749" t="s">
        <v>1733</v>
      </c>
      <c r="F431" s="753" t="s">
        <v>4074</v>
      </c>
      <c r="G431" s="875">
        <f>'[12]CUENTA T FONDO 100'!HY127</f>
        <v>0</v>
      </c>
      <c r="H431" s="875">
        <f>'[12]CUENTA T VS'!HY89</f>
        <v>0</v>
      </c>
      <c r="I431" s="875">
        <f t="shared" si="19"/>
        <v>0</v>
      </c>
      <c r="J431" s="751">
        <f>I431/$I$25</f>
        <v>0</v>
      </c>
    </row>
    <row r="432" spans="1:10" ht="63.75" x14ac:dyDescent="0.25">
      <c r="A432" s="755">
        <v>2</v>
      </c>
      <c r="B432" s="744">
        <v>6</v>
      </c>
      <c r="C432" s="744">
        <v>8</v>
      </c>
      <c r="D432" s="744">
        <v>4</v>
      </c>
      <c r="E432" s="744"/>
      <c r="F432" s="762" t="s">
        <v>4075</v>
      </c>
      <c r="G432" s="745">
        <f>+G433</f>
        <v>0</v>
      </c>
      <c r="H432" s="745">
        <f>+H433</f>
        <v>0</v>
      </c>
      <c r="I432" s="745">
        <f t="shared" si="19"/>
        <v>0</v>
      </c>
      <c r="J432" s="752"/>
    </row>
    <row r="433" spans="1:10" ht="63.75" x14ac:dyDescent="0.25">
      <c r="A433" s="756">
        <v>2</v>
      </c>
      <c r="B433" s="748">
        <v>6</v>
      </c>
      <c r="C433" s="748">
        <v>8</v>
      </c>
      <c r="D433" s="748">
        <v>4</v>
      </c>
      <c r="E433" s="749" t="s">
        <v>2221</v>
      </c>
      <c r="F433" s="753" t="s">
        <v>4075</v>
      </c>
      <c r="G433" s="875">
        <f>'[12]CUENTA T FONDO 100'!HZ127</f>
        <v>0</v>
      </c>
      <c r="H433" s="875">
        <f>'[12]CUENTA T VS'!HZ89</f>
        <v>0</v>
      </c>
      <c r="I433" s="875">
        <f t="shared" si="19"/>
        <v>0</v>
      </c>
      <c r="J433" s="751">
        <f>I433/$I$25</f>
        <v>0</v>
      </c>
    </row>
    <row r="434" spans="1:10" ht="25.5" x14ac:dyDescent="0.25">
      <c r="A434" s="755">
        <v>2</v>
      </c>
      <c r="B434" s="744">
        <v>6</v>
      </c>
      <c r="C434" s="744">
        <v>8</v>
      </c>
      <c r="D434" s="744">
        <v>5</v>
      </c>
      <c r="E434" s="744"/>
      <c r="F434" s="762" t="s">
        <v>4076</v>
      </c>
      <c r="G434" s="745">
        <f>+G435</f>
        <v>0</v>
      </c>
      <c r="H434" s="745">
        <f>+H435</f>
        <v>0</v>
      </c>
      <c r="I434" s="745">
        <f t="shared" si="19"/>
        <v>0</v>
      </c>
      <c r="J434" s="752"/>
    </row>
    <row r="435" spans="1:10" ht="25.5" x14ac:dyDescent="0.25">
      <c r="A435" s="756">
        <v>2</v>
      </c>
      <c r="B435" s="748">
        <v>6</v>
      </c>
      <c r="C435" s="748">
        <v>8</v>
      </c>
      <c r="D435" s="748">
        <v>5</v>
      </c>
      <c r="E435" s="749" t="s">
        <v>2221</v>
      </c>
      <c r="F435" s="753" t="s">
        <v>4076</v>
      </c>
      <c r="G435" s="875">
        <f>'[12]CUENTA T FONDO 100'!IA127</f>
        <v>0</v>
      </c>
      <c r="H435" s="875">
        <f>'[12]CUENTA T VS'!IA89</f>
        <v>0</v>
      </c>
      <c r="I435" s="875">
        <f t="shared" si="19"/>
        <v>0</v>
      </c>
      <c r="J435" s="751">
        <f>I435/$I$25</f>
        <v>0</v>
      </c>
    </row>
    <row r="436" spans="1:10" ht="25.5" x14ac:dyDescent="0.25">
      <c r="A436" s="755">
        <v>2</v>
      </c>
      <c r="B436" s="744">
        <v>6</v>
      </c>
      <c r="C436" s="744">
        <v>8</v>
      </c>
      <c r="D436" s="744">
        <v>6</v>
      </c>
      <c r="E436" s="744"/>
      <c r="F436" s="762" t="s">
        <v>4077</v>
      </c>
      <c r="G436" s="745">
        <f>+G437</f>
        <v>0</v>
      </c>
      <c r="H436" s="745">
        <f>+H437</f>
        <v>0</v>
      </c>
      <c r="I436" s="745">
        <f t="shared" si="19"/>
        <v>0</v>
      </c>
      <c r="J436" s="752"/>
    </row>
    <row r="437" spans="1:10" ht="25.5" x14ac:dyDescent="0.25">
      <c r="A437" s="756">
        <v>2</v>
      </c>
      <c r="B437" s="748">
        <v>6</v>
      </c>
      <c r="C437" s="748">
        <v>8</v>
      </c>
      <c r="D437" s="748">
        <v>6</v>
      </c>
      <c r="E437" s="749" t="s">
        <v>2221</v>
      </c>
      <c r="F437" s="753" t="s">
        <v>4077</v>
      </c>
      <c r="G437" s="875">
        <f>'[12]CUENTA T FONDO 100'!IB127</f>
        <v>0</v>
      </c>
      <c r="H437" s="875">
        <f>'[12]CUENTA T VS'!IB89</f>
        <v>0</v>
      </c>
      <c r="I437" s="875">
        <f t="shared" si="19"/>
        <v>0</v>
      </c>
      <c r="J437" s="751">
        <f>I437/$I$25</f>
        <v>0</v>
      </c>
    </row>
    <row r="438" spans="1:10" x14ac:dyDescent="0.25">
      <c r="A438" s="755">
        <v>2</v>
      </c>
      <c r="B438" s="744">
        <v>6</v>
      </c>
      <c r="C438" s="744">
        <v>8</v>
      </c>
      <c r="D438" s="744">
        <v>7</v>
      </c>
      <c r="E438" s="744"/>
      <c r="F438" s="762" t="s">
        <v>4078</v>
      </c>
      <c r="G438" s="745">
        <f>+G439</f>
        <v>0</v>
      </c>
      <c r="H438" s="745">
        <f>+H439</f>
        <v>0</v>
      </c>
      <c r="I438" s="745">
        <f t="shared" si="19"/>
        <v>0</v>
      </c>
      <c r="J438" s="752"/>
    </row>
    <row r="439" spans="1:10" x14ac:dyDescent="0.25">
      <c r="A439" s="756">
        <v>2</v>
      </c>
      <c r="B439" s="748">
        <v>6</v>
      </c>
      <c r="C439" s="748">
        <v>8</v>
      </c>
      <c r="D439" s="748">
        <v>7</v>
      </c>
      <c r="E439" s="749" t="s">
        <v>2221</v>
      </c>
      <c r="F439" s="753" t="s">
        <v>4078</v>
      </c>
      <c r="G439" s="875">
        <f>'[12]CUENTA T FONDO 100'!IC127</f>
        <v>0</v>
      </c>
      <c r="H439" s="875">
        <f>'[12]CUENTA T VS'!IC89</f>
        <v>0</v>
      </c>
      <c r="I439" s="875">
        <f t="shared" si="19"/>
        <v>0</v>
      </c>
      <c r="J439" s="751">
        <f>I439/$I$25</f>
        <v>0</v>
      </c>
    </row>
    <row r="440" spans="1:10" ht="63.75" x14ac:dyDescent="0.25">
      <c r="A440" s="743">
        <v>2</v>
      </c>
      <c r="B440" s="744">
        <v>6</v>
      </c>
      <c r="C440" s="744">
        <v>8</v>
      </c>
      <c r="D440" s="744">
        <v>8</v>
      </c>
      <c r="E440" s="744"/>
      <c r="F440" s="762" t="s">
        <v>4079</v>
      </c>
      <c r="G440" s="745">
        <f>SUM(G441:G443)</f>
        <v>0</v>
      </c>
      <c r="H440" s="745">
        <f>SUM(H441:H443)</f>
        <v>0</v>
      </c>
      <c r="I440" s="745">
        <f t="shared" si="19"/>
        <v>0</v>
      </c>
      <c r="J440" s="752"/>
    </row>
    <row r="441" spans="1:10" x14ac:dyDescent="0.25">
      <c r="A441" s="756">
        <v>2</v>
      </c>
      <c r="B441" s="748">
        <v>6</v>
      </c>
      <c r="C441" s="748">
        <v>8</v>
      </c>
      <c r="D441" s="748">
        <v>8</v>
      </c>
      <c r="E441" s="748" t="s">
        <v>4080</v>
      </c>
      <c r="F441" s="753" t="s">
        <v>4081</v>
      </c>
      <c r="G441" s="875">
        <f>'[12]CUENTA T FONDO 100'!ID127</f>
        <v>0</v>
      </c>
      <c r="H441" s="875">
        <f>'[12]CUENTA T VS'!ID89</f>
        <v>0</v>
      </c>
      <c r="I441" s="875">
        <f t="shared" si="19"/>
        <v>0</v>
      </c>
      <c r="J441" s="751">
        <f>I441/$I$25</f>
        <v>0</v>
      </c>
    </row>
    <row r="442" spans="1:10" x14ac:dyDescent="0.25">
      <c r="A442" s="756">
        <v>2</v>
      </c>
      <c r="B442" s="748">
        <v>6</v>
      </c>
      <c r="C442" s="748">
        <v>8</v>
      </c>
      <c r="D442" s="748">
        <v>8</v>
      </c>
      <c r="E442" s="748" t="s">
        <v>4082</v>
      </c>
      <c r="F442" s="753" t="s">
        <v>4083</v>
      </c>
      <c r="G442" s="875">
        <f>'[12]CUENTA T FONDO 100'!IE127</f>
        <v>0</v>
      </c>
      <c r="H442" s="875">
        <f>'[12]CUENTA T VS'!IE89</f>
        <v>0</v>
      </c>
      <c r="I442" s="875">
        <f t="shared" si="19"/>
        <v>0</v>
      </c>
      <c r="J442" s="751">
        <f>I442/$I$25</f>
        <v>0</v>
      </c>
    </row>
    <row r="443" spans="1:10" x14ac:dyDescent="0.25">
      <c r="A443" s="756">
        <v>2</v>
      </c>
      <c r="B443" s="748">
        <v>6</v>
      </c>
      <c r="C443" s="748">
        <v>8</v>
      </c>
      <c r="D443" s="748">
        <v>8</v>
      </c>
      <c r="E443" s="748" t="s">
        <v>4084</v>
      </c>
      <c r="F443" s="753" t="s">
        <v>4085</v>
      </c>
      <c r="G443" s="875">
        <f>'[12]CUENTA T FONDO 100'!IF127</f>
        <v>0</v>
      </c>
      <c r="H443" s="875">
        <f>'[12]CUENTA T VS'!IF89</f>
        <v>0</v>
      </c>
      <c r="I443" s="875">
        <f t="shared" si="19"/>
        <v>0</v>
      </c>
      <c r="J443" s="751">
        <f>I443/$I$25</f>
        <v>0</v>
      </c>
    </row>
    <row r="444" spans="1:10" ht="38.25" x14ac:dyDescent="0.25">
      <c r="A444" s="755">
        <v>2</v>
      </c>
      <c r="B444" s="744">
        <v>6</v>
      </c>
      <c r="C444" s="744">
        <v>8</v>
      </c>
      <c r="D444" s="744">
        <v>9</v>
      </c>
      <c r="E444" s="744"/>
      <c r="F444" s="762" t="s">
        <v>4086</v>
      </c>
      <c r="G444" s="745">
        <f>+G445</f>
        <v>0</v>
      </c>
      <c r="H444" s="745">
        <f>+H445</f>
        <v>0</v>
      </c>
      <c r="I444" s="745">
        <f t="shared" si="19"/>
        <v>0</v>
      </c>
      <c r="J444" s="752"/>
    </row>
    <row r="445" spans="1:10" ht="38.25" x14ac:dyDescent="0.25">
      <c r="A445" s="756">
        <v>2</v>
      </c>
      <c r="B445" s="748">
        <v>6</v>
      </c>
      <c r="C445" s="748">
        <v>8</v>
      </c>
      <c r="D445" s="748">
        <v>9</v>
      </c>
      <c r="E445" s="748" t="s">
        <v>4057</v>
      </c>
      <c r="F445" s="753" t="s">
        <v>4086</v>
      </c>
      <c r="G445" s="875">
        <f>'[12]CUENTA T FONDO 100'!IG127</f>
        <v>0</v>
      </c>
      <c r="H445" s="875">
        <f>'[12]CUENTA T VS'!IG89</f>
        <v>0</v>
      </c>
      <c r="I445" s="875">
        <f t="shared" si="19"/>
        <v>0</v>
      </c>
      <c r="J445" s="751">
        <f>I445/$I$25</f>
        <v>0</v>
      </c>
    </row>
    <row r="446" spans="1:10" ht="25.5" x14ac:dyDescent="0.25">
      <c r="A446" s="741">
        <v>2</v>
      </c>
      <c r="B446" s="742">
        <v>6</v>
      </c>
      <c r="C446" s="742">
        <v>9</v>
      </c>
      <c r="D446" s="742"/>
      <c r="E446" s="759"/>
      <c r="F446" s="763" t="s">
        <v>4087</v>
      </c>
      <c r="G446" s="874">
        <f>+G447+G450+G453+G455+G457+G461</f>
        <v>0</v>
      </c>
      <c r="H446" s="874">
        <f>+H447+H450+H453+H455+H457+H461</f>
        <v>0</v>
      </c>
      <c r="I446" s="874">
        <f t="shared" si="19"/>
        <v>0</v>
      </c>
      <c r="J446" s="740"/>
    </row>
    <row r="447" spans="1:10" ht="38.25" x14ac:dyDescent="0.25">
      <c r="A447" s="755">
        <v>2</v>
      </c>
      <c r="B447" s="744">
        <v>6</v>
      </c>
      <c r="C447" s="744">
        <v>9</v>
      </c>
      <c r="D447" s="744">
        <v>1</v>
      </c>
      <c r="E447" s="744"/>
      <c r="F447" s="762" t="s">
        <v>4088</v>
      </c>
      <c r="G447" s="745">
        <f>+G448+G449</f>
        <v>0</v>
      </c>
      <c r="H447" s="745">
        <f t="shared" ref="H447" si="20">+H448+H449</f>
        <v>0</v>
      </c>
      <c r="I447" s="745">
        <f t="shared" si="19"/>
        <v>0</v>
      </c>
      <c r="J447" s="745"/>
    </row>
    <row r="448" spans="1:10" ht="38.25" x14ac:dyDescent="0.25">
      <c r="A448" s="767">
        <v>2</v>
      </c>
      <c r="B448" s="768">
        <v>6</v>
      </c>
      <c r="C448" s="768">
        <v>9</v>
      </c>
      <c r="D448" s="768">
        <v>1</v>
      </c>
      <c r="E448" s="768" t="s">
        <v>2221</v>
      </c>
      <c r="F448" s="769" t="s">
        <v>4088</v>
      </c>
      <c r="G448" s="875">
        <f>'[12]CUENTA T FONDO 100'!IH127</f>
        <v>0</v>
      </c>
      <c r="H448" s="876">
        <f>'[12]CUENTA T VS'!IH89</f>
        <v>0</v>
      </c>
      <c r="I448" s="876">
        <f t="shared" si="19"/>
        <v>0</v>
      </c>
      <c r="J448" s="751">
        <f>I448/$I$25</f>
        <v>0</v>
      </c>
    </row>
    <row r="449" spans="1:10" ht="51" x14ac:dyDescent="0.25">
      <c r="A449" s="767">
        <v>2</v>
      </c>
      <c r="B449" s="768">
        <v>6</v>
      </c>
      <c r="C449" s="768">
        <v>9</v>
      </c>
      <c r="D449" s="768">
        <v>1</v>
      </c>
      <c r="E449" s="768" t="s">
        <v>1733</v>
      </c>
      <c r="F449" s="769" t="s">
        <v>4089</v>
      </c>
      <c r="G449" s="875">
        <f>'[12]CUENTA T FONDO 100'!II127</f>
        <v>0</v>
      </c>
      <c r="H449" s="876">
        <f>'[12]CUENTA T VS'!II89</f>
        <v>0</v>
      </c>
      <c r="I449" s="876">
        <f t="shared" si="19"/>
        <v>0</v>
      </c>
      <c r="J449" s="751">
        <f>I449/$I$25</f>
        <v>0</v>
      </c>
    </row>
    <row r="450" spans="1:10" ht="38.25" x14ac:dyDescent="0.25">
      <c r="A450" s="755">
        <v>2</v>
      </c>
      <c r="B450" s="744">
        <v>6</v>
      </c>
      <c r="C450" s="744">
        <v>9</v>
      </c>
      <c r="D450" s="744">
        <v>2</v>
      </c>
      <c r="E450" s="744"/>
      <c r="F450" s="762" t="s">
        <v>4090</v>
      </c>
      <c r="G450" s="745">
        <f>SUM(G451:G452)</f>
        <v>0</v>
      </c>
      <c r="H450" s="745">
        <f t="shared" ref="H450" si="21">SUM(H451:H452)</f>
        <v>0</v>
      </c>
      <c r="I450" s="745">
        <f t="shared" si="19"/>
        <v>0</v>
      </c>
      <c r="J450" s="752"/>
    </row>
    <row r="451" spans="1:10" ht="38.25" x14ac:dyDescent="0.25">
      <c r="A451" s="756">
        <v>2</v>
      </c>
      <c r="B451" s="748">
        <v>6</v>
      </c>
      <c r="C451" s="748">
        <v>9</v>
      </c>
      <c r="D451" s="748">
        <v>2</v>
      </c>
      <c r="E451" s="749" t="s">
        <v>2221</v>
      </c>
      <c r="F451" s="753" t="s">
        <v>4090</v>
      </c>
      <c r="G451" s="875">
        <f>'[12]CUENTA T FONDO 100'!IJ127</f>
        <v>0</v>
      </c>
      <c r="H451" s="875">
        <f>'[12]CUENTA T VS'!IJ89</f>
        <v>0</v>
      </c>
      <c r="I451" s="875">
        <f t="shared" si="19"/>
        <v>0</v>
      </c>
      <c r="J451" s="751">
        <f>I451/$I$25</f>
        <v>0</v>
      </c>
    </row>
    <row r="452" spans="1:10" ht="63.75" x14ac:dyDescent="0.25">
      <c r="A452" s="756">
        <v>2</v>
      </c>
      <c r="B452" s="748">
        <v>6</v>
      </c>
      <c r="C452" s="748">
        <v>9</v>
      </c>
      <c r="D452" s="748">
        <v>2</v>
      </c>
      <c r="E452" s="749" t="s">
        <v>1733</v>
      </c>
      <c r="F452" s="753" t="s">
        <v>4091</v>
      </c>
      <c r="G452" s="875">
        <f>'[12]CUENTA T FONDO 100'!IK127</f>
        <v>0</v>
      </c>
      <c r="H452" s="875">
        <f>'[12]CUENTA T VS'!IK89</f>
        <v>0</v>
      </c>
      <c r="I452" s="875">
        <f t="shared" si="19"/>
        <v>0</v>
      </c>
      <c r="J452" s="751">
        <f>I452/$I$25</f>
        <v>0</v>
      </c>
    </row>
    <row r="453" spans="1:10" x14ac:dyDescent="0.25">
      <c r="A453" s="755">
        <v>2</v>
      </c>
      <c r="B453" s="744">
        <v>6</v>
      </c>
      <c r="C453" s="744">
        <v>9</v>
      </c>
      <c r="D453" s="744">
        <v>3</v>
      </c>
      <c r="E453" s="744"/>
      <c r="F453" s="762" t="s">
        <v>4092</v>
      </c>
      <c r="G453" s="745">
        <f>SUM(G454)</f>
        <v>0</v>
      </c>
      <c r="H453" s="745">
        <f>SUM(H454)</f>
        <v>0</v>
      </c>
      <c r="I453" s="745">
        <f t="shared" si="19"/>
        <v>0</v>
      </c>
      <c r="J453" s="745"/>
    </row>
    <row r="454" spans="1:10" x14ac:dyDescent="0.25">
      <c r="A454" s="756">
        <v>2</v>
      </c>
      <c r="B454" s="748">
        <v>6</v>
      </c>
      <c r="C454" s="748">
        <v>9</v>
      </c>
      <c r="D454" s="748">
        <v>3</v>
      </c>
      <c r="E454" s="749" t="s">
        <v>2221</v>
      </c>
      <c r="F454" s="753" t="s">
        <v>4092</v>
      </c>
      <c r="G454" s="875">
        <f>'[12]CUENTA T FONDO 100'!IL127</f>
        <v>0</v>
      </c>
      <c r="H454" s="875">
        <f>'[12]CUENTA T VS'!IL89</f>
        <v>0</v>
      </c>
      <c r="I454" s="875">
        <f t="shared" si="19"/>
        <v>0</v>
      </c>
      <c r="J454" s="751">
        <f>I454/$I$25</f>
        <v>0</v>
      </c>
    </row>
    <row r="455" spans="1:10" x14ac:dyDescent="0.25">
      <c r="A455" s="755">
        <v>2</v>
      </c>
      <c r="B455" s="744">
        <v>6</v>
      </c>
      <c r="C455" s="744">
        <v>9</v>
      </c>
      <c r="D455" s="744">
        <v>4</v>
      </c>
      <c r="E455" s="744"/>
      <c r="F455" s="762" t="s">
        <v>4093</v>
      </c>
      <c r="G455" s="745">
        <f>SUM(G456)</f>
        <v>0</v>
      </c>
      <c r="H455" s="745">
        <f>SUM(H456)</f>
        <v>0</v>
      </c>
      <c r="I455" s="745">
        <f t="shared" si="19"/>
        <v>0</v>
      </c>
      <c r="J455" s="752"/>
    </row>
    <row r="456" spans="1:10" x14ac:dyDescent="0.25">
      <c r="A456" s="756">
        <v>2</v>
      </c>
      <c r="B456" s="748">
        <v>6</v>
      </c>
      <c r="C456" s="748">
        <v>9</v>
      </c>
      <c r="D456" s="748">
        <v>4</v>
      </c>
      <c r="E456" s="749" t="s">
        <v>2221</v>
      </c>
      <c r="F456" s="753" t="s">
        <v>4093</v>
      </c>
      <c r="G456" s="875">
        <f>'[12]CUENTA T FONDO 100'!IM127</f>
        <v>0</v>
      </c>
      <c r="H456" s="875">
        <f>'[12]CUENTA T VS'!IM89</f>
        <v>0</v>
      </c>
      <c r="I456" s="875">
        <f t="shared" si="19"/>
        <v>0</v>
      </c>
      <c r="J456" s="751">
        <f>I456/$I$25</f>
        <v>0</v>
      </c>
    </row>
    <row r="457" spans="1:10" ht="25.5" x14ac:dyDescent="0.25">
      <c r="A457" s="755">
        <v>2</v>
      </c>
      <c r="B457" s="744">
        <v>6</v>
      </c>
      <c r="C457" s="744">
        <v>9</v>
      </c>
      <c r="D457" s="744">
        <v>5</v>
      </c>
      <c r="E457" s="744"/>
      <c r="F457" s="762" t="s">
        <v>4094</v>
      </c>
      <c r="G457" s="745">
        <f>SUM(G458:G460)</f>
        <v>0</v>
      </c>
      <c r="H457" s="745">
        <f>SUM(H458:H460)</f>
        <v>0</v>
      </c>
      <c r="I457" s="745">
        <f t="shared" si="19"/>
        <v>0</v>
      </c>
      <c r="J457" s="752"/>
    </row>
    <row r="458" spans="1:10" ht="38.25" x14ac:dyDescent="0.25">
      <c r="A458" s="756">
        <v>2</v>
      </c>
      <c r="B458" s="748">
        <v>6</v>
      </c>
      <c r="C458" s="748">
        <v>9</v>
      </c>
      <c r="D458" s="748">
        <v>5</v>
      </c>
      <c r="E458" s="749" t="s">
        <v>2221</v>
      </c>
      <c r="F458" s="753" t="s">
        <v>4095</v>
      </c>
      <c r="G458" s="875">
        <f>'[12]CUENTA T FONDO 100'!IN127</f>
        <v>0</v>
      </c>
      <c r="H458" s="875">
        <f>'[12]CUENTA T VS'!IN89</f>
        <v>0</v>
      </c>
      <c r="I458" s="875">
        <f t="shared" si="19"/>
        <v>0</v>
      </c>
      <c r="J458" s="751">
        <f>I458/$I$25</f>
        <v>0</v>
      </c>
    </row>
    <row r="459" spans="1:10" ht="63.75" x14ac:dyDescent="0.25">
      <c r="A459" s="756">
        <v>2</v>
      </c>
      <c r="B459" s="748">
        <v>6</v>
      </c>
      <c r="C459" s="748">
        <v>9</v>
      </c>
      <c r="D459" s="748">
        <v>5</v>
      </c>
      <c r="E459" s="749" t="s">
        <v>1733</v>
      </c>
      <c r="F459" s="753" t="s">
        <v>4096</v>
      </c>
      <c r="G459" s="875">
        <f>'[12]CUENTA T FONDO 100'!IO127</f>
        <v>0</v>
      </c>
      <c r="H459" s="875">
        <f>'[12]CUENTA T VS'!IO89</f>
        <v>0</v>
      </c>
      <c r="I459" s="875">
        <f t="shared" si="19"/>
        <v>0</v>
      </c>
      <c r="J459" s="751">
        <f>I459/$I$25</f>
        <v>0</v>
      </c>
    </row>
    <row r="460" spans="1:10" ht="38.25" x14ac:dyDescent="0.25">
      <c r="A460" s="756">
        <v>2</v>
      </c>
      <c r="B460" s="748">
        <v>6</v>
      </c>
      <c r="C460" s="748">
        <v>9</v>
      </c>
      <c r="D460" s="748">
        <v>5</v>
      </c>
      <c r="E460" s="749" t="s">
        <v>3839</v>
      </c>
      <c r="F460" s="753" t="s">
        <v>4097</v>
      </c>
      <c r="G460" s="875">
        <f>'[12]CUENTA T FONDO 100'!IP127</f>
        <v>0</v>
      </c>
      <c r="H460" s="875">
        <f>'[12]CUENTA T VS'!IP89</f>
        <v>0</v>
      </c>
      <c r="I460" s="875">
        <f t="shared" si="19"/>
        <v>0</v>
      </c>
      <c r="J460" s="751">
        <f>I460/$I$25</f>
        <v>0</v>
      </c>
    </row>
    <row r="461" spans="1:10" ht="25.5" x14ac:dyDescent="0.25">
      <c r="A461" s="755">
        <v>2</v>
      </c>
      <c r="B461" s="744">
        <v>6</v>
      </c>
      <c r="C461" s="744">
        <v>9</v>
      </c>
      <c r="D461" s="744">
        <v>9</v>
      </c>
      <c r="E461" s="744"/>
      <c r="F461" s="762" t="s">
        <v>4098</v>
      </c>
      <c r="G461" s="745">
        <f>SUM(G462)</f>
        <v>0</v>
      </c>
      <c r="H461" s="745">
        <f>SUM(H462)</f>
        <v>0</v>
      </c>
      <c r="I461" s="745">
        <f t="shared" si="19"/>
        <v>0</v>
      </c>
      <c r="J461" s="752"/>
    </row>
    <row r="462" spans="1:10" ht="25.5" x14ac:dyDescent="0.25">
      <c r="A462" s="756">
        <v>2</v>
      </c>
      <c r="B462" s="748">
        <v>6</v>
      </c>
      <c r="C462" s="748">
        <v>9</v>
      </c>
      <c r="D462" s="748">
        <v>9</v>
      </c>
      <c r="E462" s="749" t="s">
        <v>2221</v>
      </c>
      <c r="F462" s="753" t="s">
        <v>4098</v>
      </c>
      <c r="G462" s="875">
        <f>'[12]CUENTA T FONDO 100'!IQ127</f>
        <v>0</v>
      </c>
      <c r="H462" s="875">
        <f>'[12]CUENTA T VS'!IQ89</f>
        <v>0</v>
      </c>
      <c r="I462" s="875">
        <f t="shared" si="19"/>
        <v>0</v>
      </c>
      <c r="J462" s="751">
        <f>I462/$I$25</f>
        <v>0</v>
      </c>
    </row>
    <row r="463" spans="1:10" x14ac:dyDescent="0.25">
      <c r="A463" s="754">
        <v>2</v>
      </c>
      <c r="B463" s="742">
        <v>7</v>
      </c>
      <c r="C463" s="742"/>
      <c r="D463" s="742"/>
      <c r="E463" s="742"/>
      <c r="F463" s="763" t="s">
        <v>4099</v>
      </c>
      <c r="G463" s="874">
        <f>G464+G473+G492+G497</f>
        <v>0</v>
      </c>
      <c r="H463" s="874">
        <f>H464+H473+H492+H497</f>
        <v>0</v>
      </c>
      <c r="I463" s="874">
        <f t="shared" si="19"/>
        <v>0</v>
      </c>
      <c r="J463" s="740">
        <f>I463/$I$25</f>
        <v>0</v>
      </c>
    </row>
    <row r="464" spans="1:10" ht="25.5" x14ac:dyDescent="0.25">
      <c r="A464" s="754">
        <v>2</v>
      </c>
      <c r="B464" s="742">
        <v>7</v>
      </c>
      <c r="C464" s="742">
        <v>1</v>
      </c>
      <c r="D464" s="742"/>
      <c r="E464" s="742"/>
      <c r="F464" s="763" t="s">
        <v>4100</v>
      </c>
      <c r="G464" s="874">
        <f>+G465+G467+G469+G471</f>
        <v>0</v>
      </c>
      <c r="H464" s="874">
        <f>+H465+H467+H469+H471</f>
        <v>0</v>
      </c>
      <c r="I464" s="874">
        <f t="shared" si="19"/>
        <v>0</v>
      </c>
      <c r="J464" s="740"/>
    </row>
    <row r="465" spans="1:10" ht="51" x14ac:dyDescent="0.25">
      <c r="A465" s="755">
        <v>2</v>
      </c>
      <c r="B465" s="744">
        <v>7</v>
      </c>
      <c r="C465" s="744">
        <v>1</v>
      </c>
      <c r="D465" s="744">
        <v>1</v>
      </c>
      <c r="E465" s="758"/>
      <c r="F465" s="762" t="s">
        <v>4101</v>
      </c>
      <c r="G465" s="745">
        <f>+G466</f>
        <v>0</v>
      </c>
      <c r="H465" s="745">
        <f>+H466</f>
        <v>0</v>
      </c>
      <c r="I465" s="745">
        <f t="shared" si="19"/>
        <v>0</v>
      </c>
      <c r="J465" s="752"/>
    </row>
    <row r="466" spans="1:10" ht="51" x14ac:dyDescent="0.25">
      <c r="A466" s="756">
        <v>2</v>
      </c>
      <c r="B466" s="748">
        <v>7</v>
      </c>
      <c r="C466" s="748">
        <v>1</v>
      </c>
      <c r="D466" s="748">
        <v>1</v>
      </c>
      <c r="E466" s="748" t="s">
        <v>4057</v>
      </c>
      <c r="F466" s="753" t="s">
        <v>4101</v>
      </c>
      <c r="G466" s="875">
        <f>'[12]CUENTA T FONDO 100'!IR127</f>
        <v>0</v>
      </c>
      <c r="H466" s="875">
        <f>'[12]CUENTA T VS'!IR89</f>
        <v>0</v>
      </c>
      <c r="I466" s="875">
        <f t="shared" si="19"/>
        <v>0</v>
      </c>
      <c r="J466" s="751">
        <f>I466/$I$25</f>
        <v>0</v>
      </c>
    </row>
    <row r="467" spans="1:10" ht="51" x14ac:dyDescent="0.25">
      <c r="A467" s="755">
        <v>2</v>
      </c>
      <c r="B467" s="744">
        <v>7</v>
      </c>
      <c r="C467" s="744">
        <v>1</v>
      </c>
      <c r="D467" s="744">
        <v>2</v>
      </c>
      <c r="E467" s="758"/>
      <c r="F467" s="762" t="s">
        <v>4102</v>
      </c>
      <c r="G467" s="745">
        <f>+G468</f>
        <v>0</v>
      </c>
      <c r="H467" s="745">
        <f>+H468</f>
        <v>0</v>
      </c>
      <c r="I467" s="745">
        <f t="shared" si="19"/>
        <v>0</v>
      </c>
      <c r="J467" s="752"/>
    </row>
    <row r="468" spans="1:10" ht="51" x14ac:dyDescent="0.25">
      <c r="A468" s="756">
        <v>2</v>
      </c>
      <c r="B468" s="748">
        <v>7</v>
      </c>
      <c r="C468" s="748">
        <v>1</v>
      </c>
      <c r="D468" s="748">
        <v>2</v>
      </c>
      <c r="E468" s="748" t="s">
        <v>4057</v>
      </c>
      <c r="F468" s="753" t="s">
        <v>4102</v>
      </c>
      <c r="G468" s="875">
        <f>'[12]CUENTA T FONDO 100'!IS127</f>
        <v>0</v>
      </c>
      <c r="H468" s="875">
        <f>'[12]CUENTA T VS'!IS89</f>
        <v>0</v>
      </c>
      <c r="I468" s="875">
        <f t="shared" si="19"/>
        <v>0</v>
      </c>
      <c r="J468" s="751">
        <f>I468/$I$25</f>
        <v>0</v>
      </c>
    </row>
    <row r="469" spans="1:10" ht="51" x14ac:dyDescent="0.25">
      <c r="A469" s="755">
        <v>2</v>
      </c>
      <c r="B469" s="744">
        <v>7</v>
      </c>
      <c r="C469" s="744">
        <v>1</v>
      </c>
      <c r="D469" s="744">
        <v>3</v>
      </c>
      <c r="E469" s="758"/>
      <c r="F469" s="762" t="s">
        <v>4103</v>
      </c>
      <c r="G469" s="745">
        <f>+G470</f>
        <v>0</v>
      </c>
      <c r="H469" s="745">
        <f>+H470</f>
        <v>0</v>
      </c>
      <c r="I469" s="745">
        <f t="shared" si="19"/>
        <v>0</v>
      </c>
      <c r="J469" s="752"/>
    </row>
    <row r="470" spans="1:10" ht="51" x14ac:dyDescent="0.25">
      <c r="A470" s="756">
        <v>2</v>
      </c>
      <c r="B470" s="748">
        <v>7</v>
      </c>
      <c r="C470" s="748">
        <v>1</v>
      </c>
      <c r="D470" s="748">
        <v>3</v>
      </c>
      <c r="E470" s="748" t="s">
        <v>4057</v>
      </c>
      <c r="F470" s="753" t="s">
        <v>4103</v>
      </c>
      <c r="G470" s="875">
        <f>'[12]CUENTA T FONDO 100'!IT127</f>
        <v>0</v>
      </c>
      <c r="H470" s="875">
        <f>'[12]CUENTA T VS'!IT89</f>
        <v>0</v>
      </c>
      <c r="I470" s="875">
        <f t="shared" si="19"/>
        <v>0</v>
      </c>
      <c r="J470" s="751">
        <f>I470/$I$25</f>
        <v>0</v>
      </c>
    </row>
    <row r="471" spans="1:10" ht="38.25" x14ac:dyDescent="0.25">
      <c r="A471" s="755">
        <v>2</v>
      </c>
      <c r="B471" s="744">
        <v>7</v>
      </c>
      <c r="C471" s="744">
        <v>1</v>
      </c>
      <c r="D471" s="744">
        <v>4</v>
      </c>
      <c r="E471" s="758"/>
      <c r="F471" s="762" t="s">
        <v>4104</v>
      </c>
      <c r="G471" s="745">
        <f>+G472</f>
        <v>0</v>
      </c>
      <c r="H471" s="745">
        <f>+H472</f>
        <v>0</v>
      </c>
      <c r="I471" s="745">
        <f t="shared" si="19"/>
        <v>0</v>
      </c>
      <c r="J471" s="752"/>
    </row>
    <row r="472" spans="1:10" ht="38.25" x14ac:dyDescent="0.25">
      <c r="A472" s="756">
        <v>2</v>
      </c>
      <c r="B472" s="748">
        <v>7</v>
      </c>
      <c r="C472" s="748">
        <v>1</v>
      </c>
      <c r="D472" s="748">
        <v>4</v>
      </c>
      <c r="E472" s="748" t="s">
        <v>4057</v>
      </c>
      <c r="F472" s="753" t="s">
        <v>4104</v>
      </c>
      <c r="G472" s="875">
        <f>'[12]CUENTA T FONDO 100'!IU127</f>
        <v>0</v>
      </c>
      <c r="H472" s="875">
        <f>'[12]CUENTA T VS'!IU89</f>
        <v>0</v>
      </c>
      <c r="I472" s="875">
        <f t="shared" si="19"/>
        <v>0</v>
      </c>
      <c r="J472" s="751">
        <f>I472/$I$25</f>
        <v>0</v>
      </c>
    </row>
    <row r="473" spans="1:10" ht="25.5" x14ac:dyDescent="0.25">
      <c r="A473" s="754">
        <v>2</v>
      </c>
      <c r="B473" s="742">
        <v>7</v>
      </c>
      <c r="C473" s="742">
        <v>2</v>
      </c>
      <c r="D473" s="742"/>
      <c r="E473" s="742"/>
      <c r="F473" s="763" t="s">
        <v>77</v>
      </c>
      <c r="G473" s="874">
        <f>+G474+G476+G478+G480+G482+G484+G486+G488+G490</f>
        <v>0</v>
      </c>
      <c r="H473" s="874">
        <f>+H474+H476+H478+H480+H482+H484+H486+H488+H490</f>
        <v>0</v>
      </c>
      <c r="I473" s="874">
        <f t="shared" ref="I473:I501" si="22">SUM(G473:H473)</f>
        <v>0</v>
      </c>
      <c r="J473" s="740"/>
    </row>
    <row r="474" spans="1:10" ht="38.25" x14ac:dyDescent="0.25">
      <c r="A474" s="755">
        <v>2</v>
      </c>
      <c r="B474" s="744">
        <v>7</v>
      </c>
      <c r="C474" s="744">
        <v>2</v>
      </c>
      <c r="D474" s="744">
        <v>1</v>
      </c>
      <c r="E474" s="758"/>
      <c r="F474" s="762" t="s">
        <v>4105</v>
      </c>
      <c r="G474" s="745">
        <f>+G475</f>
        <v>0</v>
      </c>
      <c r="H474" s="745">
        <f>+H475</f>
        <v>0</v>
      </c>
      <c r="I474" s="745">
        <f t="shared" si="22"/>
        <v>0</v>
      </c>
      <c r="J474" s="752"/>
    </row>
    <row r="475" spans="1:10" ht="38.25" x14ac:dyDescent="0.25">
      <c r="A475" s="756">
        <v>2</v>
      </c>
      <c r="B475" s="748">
        <v>7</v>
      </c>
      <c r="C475" s="748">
        <v>2</v>
      </c>
      <c r="D475" s="748">
        <v>1</v>
      </c>
      <c r="E475" s="748" t="s">
        <v>4057</v>
      </c>
      <c r="F475" s="753" t="s">
        <v>4105</v>
      </c>
      <c r="G475" s="875">
        <f>'[12]CUENTA T FONDO 100'!IV127</f>
        <v>0</v>
      </c>
      <c r="H475" s="875">
        <f>'[12]CUENTA T VS'!IV89</f>
        <v>0</v>
      </c>
      <c r="I475" s="875">
        <f t="shared" si="22"/>
        <v>0</v>
      </c>
      <c r="J475" s="751">
        <f>I475/$I$25</f>
        <v>0</v>
      </c>
    </row>
    <row r="476" spans="1:10" ht="25.5" x14ac:dyDescent="0.25">
      <c r="A476" s="755">
        <v>2</v>
      </c>
      <c r="B476" s="744">
        <v>7</v>
      </c>
      <c r="C476" s="744">
        <v>2</v>
      </c>
      <c r="D476" s="744">
        <v>2</v>
      </c>
      <c r="E476" s="758"/>
      <c r="F476" s="762" t="s">
        <v>4106</v>
      </c>
      <c r="G476" s="745">
        <f>+G477</f>
        <v>0</v>
      </c>
      <c r="H476" s="745">
        <f>+H477</f>
        <v>0</v>
      </c>
      <c r="I476" s="745">
        <f t="shared" si="22"/>
        <v>0</v>
      </c>
      <c r="J476" s="752"/>
    </row>
    <row r="477" spans="1:10" ht="25.5" x14ac:dyDescent="0.25">
      <c r="A477" s="756">
        <v>2</v>
      </c>
      <c r="B477" s="748">
        <v>7</v>
      </c>
      <c r="C477" s="748">
        <v>2</v>
      </c>
      <c r="D477" s="748">
        <v>2</v>
      </c>
      <c r="E477" s="748" t="s">
        <v>4057</v>
      </c>
      <c r="F477" s="753" t="s">
        <v>4106</v>
      </c>
      <c r="G477" s="875">
        <f>'[12]CUENTA T FONDO 100'!IW127</f>
        <v>0</v>
      </c>
      <c r="H477" s="875">
        <f>'[12]CUENTA T VS'!IW89</f>
        <v>0</v>
      </c>
      <c r="I477" s="875">
        <f t="shared" si="22"/>
        <v>0</v>
      </c>
      <c r="J477" s="751">
        <f>I477/$I$25</f>
        <v>0</v>
      </c>
    </row>
    <row r="478" spans="1:10" ht="38.25" x14ac:dyDescent="0.25">
      <c r="A478" s="755">
        <v>2</v>
      </c>
      <c r="B478" s="744">
        <v>7</v>
      </c>
      <c r="C478" s="744">
        <v>2</v>
      </c>
      <c r="D478" s="744">
        <v>3</v>
      </c>
      <c r="E478" s="758"/>
      <c r="F478" s="762" t="s">
        <v>4107</v>
      </c>
      <c r="G478" s="745">
        <f>+G479</f>
        <v>0</v>
      </c>
      <c r="H478" s="745">
        <f>+H479</f>
        <v>0</v>
      </c>
      <c r="I478" s="745">
        <f t="shared" si="22"/>
        <v>0</v>
      </c>
      <c r="J478" s="752"/>
    </row>
    <row r="479" spans="1:10" ht="38.25" x14ac:dyDescent="0.25">
      <c r="A479" s="756">
        <v>2</v>
      </c>
      <c r="B479" s="748">
        <v>7</v>
      </c>
      <c r="C479" s="748">
        <v>2</v>
      </c>
      <c r="D479" s="748">
        <v>3</v>
      </c>
      <c r="E479" s="748" t="s">
        <v>4057</v>
      </c>
      <c r="F479" s="753" t="s">
        <v>4107</v>
      </c>
      <c r="G479" s="875">
        <f>'[12]CUENTA T FONDO 100'!IX127</f>
        <v>0</v>
      </c>
      <c r="H479" s="875">
        <f>'[12]CUENTA T VS'!IX89</f>
        <v>0</v>
      </c>
      <c r="I479" s="875">
        <f t="shared" si="22"/>
        <v>0</v>
      </c>
      <c r="J479" s="751">
        <f>I479/$I$25</f>
        <v>0</v>
      </c>
    </row>
    <row r="480" spans="1:10" ht="51" x14ac:dyDescent="0.25">
      <c r="A480" s="755">
        <v>2</v>
      </c>
      <c r="B480" s="744">
        <v>7</v>
      </c>
      <c r="C480" s="744">
        <v>2</v>
      </c>
      <c r="D480" s="744">
        <v>4</v>
      </c>
      <c r="E480" s="758"/>
      <c r="F480" s="762" t="s">
        <v>4108</v>
      </c>
      <c r="G480" s="745">
        <f>+G481</f>
        <v>0</v>
      </c>
      <c r="H480" s="745">
        <f>+H481</f>
        <v>0</v>
      </c>
      <c r="I480" s="745">
        <f t="shared" si="22"/>
        <v>0</v>
      </c>
      <c r="J480" s="752"/>
    </row>
    <row r="481" spans="1:10" ht="51" x14ac:dyDescent="0.25">
      <c r="A481" s="756">
        <v>2</v>
      </c>
      <c r="B481" s="748">
        <v>7</v>
      </c>
      <c r="C481" s="748">
        <v>2</v>
      </c>
      <c r="D481" s="748">
        <v>4</v>
      </c>
      <c r="E481" s="748" t="s">
        <v>4057</v>
      </c>
      <c r="F481" s="753" t="s">
        <v>4108</v>
      </c>
      <c r="G481" s="875">
        <f>'[12]CUENTA T FONDO 100'!IY127</f>
        <v>0</v>
      </c>
      <c r="H481" s="875">
        <f>'[12]CUENTA T VS'!IY89</f>
        <v>0</v>
      </c>
      <c r="I481" s="875">
        <f t="shared" si="22"/>
        <v>0</v>
      </c>
      <c r="J481" s="751">
        <f>I481/$I$25</f>
        <v>0</v>
      </c>
    </row>
    <row r="482" spans="1:10" ht="38.25" x14ac:dyDescent="0.25">
      <c r="A482" s="755">
        <v>2</v>
      </c>
      <c r="B482" s="744">
        <v>7</v>
      </c>
      <c r="C482" s="744">
        <v>2</v>
      </c>
      <c r="D482" s="744">
        <v>5</v>
      </c>
      <c r="E482" s="758"/>
      <c r="F482" s="762" t="s">
        <v>4109</v>
      </c>
      <c r="G482" s="745">
        <f>+G483</f>
        <v>0</v>
      </c>
      <c r="H482" s="745">
        <f>+H483</f>
        <v>0</v>
      </c>
      <c r="I482" s="745">
        <f t="shared" si="22"/>
        <v>0</v>
      </c>
      <c r="J482" s="752"/>
    </row>
    <row r="483" spans="1:10" ht="38.25" x14ac:dyDescent="0.25">
      <c r="A483" s="756">
        <v>2</v>
      </c>
      <c r="B483" s="748">
        <v>7</v>
      </c>
      <c r="C483" s="748">
        <v>2</v>
      </c>
      <c r="D483" s="748">
        <v>5</v>
      </c>
      <c r="E483" s="748" t="s">
        <v>4057</v>
      </c>
      <c r="F483" s="753" t="s">
        <v>4109</v>
      </c>
      <c r="G483" s="875">
        <f>'[12]CUENTA T FONDO 100'!IZ127</f>
        <v>0</v>
      </c>
      <c r="H483" s="875">
        <f>'[12]CUENTA T VS'!IZ89</f>
        <v>0</v>
      </c>
      <c r="I483" s="875">
        <f t="shared" si="22"/>
        <v>0</v>
      </c>
      <c r="J483" s="751">
        <f>I483/$I$25</f>
        <v>0</v>
      </c>
    </row>
    <row r="484" spans="1:10" ht="51" x14ac:dyDescent="0.25">
      <c r="A484" s="755">
        <v>2</v>
      </c>
      <c r="B484" s="744">
        <v>7</v>
      </c>
      <c r="C484" s="744">
        <v>2</v>
      </c>
      <c r="D484" s="744">
        <v>6</v>
      </c>
      <c r="E484" s="758"/>
      <c r="F484" s="762" t="s">
        <v>4110</v>
      </c>
      <c r="G484" s="745">
        <f>+G485</f>
        <v>0</v>
      </c>
      <c r="H484" s="745">
        <f>+H485</f>
        <v>0</v>
      </c>
      <c r="I484" s="745">
        <f t="shared" si="22"/>
        <v>0</v>
      </c>
      <c r="J484" s="752"/>
    </row>
    <row r="485" spans="1:10" ht="51" x14ac:dyDescent="0.25">
      <c r="A485" s="756">
        <v>2</v>
      </c>
      <c r="B485" s="748">
        <v>7</v>
      </c>
      <c r="C485" s="748">
        <v>2</v>
      </c>
      <c r="D485" s="748">
        <v>6</v>
      </c>
      <c r="E485" s="748" t="s">
        <v>4057</v>
      </c>
      <c r="F485" s="753" t="s">
        <v>4110</v>
      </c>
      <c r="G485" s="875">
        <f>'[12]CUENTA T FONDO 100'!JA127</f>
        <v>0</v>
      </c>
      <c r="H485" s="875">
        <f>'[12]CUENTA T VS'!JA89</f>
        <v>0</v>
      </c>
      <c r="I485" s="875">
        <f t="shared" si="22"/>
        <v>0</v>
      </c>
      <c r="J485" s="751">
        <f>I485/$I$25</f>
        <v>0</v>
      </c>
    </row>
    <row r="486" spans="1:10" ht="25.5" x14ac:dyDescent="0.25">
      <c r="A486" s="755">
        <v>2</v>
      </c>
      <c r="B486" s="744">
        <v>7</v>
      </c>
      <c r="C486" s="744">
        <v>2</v>
      </c>
      <c r="D486" s="744">
        <v>7</v>
      </c>
      <c r="E486" s="758"/>
      <c r="F486" s="762" t="s">
        <v>4111</v>
      </c>
      <c r="G486" s="745">
        <f>+G487</f>
        <v>0</v>
      </c>
      <c r="H486" s="745">
        <f>+H487</f>
        <v>0</v>
      </c>
      <c r="I486" s="745">
        <f t="shared" si="22"/>
        <v>0</v>
      </c>
      <c r="J486" s="752"/>
    </row>
    <row r="487" spans="1:10" ht="25.5" x14ac:dyDescent="0.25">
      <c r="A487" s="756">
        <v>2</v>
      </c>
      <c r="B487" s="748">
        <v>7</v>
      </c>
      <c r="C487" s="748">
        <v>2</v>
      </c>
      <c r="D487" s="748">
        <v>7</v>
      </c>
      <c r="E487" s="748" t="s">
        <v>4057</v>
      </c>
      <c r="F487" s="753" t="s">
        <v>4111</v>
      </c>
      <c r="G487" s="875">
        <f>'[12]CUENTA T FONDO 100'!JB127</f>
        <v>0</v>
      </c>
      <c r="H487" s="875">
        <f>'[12]CUENTA T VS'!JB89</f>
        <v>0</v>
      </c>
      <c r="I487" s="875">
        <f t="shared" si="22"/>
        <v>0</v>
      </c>
      <c r="J487" s="751">
        <f>I487/$I$25</f>
        <v>0</v>
      </c>
    </row>
    <row r="488" spans="1:10" ht="25.5" x14ac:dyDescent="0.25">
      <c r="A488" s="755">
        <v>2</v>
      </c>
      <c r="B488" s="744">
        <v>7</v>
      </c>
      <c r="C488" s="744">
        <v>2</v>
      </c>
      <c r="D488" s="744">
        <v>8</v>
      </c>
      <c r="E488" s="758"/>
      <c r="F488" s="762" t="s">
        <v>4112</v>
      </c>
      <c r="G488" s="745">
        <f>+G489</f>
        <v>0</v>
      </c>
      <c r="H488" s="745">
        <f>+H489</f>
        <v>0</v>
      </c>
      <c r="I488" s="745">
        <f t="shared" si="22"/>
        <v>0</v>
      </c>
      <c r="J488" s="752"/>
    </row>
    <row r="489" spans="1:10" ht="25.5" x14ac:dyDescent="0.25">
      <c r="A489" s="756">
        <v>2</v>
      </c>
      <c r="B489" s="748">
        <v>7</v>
      </c>
      <c r="C489" s="748">
        <v>2</v>
      </c>
      <c r="D489" s="748">
        <v>8</v>
      </c>
      <c r="E489" s="748" t="s">
        <v>4057</v>
      </c>
      <c r="F489" s="753" t="s">
        <v>4112</v>
      </c>
      <c r="G489" s="875">
        <f>'[12]CUENTA T FONDO 100'!JC127</f>
        <v>0</v>
      </c>
      <c r="H489" s="875">
        <f>'[12]CUENTA T VS'!JC89</f>
        <v>0</v>
      </c>
      <c r="I489" s="875">
        <f t="shared" si="22"/>
        <v>0</v>
      </c>
      <c r="J489" s="751">
        <f>I489/$I$25</f>
        <v>0</v>
      </c>
    </row>
    <row r="490" spans="1:10" ht="63.75" x14ac:dyDescent="0.25">
      <c r="A490" s="755">
        <v>2</v>
      </c>
      <c r="B490" s="744">
        <v>7</v>
      </c>
      <c r="C490" s="744">
        <v>2</v>
      </c>
      <c r="D490" s="744">
        <v>9</v>
      </c>
      <c r="E490" s="758"/>
      <c r="F490" s="762" t="s">
        <v>4113</v>
      </c>
      <c r="G490" s="745">
        <f>+G491</f>
        <v>0</v>
      </c>
      <c r="H490" s="745">
        <f>+H491</f>
        <v>0</v>
      </c>
      <c r="I490" s="745">
        <f t="shared" si="22"/>
        <v>0</v>
      </c>
      <c r="J490" s="752"/>
    </row>
    <row r="491" spans="1:10" ht="63.75" x14ac:dyDescent="0.25">
      <c r="A491" s="756">
        <v>2</v>
      </c>
      <c r="B491" s="748">
        <v>7</v>
      </c>
      <c r="C491" s="748">
        <v>2</v>
      </c>
      <c r="D491" s="748">
        <v>9</v>
      </c>
      <c r="E491" s="748" t="s">
        <v>4057</v>
      </c>
      <c r="F491" s="753" t="s">
        <v>4113</v>
      </c>
      <c r="G491" s="875">
        <f>'[12]CUENTA T FONDO 100'!JD127</f>
        <v>0</v>
      </c>
      <c r="H491" s="875">
        <f>'[12]CUENTA T VS'!JD89</f>
        <v>0</v>
      </c>
      <c r="I491" s="875">
        <f t="shared" si="22"/>
        <v>0</v>
      </c>
      <c r="J491" s="751">
        <f>I491/$I$25</f>
        <v>0</v>
      </c>
    </row>
    <row r="492" spans="1:10" ht="51" x14ac:dyDescent="0.25">
      <c r="A492" s="754">
        <v>2</v>
      </c>
      <c r="B492" s="742">
        <v>7</v>
      </c>
      <c r="C492" s="742">
        <v>3</v>
      </c>
      <c r="D492" s="742"/>
      <c r="E492" s="742"/>
      <c r="F492" s="763" t="s">
        <v>4114</v>
      </c>
      <c r="G492" s="874">
        <f>+G493+G495</f>
        <v>0</v>
      </c>
      <c r="H492" s="874">
        <f>+H493+H495</f>
        <v>0</v>
      </c>
      <c r="I492" s="874">
        <f t="shared" si="22"/>
        <v>0</v>
      </c>
      <c r="J492" s="740"/>
    </row>
    <row r="493" spans="1:10" ht="76.5" x14ac:dyDescent="0.25">
      <c r="A493" s="755">
        <v>2</v>
      </c>
      <c r="B493" s="744">
        <v>7</v>
      </c>
      <c r="C493" s="744">
        <v>3</v>
      </c>
      <c r="D493" s="744">
        <v>1</v>
      </c>
      <c r="E493" s="758"/>
      <c r="F493" s="762" t="s">
        <v>4115</v>
      </c>
      <c r="G493" s="745">
        <f>+G494</f>
        <v>0</v>
      </c>
      <c r="H493" s="745">
        <f>+H494</f>
        <v>0</v>
      </c>
      <c r="I493" s="745">
        <f t="shared" si="22"/>
        <v>0</v>
      </c>
      <c r="J493" s="752"/>
    </row>
    <row r="494" spans="1:10" ht="76.5" x14ac:dyDescent="0.25">
      <c r="A494" s="756">
        <v>2</v>
      </c>
      <c r="B494" s="748">
        <v>7</v>
      </c>
      <c r="C494" s="748">
        <v>3</v>
      </c>
      <c r="D494" s="748">
        <v>1</v>
      </c>
      <c r="E494" s="748" t="s">
        <v>4057</v>
      </c>
      <c r="F494" s="753" t="s">
        <v>4115</v>
      </c>
      <c r="G494" s="875">
        <f>'[12]CUENTA T FONDO 100'!JE127</f>
        <v>0</v>
      </c>
      <c r="H494" s="875">
        <f>'[12]CUENTA T VS'!JE89</f>
        <v>0</v>
      </c>
      <c r="I494" s="875">
        <f t="shared" si="22"/>
        <v>0</v>
      </c>
      <c r="J494" s="751">
        <f>I494/$I$25</f>
        <v>0</v>
      </c>
    </row>
    <row r="495" spans="1:10" ht="76.5" x14ac:dyDescent="0.25">
      <c r="A495" s="755">
        <v>2</v>
      </c>
      <c r="B495" s="744">
        <v>7</v>
      </c>
      <c r="C495" s="744">
        <v>3</v>
      </c>
      <c r="D495" s="744">
        <v>2</v>
      </c>
      <c r="E495" s="758"/>
      <c r="F495" s="762" t="s">
        <v>4116</v>
      </c>
      <c r="G495" s="745">
        <f>+G496</f>
        <v>0</v>
      </c>
      <c r="H495" s="745">
        <f>+H496</f>
        <v>0</v>
      </c>
      <c r="I495" s="745">
        <f t="shared" si="22"/>
        <v>0</v>
      </c>
      <c r="J495" s="752"/>
    </row>
    <row r="496" spans="1:10" ht="76.5" x14ac:dyDescent="0.25">
      <c r="A496" s="756">
        <v>2</v>
      </c>
      <c r="B496" s="748">
        <v>7</v>
      </c>
      <c r="C496" s="748">
        <v>3</v>
      </c>
      <c r="D496" s="748">
        <v>2</v>
      </c>
      <c r="E496" s="748" t="s">
        <v>4057</v>
      </c>
      <c r="F496" s="753" t="s">
        <v>4116</v>
      </c>
      <c r="G496" s="875">
        <f>'[12]CUENTA T FONDO 100'!JF127</f>
        <v>0</v>
      </c>
      <c r="H496" s="875">
        <f>'[12]CUENTA T VS'!JF89</f>
        <v>0</v>
      </c>
      <c r="I496" s="875">
        <f t="shared" si="22"/>
        <v>0</v>
      </c>
      <c r="J496" s="751">
        <f>I496/$I$25</f>
        <v>0</v>
      </c>
    </row>
    <row r="497" spans="1:10" ht="89.25" x14ac:dyDescent="0.25">
      <c r="A497" s="754">
        <v>2</v>
      </c>
      <c r="B497" s="742">
        <v>7</v>
      </c>
      <c r="C497" s="742">
        <v>4</v>
      </c>
      <c r="D497" s="742"/>
      <c r="E497" s="742"/>
      <c r="F497" s="763" t="s">
        <v>4117</v>
      </c>
      <c r="G497" s="874">
        <f>+G498+G500</f>
        <v>0</v>
      </c>
      <c r="H497" s="874">
        <f>+H498+H500</f>
        <v>0</v>
      </c>
      <c r="I497" s="874">
        <f t="shared" si="22"/>
        <v>0</v>
      </c>
      <c r="J497" s="740"/>
    </row>
    <row r="498" spans="1:10" ht="76.5" x14ac:dyDescent="0.25">
      <c r="A498" s="755">
        <v>2</v>
      </c>
      <c r="B498" s="744">
        <v>7</v>
      </c>
      <c r="C498" s="744">
        <v>4</v>
      </c>
      <c r="D498" s="744">
        <v>1</v>
      </c>
      <c r="E498" s="758"/>
      <c r="F498" s="762" t="s">
        <v>4118</v>
      </c>
      <c r="G498" s="745">
        <f>+G499</f>
        <v>0</v>
      </c>
      <c r="H498" s="745">
        <f>+H499</f>
        <v>0</v>
      </c>
      <c r="I498" s="745">
        <f t="shared" si="22"/>
        <v>0</v>
      </c>
      <c r="J498" s="752"/>
    </row>
    <row r="499" spans="1:10" ht="76.5" x14ac:dyDescent="0.25">
      <c r="A499" s="756">
        <v>2</v>
      </c>
      <c r="B499" s="748">
        <v>7</v>
      </c>
      <c r="C499" s="748">
        <v>4</v>
      </c>
      <c r="D499" s="748">
        <v>1</v>
      </c>
      <c r="E499" s="748" t="s">
        <v>4057</v>
      </c>
      <c r="F499" s="753" t="s">
        <v>4118</v>
      </c>
      <c r="G499" s="875">
        <f>'[12]CUENTA T FONDO 100'!JG127</f>
        <v>0</v>
      </c>
      <c r="H499" s="875">
        <f>'[12]CUENTA T VS'!JG89</f>
        <v>0</v>
      </c>
      <c r="I499" s="875">
        <f t="shared" si="22"/>
        <v>0</v>
      </c>
      <c r="J499" s="751">
        <f>I499/$I$25</f>
        <v>0</v>
      </c>
    </row>
    <row r="500" spans="1:10" ht="114.75" x14ac:dyDescent="0.25">
      <c r="A500" s="743">
        <v>2</v>
      </c>
      <c r="B500" s="744">
        <v>7</v>
      </c>
      <c r="C500" s="744">
        <v>4</v>
      </c>
      <c r="D500" s="744">
        <v>2</v>
      </c>
      <c r="E500" s="758"/>
      <c r="F500" s="762" t="s">
        <v>4119</v>
      </c>
      <c r="G500" s="745">
        <f>+G501</f>
        <v>0</v>
      </c>
      <c r="H500" s="745">
        <f>+H501</f>
        <v>0</v>
      </c>
      <c r="I500" s="745">
        <f t="shared" si="22"/>
        <v>0</v>
      </c>
      <c r="J500" s="752"/>
    </row>
    <row r="501" spans="1:10" ht="114.75" x14ac:dyDescent="0.25">
      <c r="A501" s="747">
        <v>2</v>
      </c>
      <c r="B501" s="748">
        <v>7</v>
      </c>
      <c r="C501" s="748">
        <v>4</v>
      </c>
      <c r="D501" s="748">
        <v>2</v>
      </c>
      <c r="E501" s="748" t="s">
        <v>4057</v>
      </c>
      <c r="F501" s="753" t="s">
        <v>4119</v>
      </c>
      <c r="G501" s="875">
        <f>'[12]CUENTA T FONDO 100'!JH127</f>
        <v>0</v>
      </c>
      <c r="H501" s="875">
        <f>'[12]CUENTA T VS'!JH89</f>
        <v>0</v>
      </c>
      <c r="I501" s="875">
        <f t="shared" si="22"/>
        <v>0</v>
      </c>
      <c r="J501" s="751">
        <f>I501/$I$25</f>
        <v>0</v>
      </c>
    </row>
  </sheetData>
  <protectedRanges>
    <protectedRange algorithmName="SHA-512" hashValue="ZAfGeYA5VbL0gG93akD1xexJu2rI3UXxHwEtGuh6c0glGlh5rE1RHQPZZ54q7AqVc1jO4jlchft9pel46vZT4g==" saltValue="JJI+A7ZZczdDIztssZc9Vg==" spinCount="100000" sqref="A9:J18 A6:J7" name="Rango1"/>
  </protectedRanges>
  <mergeCells count="20">
    <mergeCell ref="J22:J24"/>
    <mergeCell ref="A23:A24"/>
    <mergeCell ref="B23:B24"/>
    <mergeCell ref="C23:C24"/>
    <mergeCell ref="D23:D24"/>
    <mergeCell ref="E23:E24"/>
    <mergeCell ref="G23:G24"/>
    <mergeCell ref="H23:H24"/>
    <mergeCell ref="A21:E21"/>
    <mergeCell ref="G21:H21"/>
    <mergeCell ref="A22:E22"/>
    <mergeCell ref="F22:F24"/>
    <mergeCell ref="G22:H22"/>
    <mergeCell ref="I22:I24"/>
    <mergeCell ref="A2:H2"/>
    <mergeCell ref="A3:J3"/>
    <mergeCell ref="A4:J4"/>
    <mergeCell ref="A5:J5"/>
    <mergeCell ref="A6:J6"/>
    <mergeCell ref="A7:J7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11"/>
  <sheetViews>
    <sheetView view="pageBreakPreview" topLeftCell="G19" zoomScale="142" zoomScaleNormal="100" zoomScaleSheetLayoutView="142" workbookViewId="0">
      <selection activeCell="G19" sqref="A1:XFD1048576"/>
    </sheetView>
  </sheetViews>
  <sheetFormatPr baseColWidth="10" defaultColWidth="2.85546875" defaultRowHeight="12.75" x14ac:dyDescent="0.2"/>
  <cols>
    <col min="1" max="5" width="3.28515625" style="694" customWidth="1"/>
    <col min="6" max="6" width="35.42578125" style="694" customWidth="1"/>
    <col min="7" max="7" width="19" style="694" bestFit="1" customWidth="1"/>
    <col min="8" max="8" width="32.7109375" style="694" bestFit="1" customWidth="1"/>
    <col min="9" max="9" width="18.28515625" style="694" bestFit="1" customWidth="1"/>
    <col min="10" max="10" width="19.42578125" style="694" bestFit="1" customWidth="1"/>
    <col min="11" max="11" width="7.28515625" style="694" bestFit="1" customWidth="1"/>
    <col min="12" max="12" width="14.85546875" style="694" bestFit="1" customWidth="1"/>
    <col min="13" max="13" width="14.5703125" style="694" bestFit="1" customWidth="1"/>
    <col min="14" max="14" width="15" style="694" bestFit="1" customWidth="1"/>
    <col min="15" max="16" width="14.5703125" style="694" bestFit="1" customWidth="1"/>
    <col min="17" max="253" width="11.42578125" style="694" customWidth="1"/>
    <col min="254" max="254" width="3.28515625" style="694" customWidth="1"/>
    <col min="255" max="255" width="4.140625" style="694" customWidth="1"/>
    <col min="256" max="16384" width="2.85546875" style="694"/>
  </cols>
  <sheetData>
    <row r="1" spans="1:15" ht="15" x14ac:dyDescent="0.25">
      <c r="A1" s="690" t="s">
        <v>3808</v>
      </c>
      <c r="B1" s="691"/>
      <c r="C1" s="691"/>
      <c r="D1" s="691"/>
      <c r="E1" s="691"/>
      <c r="F1" s="691"/>
      <c r="G1" s="691"/>
      <c r="H1" s="691"/>
      <c r="I1" s="691"/>
      <c r="J1" s="692"/>
      <c r="K1" s="693"/>
    </row>
    <row r="2" spans="1:15" ht="23.25" x14ac:dyDescent="0.35">
      <c r="A2" s="983"/>
      <c r="B2" s="984"/>
      <c r="C2" s="984"/>
      <c r="D2" s="984"/>
      <c r="E2" s="984"/>
      <c r="F2" s="984"/>
      <c r="G2" s="984"/>
      <c r="H2" s="984"/>
      <c r="I2" s="984"/>
      <c r="J2" s="695"/>
      <c r="K2" s="696"/>
    </row>
    <row r="3" spans="1:15" ht="26.25" x14ac:dyDescent="0.4">
      <c r="A3" s="985" t="s">
        <v>455</v>
      </c>
      <c r="B3" s="986"/>
      <c r="C3" s="986"/>
      <c r="D3" s="986"/>
      <c r="E3" s="986"/>
      <c r="F3" s="986"/>
      <c r="G3" s="986"/>
      <c r="H3" s="986"/>
      <c r="I3" s="986"/>
      <c r="J3" s="986"/>
      <c r="K3" s="987"/>
    </row>
    <row r="4" spans="1:15" ht="18.75" x14ac:dyDescent="0.3">
      <c r="A4" s="988" t="s">
        <v>3809</v>
      </c>
      <c r="B4" s="989"/>
      <c r="C4" s="989"/>
      <c r="D4" s="989"/>
      <c r="E4" s="989"/>
      <c r="F4" s="989"/>
      <c r="G4" s="989"/>
      <c r="H4" s="989"/>
      <c r="I4" s="989"/>
      <c r="J4" s="989"/>
      <c r="K4" s="990"/>
    </row>
    <row r="5" spans="1:15" ht="15" x14ac:dyDescent="0.25">
      <c r="A5" s="991" t="s">
        <v>3810</v>
      </c>
      <c r="B5" s="992"/>
      <c r="C5" s="992"/>
      <c r="D5" s="992"/>
      <c r="E5" s="992"/>
      <c r="F5" s="992"/>
      <c r="G5" s="992"/>
      <c r="H5" s="992"/>
      <c r="I5" s="992"/>
      <c r="J5" s="992"/>
      <c r="K5" s="993"/>
    </row>
    <row r="6" spans="1:15" ht="15.75" x14ac:dyDescent="0.25">
      <c r="A6" s="994" t="s">
        <v>989</v>
      </c>
      <c r="B6" s="995"/>
      <c r="C6" s="995"/>
      <c r="D6" s="995"/>
      <c r="E6" s="995"/>
      <c r="F6" s="995"/>
      <c r="G6" s="995"/>
      <c r="H6" s="995"/>
      <c r="I6" s="995"/>
      <c r="J6" s="995"/>
      <c r="K6" s="996"/>
    </row>
    <row r="7" spans="1:15" ht="15.75" x14ac:dyDescent="0.25">
      <c r="A7" s="980" t="s">
        <v>4141</v>
      </c>
      <c r="B7" s="981"/>
      <c r="C7" s="981"/>
      <c r="D7" s="981"/>
      <c r="E7" s="981"/>
      <c r="F7" s="981"/>
      <c r="G7" s="981"/>
      <c r="H7" s="981"/>
      <c r="I7" s="981"/>
      <c r="J7" s="981"/>
      <c r="K7" s="982"/>
    </row>
    <row r="8" spans="1:15" ht="15.75" x14ac:dyDescent="0.25">
      <c r="A8" s="697"/>
      <c r="B8" s="698"/>
      <c r="C8" s="698" t="s">
        <v>3811</v>
      </c>
      <c r="D8" s="698"/>
      <c r="E8" s="698"/>
      <c r="F8" s="698"/>
      <c r="G8" s="698"/>
      <c r="H8" s="698"/>
      <c r="I8" s="698"/>
      <c r="J8" s="698"/>
      <c r="K8" s="699"/>
    </row>
    <row r="9" spans="1:15" ht="15.75" x14ac:dyDescent="0.25">
      <c r="A9" s="700"/>
      <c r="B9" s="701"/>
      <c r="C9" s="701"/>
      <c r="D9" s="701"/>
      <c r="E9" s="702" t="s">
        <v>3812</v>
      </c>
      <c r="F9" s="703"/>
      <c r="G9" s="704"/>
      <c r="H9" s="704"/>
      <c r="I9" s="704"/>
      <c r="J9" s="704"/>
      <c r="K9" s="705"/>
    </row>
    <row r="10" spans="1:15" ht="15.75" x14ac:dyDescent="0.25">
      <c r="A10" s="700"/>
      <c r="B10" s="701"/>
      <c r="C10" s="701"/>
      <c r="D10" s="701"/>
      <c r="E10" s="706" t="s">
        <v>3813</v>
      </c>
      <c r="F10" s="703"/>
      <c r="G10" s="707">
        <v>0</v>
      </c>
      <c r="H10" s="708" t="s">
        <v>3814</v>
      </c>
      <c r="I10" s="708"/>
      <c r="J10" s="707"/>
      <c r="K10" s="705"/>
      <c r="M10" s="709" t="s">
        <v>3815</v>
      </c>
    </row>
    <row r="11" spans="1:15" ht="15.75" x14ac:dyDescent="0.25">
      <c r="A11" s="700"/>
      <c r="B11" s="701"/>
      <c r="C11" s="701"/>
      <c r="D11" s="701"/>
      <c r="E11" s="706" t="s">
        <v>3816</v>
      </c>
      <c r="F11" s="703"/>
      <c r="G11" s="707">
        <v>0</v>
      </c>
      <c r="H11" s="710"/>
      <c r="I11" s="708"/>
      <c r="J11" s="711"/>
      <c r="K11" s="705"/>
    </row>
    <row r="12" spans="1:15" ht="15.75" x14ac:dyDescent="0.25">
      <c r="A12" s="700"/>
      <c r="B12" s="701"/>
      <c r="C12" s="701"/>
      <c r="D12" s="701"/>
      <c r="E12" s="706" t="s">
        <v>3817</v>
      </c>
      <c r="F12" s="703"/>
      <c r="G12" s="712">
        <f>+'[2]ENERO 2025'!G12</f>
        <v>2244994.14</v>
      </c>
      <c r="H12" s="713"/>
      <c r="I12" s="713"/>
      <c r="J12" s="711"/>
      <c r="K12" s="705"/>
    </row>
    <row r="13" spans="1:15" ht="15.75" x14ac:dyDescent="0.25">
      <c r="A13" s="700"/>
      <c r="B13" s="701"/>
      <c r="C13" s="701"/>
      <c r="D13" s="701"/>
      <c r="E13" s="714" t="s">
        <v>3818</v>
      </c>
      <c r="F13" s="703"/>
      <c r="G13" s="711"/>
      <c r="H13" s="711"/>
      <c r="I13" s="711"/>
      <c r="J13" s="711"/>
      <c r="K13" s="705"/>
    </row>
    <row r="14" spans="1:15" ht="15.75" x14ac:dyDescent="0.25">
      <c r="A14" s="700"/>
      <c r="B14" s="701"/>
      <c r="C14" s="701"/>
      <c r="D14" s="701"/>
      <c r="E14" s="706" t="s">
        <v>3813</v>
      </c>
      <c r="F14" s="703"/>
      <c r="G14" s="707"/>
      <c r="H14" s="708" t="s">
        <v>3814</v>
      </c>
      <c r="I14" s="708"/>
      <c r="J14" s="707">
        <f>+'[2]MARZO 2025'!I14+'[2]FEBRERO 2025'!I14+'[2]ENERO 2025'!J14</f>
        <v>15987098.25</v>
      </c>
      <c r="K14" s="705"/>
      <c r="M14" s="694" t="s">
        <v>3819</v>
      </c>
      <c r="N14" s="694" t="s">
        <v>3820</v>
      </c>
      <c r="O14" s="694" t="s">
        <v>3821</v>
      </c>
    </row>
    <row r="15" spans="1:15" ht="15.75" x14ac:dyDescent="0.25">
      <c r="A15" s="700"/>
      <c r="B15" s="701"/>
      <c r="C15" s="701"/>
      <c r="D15" s="701"/>
      <c r="E15" s="706" t="s">
        <v>3816</v>
      </c>
      <c r="F15" s="703"/>
      <c r="G15" s="712">
        <f>+'[2]MARZO 2025'!G15+'[2]FEBRERO 2025'!G15</f>
        <v>200633590.16</v>
      </c>
      <c r="H15" s="713" t="s">
        <v>3822</v>
      </c>
      <c r="I15" s="713"/>
      <c r="J15" s="707">
        <f>+'[2]MARZO 2025'!I15+'[2]FEBRERO 2025'!I15+'[2]ENERO 2025'!J15</f>
        <v>84553321.829999998</v>
      </c>
      <c r="K15" s="715"/>
      <c r="M15" s="694">
        <v>2.1</v>
      </c>
      <c r="N15" s="716">
        <f>G26</f>
        <v>428300030.12999994</v>
      </c>
      <c r="O15" s="716">
        <f>H26</f>
        <v>5231553.59</v>
      </c>
    </row>
    <row r="16" spans="1:15" ht="15.75" x14ac:dyDescent="0.25">
      <c r="A16" s="700"/>
      <c r="B16" s="701"/>
      <c r="C16" s="701"/>
      <c r="D16" s="701"/>
      <c r="E16" s="706" t="s">
        <v>3817</v>
      </c>
      <c r="F16" s="703"/>
      <c r="G16" s="712">
        <f>+'[2]MARZO 2025'!G16+'[2]FEBRERO 2025'!G16+'[2]ENERO 2025'!G16</f>
        <v>23406786.479999997</v>
      </c>
      <c r="H16" s="713"/>
      <c r="I16" s="713"/>
      <c r="J16" s="711"/>
      <c r="K16" s="705"/>
      <c r="M16" s="694">
        <v>2.2000000000000002</v>
      </c>
      <c r="N16" s="716">
        <f>G87</f>
        <v>9962136.9500000011</v>
      </c>
      <c r="O16" s="716">
        <f>H87</f>
        <v>8306683.8600000013</v>
      </c>
    </row>
    <row r="17" spans="1:17" ht="15.75" x14ac:dyDescent="0.25">
      <c r="A17" s="700"/>
      <c r="B17" s="701"/>
      <c r="C17" s="701"/>
      <c r="D17" s="701"/>
      <c r="E17" s="706"/>
      <c r="F17" s="703"/>
      <c r="G17" s="717"/>
      <c r="H17" s="718" t="s">
        <v>3823</v>
      </c>
      <c r="I17" s="719"/>
      <c r="J17" s="707">
        <f>+G10+G11+G12+J10+G14+G15+G16+J14+J15</f>
        <v>326825790.85999995</v>
      </c>
      <c r="K17" s="705"/>
      <c r="M17" s="694">
        <v>2.2999999999999998</v>
      </c>
      <c r="N17" s="716">
        <f>'[3]CONS. FUENTES FINAN'!G212</f>
        <v>4970601.1899999995</v>
      </c>
      <c r="O17" s="716">
        <f>'[3]CONS. FUENTES FINAN'!H212</f>
        <v>3062630.67</v>
      </c>
    </row>
    <row r="18" spans="1:17" ht="15.75" x14ac:dyDescent="0.25">
      <c r="A18" s="700"/>
      <c r="B18" s="701"/>
      <c r="C18" s="701"/>
      <c r="D18" s="701"/>
      <c r="E18" s="720"/>
      <c r="F18" s="721"/>
      <c r="G18" s="722"/>
      <c r="H18" s="722"/>
      <c r="I18" s="703"/>
      <c r="J18" s="703"/>
      <c r="K18" s="705"/>
      <c r="M18" s="694">
        <v>2.4</v>
      </c>
      <c r="N18" s="716">
        <f>G330</f>
        <v>0</v>
      </c>
      <c r="O18" s="716">
        <f>H330</f>
        <v>405851.31</v>
      </c>
    </row>
    <row r="19" spans="1:17" ht="15.75" x14ac:dyDescent="0.25">
      <c r="A19" s="723"/>
      <c r="B19" s="724"/>
      <c r="C19" s="725"/>
      <c r="D19" s="724"/>
      <c r="E19" s="726"/>
      <c r="F19" s="727"/>
      <c r="G19" s="727"/>
      <c r="H19" s="727"/>
      <c r="I19" s="728"/>
      <c r="J19" s="728"/>
      <c r="K19" s="729"/>
      <c r="M19" s="694">
        <v>2.6</v>
      </c>
      <c r="N19" s="716">
        <f>G336</f>
        <v>17857866.620000001</v>
      </c>
      <c r="O19" s="716">
        <f>H336</f>
        <v>5076044.21</v>
      </c>
    </row>
    <row r="20" spans="1:17" x14ac:dyDescent="0.2">
      <c r="A20" s="730"/>
      <c r="B20" s="703"/>
      <c r="C20" s="703"/>
      <c r="D20" s="703"/>
      <c r="E20" s="703"/>
      <c r="F20" s="703"/>
      <c r="G20" s="703"/>
      <c r="H20" s="703"/>
      <c r="I20" s="703"/>
      <c r="J20" s="703"/>
      <c r="K20" s="705"/>
      <c r="M20" s="694">
        <v>2.7</v>
      </c>
      <c r="N20" s="716">
        <f>'[3]CONS. FUENTES FINAN'!G463</f>
        <v>0</v>
      </c>
      <c r="O20" s="716">
        <f>'[3]CONS. FUENTES FINAN'!H463</f>
        <v>0</v>
      </c>
    </row>
    <row r="21" spans="1:17" x14ac:dyDescent="0.2">
      <c r="A21" s="970">
        <v>1</v>
      </c>
      <c r="B21" s="970"/>
      <c r="C21" s="970"/>
      <c r="D21" s="970"/>
      <c r="E21" s="970"/>
      <c r="F21" s="812">
        <v>2</v>
      </c>
      <c r="G21" s="971">
        <v>3</v>
      </c>
      <c r="H21" s="972"/>
      <c r="I21" s="972"/>
      <c r="J21" s="731">
        <v>4</v>
      </c>
      <c r="K21" s="731">
        <v>5</v>
      </c>
    </row>
    <row r="22" spans="1:17" ht="12.75" customHeight="1" x14ac:dyDescent="0.2">
      <c r="A22" s="973" t="s">
        <v>3824</v>
      </c>
      <c r="B22" s="973"/>
      <c r="C22" s="973"/>
      <c r="D22" s="973"/>
      <c r="E22" s="973"/>
      <c r="F22" s="974" t="s">
        <v>3825</v>
      </c>
      <c r="G22" s="977" t="s">
        <v>3826</v>
      </c>
      <c r="H22" s="978"/>
      <c r="I22" s="979"/>
      <c r="J22" s="967" t="s">
        <v>457</v>
      </c>
      <c r="K22" s="958" t="s">
        <v>997</v>
      </c>
    </row>
    <row r="23" spans="1:17" ht="12.75" customHeight="1" x14ac:dyDescent="0.2">
      <c r="A23" s="961" t="s">
        <v>3827</v>
      </c>
      <c r="B23" s="961" t="s">
        <v>3828</v>
      </c>
      <c r="C23" s="961" t="s">
        <v>3829</v>
      </c>
      <c r="D23" s="961" t="s">
        <v>3830</v>
      </c>
      <c r="E23" s="961" t="s">
        <v>3831</v>
      </c>
      <c r="F23" s="975"/>
      <c r="G23" s="963" t="s">
        <v>3832</v>
      </c>
      <c r="H23" s="965" t="s">
        <v>3833</v>
      </c>
      <c r="I23" s="965" t="s">
        <v>3822</v>
      </c>
      <c r="J23" s="968"/>
      <c r="K23" s="959"/>
      <c r="L23" s="732"/>
      <c r="M23" s="957"/>
      <c r="N23" s="957"/>
      <c r="O23" s="957"/>
      <c r="P23" s="957"/>
      <c r="Q23" s="957"/>
    </row>
    <row r="24" spans="1:17" ht="12.75" customHeight="1" x14ac:dyDescent="0.2">
      <c r="A24" s="962"/>
      <c r="B24" s="962"/>
      <c r="C24" s="962"/>
      <c r="D24" s="962"/>
      <c r="E24" s="962"/>
      <c r="F24" s="976"/>
      <c r="G24" s="964"/>
      <c r="H24" s="966"/>
      <c r="I24" s="966"/>
      <c r="J24" s="969"/>
      <c r="K24" s="960"/>
      <c r="L24" s="732"/>
      <c r="M24" s="811"/>
      <c r="N24" s="811"/>
      <c r="O24" s="811"/>
      <c r="P24" s="811"/>
      <c r="Q24" s="811"/>
    </row>
    <row r="25" spans="1:17" ht="13.5" thickBot="1" x14ac:dyDescent="0.25">
      <c r="A25" s="733">
        <v>2</v>
      </c>
      <c r="B25" s="734"/>
      <c r="C25" s="734"/>
      <c r="D25" s="734"/>
      <c r="E25" s="734"/>
      <c r="F25" s="735" t="s">
        <v>3834</v>
      </c>
      <c r="G25" s="872">
        <f>+G26+G87+G212+G330+G336+G463</f>
        <v>502273317.88999993</v>
      </c>
      <c r="H25" s="872">
        <f>+H26+H87+H212+H330+H336+H463</f>
        <v>26312680.25</v>
      </c>
      <c r="I25" s="872">
        <f>+I26+I87+I212+I330+I336+I463</f>
        <v>0</v>
      </c>
      <c r="J25" s="872">
        <f>SUM(G25:I25)</f>
        <v>528585998.13999993</v>
      </c>
      <c r="K25" s="736">
        <f>+K26+K87+K212+K330+K336+K463</f>
        <v>1</v>
      </c>
      <c r="L25" s="732"/>
      <c r="M25" s="732"/>
      <c r="N25" s="732"/>
      <c r="O25" s="732"/>
      <c r="P25" s="732"/>
      <c r="Q25" s="732"/>
    </row>
    <row r="26" spans="1:17" ht="13.5" thickTop="1" x14ac:dyDescent="0.2">
      <c r="A26" s="737">
        <v>2</v>
      </c>
      <c r="B26" s="738">
        <v>1</v>
      </c>
      <c r="C26" s="738"/>
      <c r="D26" s="738"/>
      <c r="E26" s="738"/>
      <c r="F26" s="739" t="s">
        <v>3835</v>
      </c>
      <c r="G26" s="873">
        <f>+G27+G51+G64+G71+G78</f>
        <v>428300030.12999994</v>
      </c>
      <c r="H26" s="873">
        <f>+H27+H51+H64+H71+H78</f>
        <v>5231553.59</v>
      </c>
      <c r="I26" s="873">
        <f>+I27+I51+I64+I71+I78</f>
        <v>0</v>
      </c>
      <c r="J26" s="873">
        <f t="shared" ref="J26:J87" si="0">SUM(G26:I26)</f>
        <v>433531583.71999991</v>
      </c>
      <c r="K26" s="740">
        <f t="shared" ref="K26:K34" si="1">J26/$J$25</f>
        <v>0.82017228085026928</v>
      </c>
      <c r="L26" s="732"/>
      <c r="M26" s="732"/>
      <c r="N26" s="732"/>
      <c r="O26" s="732"/>
      <c r="P26" s="732"/>
      <c r="Q26" s="732"/>
    </row>
    <row r="27" spans="1:17" x14ac:dyDescent="0.2">
      <c r="A27" s="741">
        <v>2</v>
      </c>
      <c r="B27" s="742">
        <v>1</v>
      </c>
      <c r="C27" s="742">
        <v>1</v>
      </c>
      <c r="D27" s="742"/>
      <c r="E27" s="742"/>
      <c r="F27" s="741" t="s">
        <v>3836</v>
      </c>
      <c r="G27" s="874">
        <f>+G28+G35+G42+G44+G46</f>
        <v>393344899.0399999</v>
      </c>
      <c r="H27" s="874">
        <f>+H28+H35+H42+H44+H46</f>
        <v>0</v>
      </c>
      <c r="I27" s="874">
        <f>+I28+I35+I42+I44+I46</f>
        <v>0</v>
      </c>
      <c r="J27" s="874">
        <f t="shared" si="0"/>
        <v>393344899.0399999</v>
      </c>
      <c r="K27" s="740">
        <f t="shared" si="1"/>
        <v>0.74414551354767366</v>
      </c>
      <c r="L27" s="732"/>
      <c r="M27" s="732"/>
      <c r="N27" s="732"/>
      <c r="O27" s="732"/>
      <c r="P27" s="732"/>
      <c r="Q27" s="732"/>
    </row>
    <row r="28" spans="1:17" x14ac:dyDescent="0.2">
      <c r="A28" s="743">
        <v>2</v>
      </c>
      <c r="B28" s="744">
        <v>1</v>
      </c>
      <c r="C28" s="744">
        <v>1</v>
      </c>
      <c r="D28" s="744">
        <v>1</v>
      </c>
      <c r="E28" s="744"/>
      <c r="F28" s="743" t="s">
        <v>2245</v>
      </c>
      <c r="G28" s="745">
        <f>SUM(G29:G34)</f>
        <v>387726654.76999998</v>
      </c>
      <c r="H28" s="745">
        <f>SUM(H29:H34)</f>
        <v>0</v>
      </c>
      <c r="I28" s="745">
        <f>SUM(I29:I34)</f>
        <v>0</v>
      </c>
      <c r="J28" s="745">
        <f>SUM(G28:I28)</f>
        <v>387726654.76999998</v>
      </c>
      <c r="K28" s="746">
        <f t="shared" si="1"/>
        <v>0.73351669573984379</v>
      </c>
    </row>
    <row r="29" spans="1:17" x14ac:dyDescent="0.2">
      <c r="A29" s="747">
        <v>2</v>
      </c>
      <c r="B29" s="748">
        <v>1</v>
      </c>
      <c r="C29" s="748">
        <v>1</v>
      </c>
      <c r="D29" s="748">
        <v>1</v>
      </c>
      <c r="E29" s="749" t="s">
        <v>2221</v>
      </c>
      <c r="F29" s="747" t="s">
        <v>3837</v>
      </c>
      <c r="G29" s="875">
        <f>+'[2]MARZO 2025'!G29+'[2]FEBRERO 2025'!G29+'[2]ENERO 2025'!G29+Hoja5!G26</f>
        <v>225990647.03</v>
      </c>
      <c r="H29" s="875">
        <f>+'[2]MARZO 2025'!H29+'[2]FEBRERO 2025'!H29+'[2]ENERO 2025'!H29+Hoja5!H26</f>
        <v>0</v>
      </c>
      <c r="I29" s="875">
        <v>0</v>
      </c>
      <c r="J29" s="875">
        <f t="shared" si="0"/>
        <v>225990647.03</v>
      </c>
      <c r="K29" s="750">
        <f t="shared" si="1"/>
        <v>0.42753808807880056</v>
      </c>
    </row>
    <row r="30" spans="1:17" x14ac:dyDescent="0.2">
      <c r="A30" s="747">
        <v>2</v>
      </c>
      <c r="B30" s="748">
        <v>1</v>
      </c>
      <c r="C30" s="748">
        <v>1</v>
      </c>
      <c r="D30" s="748">
        <v>1</v>
      </c>
      <c r="E30" s="749" t="s">
        <v>1733</v>
      </c>
      <c r="F30" s="747" t="s">
        <v>3838</v>
      </c>
      <c r="G30" s="875">
        <f>+'[2]MARZO 2025'!G30+'[2]FEBRERO 2025'!G30+'[2]ENERO 2025'!G30+Hoja5!G27</f>
        <v>54771097.32</v>
      </c>
      <c r="H30" s="875">
        <f>+'[2]MARZO 2025'!H30+'[2]FEBRERO 2025'!H30+'[2]ENERO 2025'!H30+Hoja5!H27</f>
        <v>0</v>
      </c>
      <c r="I30" s="875">
        <v>0</v>
      </c>
      <c r="J30" s="875">
        <f t="shared" si="0"/>
        <v>54771097.32</v>
      </c>
      <c r="K30" s="750">
        <f t="shared" si="1"/>
        <v>0.10361813879431113</v>
      </c>
    </row>
    <row r="31" spans="1:17" x14ac:dyDescent="0.2">
      <c r="A31" s="747">
        <v>2</v>
      </c>
      <c r="B31" s="748">
        <v>1</v>
      </c>
      <c r="C31" s="748">
        <v>1</v>
      </c>
      <c r="D31" s="748">
        <v>1</v>
      </c>
      <c r="E31" s="749" t="s">
        <v>3839</v>
      </c>
      <c r="F31" s="747" t="s">
        <v>3840</v>
      </c>
      <c r="G31" s="875">
        <f>+'[2]MARZO 2025'!G31+'[2]FEBRERO 2025'!G31+'[2]ENERO 2025'!G31+Hoja5!G28</f>
        <v>53482455.210000001</v>
      </c>
      <c r="H31" s="875">
        <f>+'[2]MARZO 2025'!H31+'[2]FEBRERO 2025'!H31+'[2]ENERO 2025'!H31+Hoja5!H28</f>
        <v>0</v>
      </c>
      <c r="I31" s="875">
        <v>0</v>
      </c>
      <c r="J31" s="875">
        <f t="shared" si="0"/>
        <v>53482455.210000001</v>
      </c>
      <c r="K31" s="750">
        <f t="shared" si="1"/>
        <v>0.10118023443336609</v>
      </c>
    </row>
    <row r="32" spans="1:17" x14ac:dyDescent="0.2">
      <c r="A32" s="747">
        <v>2</v>
      </c>
      <c r="B32" s="748">
        <v>1</v>
      </c>
      <c r="C32" s="748">
        <v>1</v>
      </c>
      <c r="D32" s="748">
        <v>1</v>
      </c>
      <c r="E32" s="749" t="s">
        <v>625</v>
      </c>
      <c r="F32" s="747" t="s">
        <v>3841</v>
      </c>
      <c r="G32" s="875">
        <f>+'[2]MARZO 2025'!G32+'[2]FEBRERO 2025'!G32+'[2]ENERO 2025'!G32+Hoja5!G29</f>
        <v>53482455.210000001</v>
      </c>
      <c r="H32" s="875">
        <f>+'[2]MARZO 2025'!H32+'[2]FEBRERO 2025'!H32+'[2]ENERO 2025'!H32+Hoja5!H29</f>
        <v>0</v>
      </c>
      <c r="I32" s="875">
        <v>0</v>
      </c>
      <c r="J32" s="875">
        <f t="shared" si="0"/>
        <v>53482455.210000001</v>
      </c>
      <c r="K32" s="751">
        <f t="shared" si="1"/>
        <v>0.10118023443336609</v>
      </c>
    </row>
    <row r="33" spans="1:11" x14ac:dyDescent="0.2">
      <c r="A33" s="747">
        <v>2</v>
      </c>
      <c r="B33" s="748">
        <v>1</v>
      </c>
      <c r="C33" s="748">
        <v>1</v>
      </c>
      <c r="D33" s="748">
        <v>1</v>
      </c>
      <c r="E33" s="749" t="s">
        <v>3842</v>
      </c>
      <c r="F33" s="747" t="s">
        <v>3843</v>
      </c>
      <c r="G33" s="875">
        <f>+'[2]MARZO 2025'!G33+'[2]FEBRERO 2025'!G33+'[2]ENERO 2025'!G33+Hoja5!G30</f>
        <v>0</v>
      </c>
      <c r="H33" s="875">
        <f>+'[2]MARZO 2025'!H33+'[2]FEBRERO 2025'!H33+'[2]ENERO 2025'!H33+Hoja5!H30</f>
        <v>0</v>
      </c>
      <c r="I33" s="875">
        <v>0</v>
      </c>
      <c r="J33" s="875">
        <f t="shared" si="0"/>
        <v>0</v>
      </c>
      <c r="K33" s="751">
        <f t="shared" si="1"/>
        <v>0</v>
      </c>
    </row>
    <row r="34" spans="1:11" x14ac:dyDescent="0.2">
      <c r="A34" s="747">
        <v>2</v>
      </c>
      <c r="B34" s="748">
        <v>1</v>
      </c>
      <c r="C34" s="748">
        <v>1</v>
      </c>
      <c r="D34" s="748">
        <v>1</v>
      </c>
      <c r="E34" s="749" t="s">
        <v>3844</v>
      </c>
      <c r="F34" s="747" t="s">
        <v>3845</v>
      </c>
      <c r="G34" s="875">
        <f>+'[2]MARZO 2025'!G34+'[2]FEBRERO 2025'!G34+'[2]ENERO 2025'!G34+Hoja5!G31</f>
        <v>0</v>
      </c>
      <c r="H34" s="875">
        <f>+'[2]MARZO 2025'!H34+'[2]FEBRERO 2025'!H34+'[2]ENERO 2025'!H34+Hoja5!H31</f>
        <v>0</v>
      </c>
      <c r="I34" s="875">
        <v>0</v>
      </c>
      <c r="J34" s="875">
        <f t="shared" si="0"/>
        <v>0</v>
      </c>
      <c r="K34" s="751">
        <f t="shared" si="1"/>
        <v>0</v>
      </c>
    </row>
    <row r="35" spans="1:11" x14ac:dyDescent="0.2">
      <c r="A35" s="743">
        <v>2</v>
      </c>
      <c r="B35" s="744">
        <v>1</v>
      </c>
      <c r="C35" s="744">
        <v>1</v>
      </c>
      <c r="D35" s="744">
        <v>2</v>
      </c>
      <c r="E35" s="744"/>
      <c r="F35" s="743" t="s">
        <v>3846</v>
      </c>
      <c r="G35" s="745">
        <f>+'[2]MARZO 2025'!G35+'[2]FEBRERO 2025'!G35+'[2]ENERO 2025'!G35+Hoja5!G32</f>
        <v>3177593.09</v>
      </c>
      <c r="H35" s="745">
        <f>+'[2]MARZO 2025'!H35+'[2]FEBRERO 2025'!H35+'[2]ENERO 2025'!H35+Hoja5!H32</f>
        <v>0</v>
      </c>
      <c r="I35" s="745">
        <v>0</v>
      </c>
      <c r="J35" s="745">
        <f>SUM(G35:I35)</f>
        <v>3177593.09</v>
      </c>
      <c r="K35" s="752"/>
    </row>
    <row r="36" spans="1:11" x14ac:dyDescent="0.2">
      <c r="A36" s="747">
        <v>2</v>
      </c>
      <c r="B36" s="748">
        <v>1</v>
      </c>
      <c r="C36" s="748">
        <v>1</v>
      </c>
      <c r="D36" s="748">
        <v>2</v>
      </c>
      <c r="E36" s="749" t="s">
        <v>3839</v>
      </c>
      <c r="F36" s="747" t="s">
        <v>3847</v>
      </c>
      <c r="G36" s="875">
        <f>+'[2]MARZO 2025'!G36+'[2]FEBRERO 2025'!G36+'[2]ENERO 2025'!G36+Hoja5!G33</f>
        <v>0</v>
      </c>
      <c r="H36" s="875">
        <f>+'[2]MARZO 2025'!H36+'[2]FEBRERO 2025'!H36+'[2]ENERO 2025'!H36+Hoja5!H33</f>
        <v>0</v>
      </c>
      <c r="I36" s="875">
        <v>0</v>
      </c>
      <c r="J36" s="875">
        <f t="shared" si="0"/>
        <v>0</v>
      </c>
      <c r="K36" s="751">
        <f t="shared" ref="K36:K41" si="2">J36/$J$25</f>
        <v>0</v>
      </c>
    </row>
    <row r="37" spans="1:11" x14ac:dyDescent="0.2">
      <c r="A37" s="747">
        <v>2</v>
      </c>
      <c r="B37" s="748">
        <v>1</v>
      </c>
      <c r="C37" s="748">
        <v>1</v>
      </c>
      <c r="D37" s="748">
        <v>2</v>
      </c>
      <c r="E37" s="749" t="s">
        <v>3842</v>
      </c>
      <c r="F37" s="747" t="s">
        <v>3848</v>
      </c>
      <c r="G37" s="875">
        <f>+'[2]MARZO 2025'!G37+'[2]FEBRERO 2025'!G37+'[2]ENERO 2025'!G37+Hoja5!G34</f>
        <v>0</v>
      </c>
      <c r="H37" s="875">
        <f>+'[2]MARZO 2025'!H37+'[2]FEBRERO 2025'!H37+'[2]ENERO 2025'!H37+Hoja5!H34</f>
        <v>0</v>
      </c>
      <c r="I37" s="875">
        <v>0</v>
      </c>
      <c r="J37" s="875">
        <f t="shared" si="0"/>
        <v>0</v>
      </c>
      <c r="K37" s="751">
        <f t="shared" si="2"/>
        <v>0</v>
      </c>
    </row>
    <row r="38" spans="1:11" x14ac:dyDescent="0.2">
      <c r="A38" s="747">
        <v>2</v>
      </c>
      <c r="B38" s="748">
        <v>1</v>
      </c>
      <c r="C38" s="748">
        <v>1</v>
      </c>
      <c r="D38" s="748">
        <v>2</v>
      </c>
      <c r="E38" s="749" t="s">
        <v>3844</v>
      </c>
      <c r="F38" s="747" t="s">
        <v>3849</v>
      </c>
      <c r="G38" s="875">
        <f>+'[2]MARZO 2025'!G38+'[2]FEBRERO 2025'!G38+'[2]ENERO 2025'!G38+Hoja5!G35</f>
        <v>1107531.03</v>
      </c>
      <c r="H38" s="875">
        <f>+'[2]MARZO 2025'!H38+'[2]FEBRERO 2025'!H38+'[2]ENERO 2025'!H38+Hoja5!H35</f>
        <v>0</v>
      </c>
      <c r="I38" s="875">
        <v>0</v>
      </c>
      <c r="J38" s="875">
        <f t="shared" si="0"/>
        <v>1107531.03</v>
      </c>
      <c r="K38" s="751">
        <f t="shared" si="2"/>
        <v>2.0952712215177938E-3</v>
      </c>
    </row>
    <row r="39" spans="1:11" x14ac:dyDescent="0.2">
      <c r="A39" s="747">
        <v>2</v>
      </c>
      <c r="B39" s="748">
        <v>1</v>
      </c>
      <c r="C39" s="748">
        <v>1</v>
      </c>
      <c r="D39" s="748">
        <v>2</v>
      </c>
      <c r="E39" s="749" t="s">
        <v>3850</v>
      </c>
      <c r="F39" s="747" t="s">
        <v>2273</v>
      </c>
      <c r="G39" s="875">
        <f>+'[2]MARZO 2025'!G39+'[2]FEBRERO 2025'!G39+'[2]ENERO 2025'!G39+Hoja5!G36</f>
        <v>3177593.09</v>
      </c>
      <c r="H39" s="875">
        <f>+'[2]MARZO 2025'!H39+'[2]FEBRERO 2025'!H39+'[2]ENERO 2025'!H39+Hoja5!H36</f>
        <v>0</v>
      </c>
      <c r="I39" s="875">
        <v>0</v>
      </c>
      <c r="J39" s="875">
        <f t="shared" si="0"/>
        <v>3177593.09</v>
      </c>
      <c r="K39" s="751">
        <f t="shared" si="2"/>
        <v>6.0114969015096584E-3</v>
      </c>
    </row>
    <row r="40" spans="1:11" x14ac:dyDescent="0.2">
      <c r="A40" s="747">
        <v>2</v>
      </c>
      <c r="B40" s="748">
        <v>1</v>
      </c>
      <c r="C40" s="748">
        <v>1</v>
      </c>
      <c r="D40" s="748">
        <v>2</v>
      </c>
      <c r="E40" s="749" t="s">
        <v>3851</v>
      </c>
      <c r="F40" s="747" t="s">
        <v>3852</v>
      </c>
      <c r="G40" s="875">
        <f>+'[2]MARZO 2025'!G40+'[2]FEBRERO 2025'!G40+'[2]ENERO 2025'!G40+Hoja5!G37</f>
        <v>0</v>
      </c>
      <c r="H40" s="875">
        <f>+'[2]MARZO 2025'!H40+'[2]FEBRERO 2025'!H40+'[2]ENERO 2025'!H40+Hoja5!H37</f>
        <v>0</v>
      </c>
      <c r="I40" s="875">
        <v>0</v>
      </c>
      <c r="J40" s="875">
        <f t="shared" si="0"/>
        <v>0</v>
      </c>
      <c r="K40" s="751">
        <f t="shared" si="2"/>
        <v>0</v>
      </c>
    </row>
    <row r="41" spans="1:11" x14ac:dyDescent="0.2">
      <c r="A41" s="747">
        <v>2</v>
      </c>
      <c r="B41" s="748">
        <v>1</v>
      </c>
      <c r="C41" s="748">
        <v>1</v>
      </c>
      <c r="D41" s="748">
        <v>2</v>
      </c>
      <c r="E41" s="749" t="s">
        <v>591</v>
      </c>
      <c r="F41" s="747" t="s">
        <v>3853</v>
      </c>
      <c r="G41" s="875">
        <f>+'[2]MARZO 2025'!G41+'[2]FEBRERO 2025'!G41+'[2]ENERO 2025'!G41+Hoja5!G38</f>
        <v>0</v>
      </c>
      <c r="H41" s="875">
        <f>+'[2]MARZO 2025'!H41+'[2]FEBRERO 2025'!H41+'[2]ENERO 2025'!H41+Hoja5!H38</f>
        <v>0</v>
      </c>
      <c r="I41" s="875">
        <v>0</v>
      </c>
      <c r="J41" s="875">
        <f>SUM(G41:I41)</f>
        <v>0</v>
      </c>
      <c r="K41" s="751">
        <f t="shared" si="2"/>
        <v>0</v>
      </c>
    </row>
    <row r="42" spans="1:11" x14ac:dyDescent="0.2">
      <c r="A42" s="743">
        <v>2</v>
      </c>
      <c r="B42" s="744">
        <v>1</v>
      </c>
      <c r="C42" s="744">
        <v>1</v>
      </c>
      <c r="D42" s="744">
        <v>3</v>
      </c>
      <c r="E42" s="744"/>
      <c r="F42" s="743" t="s">
        <v>3854</v>
      </c>
      <c r="G42" s="745">
        <f>+'[2]MARZO 2025'!G42+'[2]FEBRERO 2025'!G42+'[2]ENERO 2025'!G42+Hoja5!G39</f>
        <v>1107531.03</v>
      </c>
      <c r="H42" s="745">
        <f>+'[2]MARZO 2025'!H42+'[2]FEBRERO 2025'!H42+'[2]ENERO 2025'!H42+Hoja5!H39</f>
        <v>0</v>
      </c>
      <c r="I42" s="745">
        <v>0</v>
      </c>
      <c r="J42" s="745">
        <f t="shared" si="0"/>
        <v>1107531.03</v>
      </c>
      <c r="K42" s="752"/>
    </row>
    <row r="43" spans="1:11" x14ac:dyDescent="0.2">
      <c r="A43" s="747">
        <v>2</v>
      </c>
      <c r="B43" s="748">
        <v>1</v>
      </c>
      <c r="C43" s="748">
        <v>1</v>
      </c>
      <c r="D43" s="748">
        <v>3</v>
      </c>
      <c r="E43" s="749" t="s">
        <v>2221</v>
      </c>
      <c r="F43" s="747" t="s">
        <v>3854</v>
      </c>
      <c r="G43" s="875">
        <f>+'[2]MARZO 2025'!G43+'[2]FEBRERO 2025'!G43+'[2]ENERO 2025'!G43+Hoja5!G40</f>
        <v>0</v>
      </c>
      <c r="H43" s="875">
        <f>+'[2]MARZO 2025'!H43+'[2]FEBRERO 2025'!H43+'[2]ENERO 2025'!H43+Hoja5!H40</f>
        <v>0</v>
      </c>
      <c r="I43" s="875">
        <v>0</v>
      </c>
      <c r="J43" s="875">
        <f t="shared" si="0"/>
        <v>0</v>
      </c>
      <c r="K43" s="751">
        <f>J43/$J$25</f>
        <v>0</v>
      </c>
    </row>
    <row r="44" spans="1:11" x14ac:dyDescent="0.2">
      <c r="A44" s="743">
        <v>2</v>
      </c>
      <c r="B44" s="744">
        <v>1</v>
      </c>
      <c r="C44" s="744">
        <v>1</v>
      </c>
      <c r="D44" s="744">
        <v>4</v>
      </c>
      <c r="E44" s="744"/>
      <c r="F44" s="743" t="s">
        <v>3855</v>
      </c>
      <c r="G44" s="745">
        <f>+'[2]MARZO 2025'!G44+'[2]FEBRERO 2025'!G44+'[2]ENERO 2025'!G44+Hoja5!G41</f>
        <v>0</v>
      </c>
      <c r="H44" s="745">
        <f>+'[2]MARZO 2025'!H44+'[2]FEBRERO 2025'!H44+'[2]ENERO 2025'!H44+Hoja5!H41</f>
        <v>0</v>
      </c>
      <c r="I44" s="745">
        <v>0</v>
      </c>
      <c r="J44" s="745">
        <f t="shared" si="0"/>
        <v>0</v>
      </c>
      <c r="K44" s="752"/>
    </row>
    <row r="45" spans="1:11" x14ac:dyDescent="0.2">
      <c r="A45" s="747">
        <v>2</v>
      </c>
      <c r="B45" s="748">
        <v>1</v>
      </c>
      <c r="C45" s="748">
        <v>1</v>
      </c>
      <c r="D45" s="748">
        <v>4</v>
      </c>
      <c r="E45" s="749" t="s">
        <v>2221</v>
      </c>
      <c r="F45" s="747" t="s">
        <v>3855</v>
      </c>
      <c r="G45" s="875">
        <f>+'[2]MARZO 2025'!G45+'[2]FEBRERO 2025'!G45+'[2]ENERO 2025'!G45+Hoja5!G42</f>
        <v>0</v>
      </c>
      <c r="H45" s="875">
        <f>+'[2]MARZO 2025'!H45+'[2]FEBRERO 2025'!H45+'[2]ENERO 2025'!H45+Hoja5!H42</f>
        <v>0</v>
      </c>
      <c r="I45" s="875">
        <v>0</v>
      </c>
      <c r="J45" s="875">
        <f t="shared" si="0"/>
        <v>0</v>
      </c>
      <c r="K45" s="751">
        <f>J45/$J$25</f>
        <v>0</v>
      </c>
    </row>
    <row r="46" spans="1:11" x14ac:dyDescent="0.2">
      <c r="A46" s="743">
        <v>2</v>
      </c>
      <c r="B46" s="744">
        <v>1</v>
      </c>
      <c r="C46" s="744">
        <v>1</v>
      </c>
      <c r="D46" s="744">
        <v>5</v>
      </c>
      <c r="E46" s="744"/>
      <c r="F46" s="743" t="s">
        <v>3856</v>
      </c>
      <c r="G46" s="745">
        <f>+'[2]MARZO 2025'!G46+'[2]FEBRERO 2025'!G46+'[2]ENERO 2025'!G46+Hoja5!G43</f>
        <v>1333120.1499999999</v>
      </c>
      <c r="H46" s="745">
        <f>+'[2]MARZO 2025'!H46+'[2]FEBRERO 2025'!H46+'[2]ENERO 2025'!H46+Hoja5!H43</f>
        <v>0</v>
      </c>
      <c r="I46" s="745">
        <v>0</v>
      </c>
      <c r="J46" s="745">
        <f t="shared" si="0"/>
        <v>1333120.1499999999</v>
      </c>
      <c r="K46" s="752"/>
    </row>
    <row r="47" spans="1:11" x14ac:dyDescent="0.2">
      <c r="A47" s="747">
        <v>2</v>
      </c>
      <c r="B47" s="748">
        <v>1</v>
      </c>
      <c r="C47" s="748">
        <v>1</v>
      </c>
      <c r="D47" s="748">
        <v>5</v>
      </c>
      <c r="E47" s="749" t="s">
        <v>2221</v>
      </c>
      <c r="F47" s="747" t="s">
        <v>3856</v>
      </c>
      <c r="G47" s="875">
        <f>+'[2]MARZO 2025'!G47+'[2]FEBRERO 2025'!G47+'[2]ENERO 2025'!G47+Hoja5!G44</f>
        <v>815000</v>
      </c>
      <c r="H47" s="875">
        <f>+'[2]MARZO 2025'!H47+'[2]FEBRERO 2025'!H47+'[2]ENERO 2025'!H47+Hoja5!H44</f>
        <v>0</v>
      </c>
      <c r="I47" s="875">
        <v>0</v>
      </c>
      <c r="J47" s="875">
        <f t="shared" si="0"/>
        <v>815000</v>
      </c>
      <c r="K47" s="751">
        <f>J47/$J$25</f>
        <v>1.5418493922802344E-3</v>
      </c>
    </row>
    <row r="48" spans="1:11" x14ac:dyDescent="0.2">
      <c r="A48" s="747">
        <v>2</v>
      </c>
      <c r="B48" s="748">
        <v>1</v>
      </c>
      <c r="C48" s="748">
        <v>1</v>
      </c>
      <c r="D48" s="748">
        <v>5</v>
      </c>
      <c r="E48" s="749" t="s">
        <v>1733</v>
      </c>
      <c r="F48" s="747" t="s">
        <v>3857</v>
      </c>
      <c r="G48" s="875">
        <f>+'[2]MARZO 2025'!G48+'[2]FEBRERO 2025'!G48+'[2]ENERO 2025'!G48+Hoja5!G45</f>
        <v>0</v>
      </c>
      <c r="H48" s="875">
        <f>+'[2]MARZO 2025'!H48+'[2]FEBRERO 2025'!H48+'[2]ENERO 2025'!H48+Hoja5!H45</f>
        <v>0</v>
      </c>
      <c r="I48" s="875">
        <v>0</v>
      </c>
      <c r="J48" s="875">
        <f t="shared" si="0"/>
        <v>0</v>
      </c>
      <c r="K48" s="751">
        <f>J48/$J$25</f>
        <v>0</v>
      </c>
    </row>
    <row r="49" spans="1:11" x14ac:dyDescent="0.2">
      <c r="A49" s="747">
        <v>2</v>
      </c>
      <c r="B49" s="748">
        <v>1</v>
      </c>
      <c r="C49" s="748">
        <v>1</v>
      </c>
      <c r="D49" s="748">
        <v>5</v>
      </c>
      <c r="E49" s="749" t="s">
        <v>3839</v>
      </c>
      <c r="F49" s="747" t="s">
        <v>2288</v>
      </c>
      <c r="G49" s="875">
        <f>+'[2]MARZO 2025'!G49+'[2]FEBRERO 2025'!G49+'[2]ENERO 2025'!G49+Hoja5!G46</f>
        <v>181111.08000000002</v>
      </c>
      <c r="H49" s="875">
        <f>+'[2]MARZO 2025'!H49+'[2]FEBRERO 2025'!H49+'[2]ENERO 2025'!H49+Hoja5!H46</f>
        <v>0</v>
      </c>
      <c r="I49" s="875">
        <v>0</v>
      </c>
      <c r="J49" s="875">
        <f t="shared" si="0"/>
        <v>181111.08000000002</v>
      </c>
      <c r="K49" s="751">
        <f>J49/$J$25</f>
        <v>3.4263313942726006E-4</v>
      </c>
    </row>
    <row r="50" spans="1:11" x14ac:dyDescent="0.2">
      <c r="A50" s="747">
        <v>2</v>
      </c>
      <c r="B50" s="748">
        <v>1</v>
      </c>
      <c r="C50" s="748">
        <v>1</v>
      </c>
      <c r="D50" s="748">
        <v>5</v>
      </c>
      <c r="E50" s="749" t="s">
        <v>625</v>
      </c>
      <c r="F50" s="747" t="s">
        <v>2284</v>
      </c>
      <c r="G50" s="875">
        <f>+'[2]MARZO 2025'!G50+'[2]FEBRERO 2025'!G50+'[2]ENERO 2025'!G50+Hoja5!G47</f>
        <v>518120.15</v>
      </c>
      <c r="H50" s="875">
        <f>+'[2]MARZO 2025'!H50+'[2]FEBRERO 2025'!H50+'[2]ENERO 2025'!H50+Hoja5!H47</f>
        <v>0</v>
      </c>
      <c r="I50" s="875">
        <v>0</v>
      </c>
      <c r="J50" s="875">
        <f t="shared" si="0"/>
        <v>518120.15</v>
      </c>
      <c r="K50" s="751">
        <f>J50/$J$25</f>
        <v>9.8020029252226257E-4</v>
      </c>
    </row>
    <row r="51" spans="1:11" x14ac:dyDescent="0.2">
      <c r="A51" s="741">
        <v>2</v>
      </c>
      <c r="B51" s="742">
        <v>1</v>
      </c>
      <c r="C51" s="742">
        <v>2</v>
      </c>
      <c r="D51" s="742"/>
      <c r="E51" s="742"/>
      <c r="F51" s="741" t="s">
        <v>3740</v>
      </c>
      <c r="G51" s="874">
        <f>+'[2]MARZO 2025'!G51+'[2]FEBRERO 2025'!G51+'[2]ENERO 2025'!G51+Hoja5!G48</f>
        <v>9594398.8000000007</v>
      </c>
      <c r="H51" s="874">
        <f>+'[2]MARZO 2025'!H51+'[2]FEBRERO 2025'!H51+'[2]ENERO 2025'!H51+Hoja5!H48</f>
        <v>5231553.59</v>
      </c>
      <c r="I51" s="874">
        <v>0</v>
      </c>
      <c r="J51" s="874">
        <f t="shared" si="0"/>
        <v>14825952.390000001</v>
      </c>
      <c r="K51" s="740"/>
    </row>
    <row r="52" spans="1:11" x14ac:dyDescent="0.2">
      <c r="A52" s="743">
        <v>2</v>
      </c>
      <c r="B52" s="744">
        <v>1</v>
      </c>
      <c r="C52" s="744">
        <v>2</v>
      </c>
      <c r="D52" s="744">
        <v>1</v>
      </c>
      <c r="E52" s="744"/>
      <c r="F52" s="743" t="s">
        <v>2251</v>
      </c>
      <c r="G52" s="745">
        <f>+'[2]MARZO 2025'!G52+'[2]FEBRERO 2025'!G52+'[2]ENERO 2025'!G52+Hoja5!G49</f>
        <v>8348809.5</v>
      </c>
      <c r="H52" s="745">
        <f>+'[2]MARZO 2025'!H52+'[2]FEBRERO 2025'!H52+'[2]ENERO 2025'!H52+Hoja5!H49</f>
        <v>0</v>
      </c>
      <c r="I52" s="745">
        <v>0</v>
      </c>
      <c r="J52" s="745">
        <f t="shared" si="0"/>
        <v>8348809.5</v>
      </c>
      <c r="K52" s="752"/>
    </row>
    <row r="53" spans="1:11" x14ac:dyDescent="0.2">
      <c r="A53" s="747">
        <v>2</v>
      </c>
      <c r="B53" s="748">
        <v>1</v>
      </c>
      <c r="C53" s="748">
        <v>2</v>
      </c>
      <c r="D53" s="748">
        <v>1</v>
      </c>
      <c r="E53" s="749" t="s">
        <v>2221</v>
      </c>
      <c r="F53" s="747" t="s">
        <v>2251</v>
      </c>
      <c r="G53" s="875">
        <f>+'[2]MARZO 2025'!G53+'[2]FEBRERO 2025'!G53+'[2]ENERO 2025'!G53+Hoja5!G50</f>
        <v>8345120.5800000001</v>
      </c>
      <c r="H53" s="875">
        <f>+'[2]MARZO 2025'!H53+'[2]FEBRERO 2025'!H53+'[2]ENERO 2025'!H53+Hoja5!H50</f>
        <v>0</v>
      </c>
      <c r="I53" s="875">
        <v>0</v>
      </c>
      <c r="J53" s="875">
        <f t="shared" si="0"/>
        <v>8345120.5800000001</v>
      </c>
      <c r="K53" s="751">
        <f>J53/$J$25</f>
        <v>1.5787630791138992E-2</v>
      </c>
    </row>
    <row r="54" spans="1:11" x14ac:dyDescent="0.2">
      <c r="A54" s="743">
        <v>2</v>
      </c>
      <c r="B54" s="744">
        <v>1</v>
      </c>
      <c r="C54" s="744">
        <v>2</v>
      </c>
      <c r="D54" s="744">
        <v>2</v>
      </c>
      <c r="E54" s="744"/>
      <c r="F54" s="743" t="s">
        <v>2254</v>
      </c>
      <c r="G54" s="745">
        <f>+'[2]MARZO 2025'!G54+'[2]FEBRERO 2025'!G54+'[2]ENERO 2025'!G54+Hoja5!G51</f>
        <v>4722953.7799999993</v>
      </c>
      <c r="H54" s="745">
        <f>+'[2]MARZO 2025'!H54+'[2]FEBRERO 2025'!H54+'[2]ENERO 2025'!H54+Hoja5!H51</f>
        <v>5231553.59</v>
      </c>
      <c r="I54" s="745">
        <v>0</v>
      </c>
      <c r="J54" s="745">
        <f t="shared" si="0"/>
        <v>9954507.3699999992</v>
      </c>
      <c r="K54" s="752"/>
    </row>
    <row r="55" spans="1:11" x14ac:dyDescent="0.2">
      <c r="A55" s="747">
        <v>2</v>
      </c>
      <c r="B55" s="748">
        <v>1</v>
      </c>
      <c r="C55" s="748">
        <v>2</v>
      </c>
      <c r="D55" s="748">
        <v>2</v>
      </c>
      <c r="E55" s="749" t="s">
        <v>2221</v>
      </c>
      <c r="F55" s="747" t="s">
        <v>3858</v>
      </c>
      <c r="G55" s="875">
        <f>+'[2]MARZO 2025'!G55+'[2]FEBRERO 2025'!G55+'[2]ENERO 2025'!G55+Hoja5!G52</f>
        <v>2739824.52</v>
      </c>
      <c r="H55" s="875">
        <f>+'[2]MARZO 2025'!H55+'[2]FEBRERO 2025'!H55+'[2]ENERO 2025'!H55+Hoja5!H52</f>
        <v>0</v>
      </c>
      <c r="I55" s="875">
        <v>0</v>
      </c>
      <c r="J55" s="875">
        <f t="shared" si="0"/>
        <v>2739824.52</v>
      </c>
      <c r="K55" s="751">
        <f t="shared" ref="K55:K63" si="3">J55/$J$25</f>
        <v>5.183308921615319E-3</v>
      </c>
    </row>
    <row r="56" spans="1:11" x14ac:dyDescent="0.2">
      <c r="A56" s="747">
        <v>2</v>
      </c>
      <c r="B56" s="748">
        <v>1</v>
      </c>
      <c r="C56" s="748">
        <v>2</v>
      </c>
      <c r="D56" s="748">
        <v>2</v>
      </c>
      <c r="E56" s="749" t="s">
        <v>3839</v>
      </c>
      <c r="F56" s="753" t="s">
        <v>3859</v>
      </c>
      <c r="G56" s="875">
        <f>+'[2]MARZO 2025'!G56+'[2]FEBRERO 2025'!G56+'[2]ENERO 2025'!G56+Hoja5!G53</f>
        <v>2739824.52</v>
      </c>
      <c r="H56" s="875">
        <f>+'[2]MARZO 2025'!H56+'[2]FEBRERO 2025'!H56+'[2]ENERO 2025'!H56+Hoja5!H53</f>
        <v>0</v>
      </c>
      <c r="I56" s="875">
        <v>0</v>
      </c>
      <c r="J56" s="875">
        <f t="shared" si="0"/>
        <v>2739824.52</v>
      </c>
      <c r="K56" s="751">
        <f t="shared" si="3"/>
        <v>5.183308921615319E-3</v>
      </c>
    </row>
    <row r="57" spans="1:11" x14ac:dyDescent="0.2">
      <c r="A57" s="747">
        <v>2</v>
      </c>
      <c r="B57" s="748">
        <v>1</v>
      </c>
      <c r="C57" s="748">
        <v>2</v>
      </c>
      <c r="D57" s="748">
        <v>2</v>
      </c>
      <c r="E57" s="749" t="s">
        <v>625</v>
      </c>
      <c r="F57" s="747" t="s">
        <v>3860</v>
      </c>
      <c r="G57" s="875">
        <f>+'[2]MARZO 2025'!G57+'[2]FEBRERO 2025'!G57+'[2]ENERO 2025'!G57+Hoja5!G54</f>
        <v>645139.96</v>
      </c>
      <c r="H57" s="875">
        <f>+'[2]MARZO 2025'!H57+'[2]FEBRERO 2025'!H57+'[2]ENERO 2025'!H57+Hoja5!H54</f>
        <v>0</v>
      </c>
      <c r="I57" s="875">
        <v>0</v>
      </c>
      <c r="J57" s="875">
        <f t="shared" si="0"/>
        <v>645139.96</v>
      </c>
      <c r="K57" s="751">
        <f t="shared" si="3"/>
        <v>1.2205014174990118E-3</v>
      </c>
    </row>
    <row r="58" spans="1:11" x14ac:dyDescent="0.2">
      <c r="A58" s="747">
        <v>2</v>
      </c>
      <c r="B58" s="748">
        <v>1</v>
      </c>
      <c r="C58" s="748">
        <v>2</v>
      </c>
      <c r="D58" s="748">
        <v>2</v>
      </c>
      <c r="E58" s="749" t="s">
        <v>3842</v>
      </c>
      <c r="F58" s="747" t="s">
        <v>3861</v>
      </c>
      <c r="G58" s="875">
        <f>+'[2]MARZO 2025'!G58+'[2]FEBRERO 2025'!G58+'[2]ENERO 2025'!G58+Hoja5!G55</f>
        <v>135000</v>
      </c>
      <c r="H58" s="875">
        <f>+'[2]MARZO 2025'!H58+'[2]FEBRERO 2025'!H58+'[2]ENERO 2025'!H58+Hoja5!H55</f>
        <v>0</v>
      </c>
      <c r="I58" s="875">
        <v>0</v>
      </c>
      <c r="J58" s="875">
        <f t="shared" si="0"/>
        <v>135000</v>
      </c>
      <c r="K58" s="751">
        <f t="shared" si="3"/>
        <v>2.5539836559243149E-4</v>
      </c>
    </row>
    <row r="59" spans="1:11" x14ac:dyDescent="0.2">
      <c r="A59" s="747">
        <v>2</v>
      </c>
      <c r="B59" s="748">
        <v>1</v>
      </c>
      <c r="C59" s="748">
        <v>2</v>
      </c>
      <c r="D59" s="748">
        <v>2</v>
      </c>
      <c r="E59" s="749" t="s">
        <v>3844</v>
      </c>
      <c r="F59" s="747" t="s">
        <v>3862</v>
      </c>
      <c r="G59" s="875">
        <f>+'[2]MARZO 2025'!G59+'[2]FEBRERO 2025'!G59+'[2]ENERO 2025'!G59+Hoja5!G56</f>
        <v>0</v>
      </c>
      <c r="H59" s="875">
        <f>+'[2]MARZO 2025'!H59+'[2]FEBRERO 2025'!H59+'[2]ENERO 2025'!H59+Hoja5!H56</f>
        <v>5231553.59</v>
      </c>
      <c r="I59" s="875">
        <v>0</v>
      </c>
      <c r="J59" s="875">
        <f t="shared" si="0"/>
        <v>5231553.59</v>
      </c>
      <c r="K59" s="751">
        <f t="shared" si="3"/>
        <v>9.8972610103349422E-3</v>
      </c>
    </row>
    <row r="60" spans="1:11" x14ac:dyDescent="0.2">
      <c r="A60" s="747">
        <v>2</v>
      </c>
      <c r="B60" s="748">
        <v>1</v>
      </c>
      <c r="C60" s="748">
        <v>2</v>
      </c>
      <c r="D60" s="748">
        <v>2</v>
      </c>
      <c r="E60" s="749" t="s">
        <v>3863</v>
      </c>
      <c r="F60" s="747" t="s">
        <v>3864</v>
      </c>
      <c r="G60" s="875">
        <f>+'[2]MARZO 2025'!G60+'[2]FEBRERO 2025'!G60+'[2]ENERO 2025'!G60+Hoja5!G57</f>
        <v>0</v>
      </c>
      <c r="H60" s="875">
        <f>+'[2]MARZO 2025'!H60+'[2]FEBRERO 2025'!H60+'[2]ENERO 2025'!H60+Hoja5!H57</f>
        <v>0</v>
      </c>
      <c r="I60" s="875">
        <v>0</v>
      </c>
      <c r="J60" s="875">
        <f t="shared" si="0"/>
        <v>0</v>
      </c>
      <c r="K60" s="751">
        <f t="shared" si="3"/>
        <v>0</v>
      </c>
    </row>
    <row r="61" spans="1:11" x14ac:dyDescent="0.2">
      <c r="A61" s="747">
        <v>2</v>
      </c>
      <c r="B61" s="748">
        <v>1</v>
      </c>
      <c r="C61" s="748">
        <v>2</v>
      </c>
      <c r="D61" s="748">
        <v>2</v>
      </c>
      <c r="E61" s="749" t="s">
        <v>3850</v>
      </c>
      <c r="F61" s="747" t="s">
        <v>2256</v>
      </c>
      <c r="G61" s="875">
        <f>+'[2]MARZO 2025'!G61+'[2]FEBRERO 2025'!G61+'[2]ENERO 2025'!G61+Hoja5!G58</f>
        <v>1039000</v>
      </c>
      <c r="H61" s="875">
        <f>+'[2]MARZO 2025'!H61+'[2]FEBRERO 2025'!H61+'[2]ENERO 2025'!H61+Hoja5!H58</f>
        <v>0</v>
      </c>
      <c r="I61" s="875">
        <v>0</v>
      </c>
      <c r="J61" s="875">
        <f t="shared" si="0"/>
        <v>1039000</v>
      </c>
      <c r="K61" s="751">
        <f t="shared" si="3"/>
        <v>1.9656214951891578E-3</v>
      </c>
    </row>
    <row r="62" spans="1:11" x14ac:dyDescent="0.2">
      <c r="A62" s="747">
        <v>2</v>
      </c>
      <c r="B62" s="748">
        <v>1</v>
      </c>
      <c r="C62" s="748">
        <v>2</v>
      </c>
      <c r="D62" s="748">
        <v>2</v>
      </c>
      <c r="E62" s="749" t="s">
        <v>3851</v>
      </c>
      <c r="F62" s="747" t="s">
        <v>3865</v>
      </c>
      <c r="G62" s="875">
        <f>+'[2]MARZO 2025'!G62+'[2]FEBRERO 2025'!G62+'[2]ENERO 2025'!G62+Hoja5!G59</f>
        <v>0</v>
      </c>
      <c r="H62" s="875">
        <f>+'[2]MARZO 2025'!H62+'[2]FEBRERO 2025'!H62+'[2]ENERO 2025'!H62+Hoja5!H59</f>
        <v>0</v>
      </c>
      <c r="I62" s="875">
        <v>0</v>
      </c>
      <c r="J62" s="875">
        <f t="shared" si="0"/>
        <v>0</v>
      </c>
      <c r="K62" s="751">
        <f t="shared" si="3"/>
        <v>0</v>
      </c>
    </row>
    <row r="63" spans="1:11" ht="25.5" x14ac:dyDescent="0.2">
      <c r="A63" s="747">
        <v>2</v>
      </c>
      <c r="B63" s="748">
        <v>1</v>
      </c>
      <c r="C63" s="748">
        <v>2</v>
      </c>
      <c r="D63" s="748">
        <v>2</v>
      </c>
      <c r="E63" s="748">
        <v>10</v>
      </c>
      <c r="F63" s="753" t="s">
        <v>3866</v>
      </c>
      <c r="G63" s="875">
        <f>+'[2]MARZO 2025'!G63+'[2]FEBRERO 2025'!G63+'[2]ENERO 2025'!G63+Hoja5!G60</f>
        <v>208989.3</v>
      </c>
      <c r="H63" s="875">
        <f>+'[2]MARZO 2025'!H63+'[2]FEBRERO 2025'!H63+'[2]ENERO 2025'!H63+Hoja5!H60</f>
        <v>0</v>
      </c>
      <c r="I63" s="875">
        <v>0</v>
      </c>
      <c r="J63" s="875">
        <f t="shared" si="0"/>
        <v>208989.3</v>
      </c>
      <c r="K63" s="751">
        <f t="shared" si="3"/>
        <v>3.9537426404671357E-4</v>
      </c>
    </row>
    <row r="64" spans="1:11" x14ac:dyDescent="0.2">
      <c r="A64" s="754">
        <v>2</v>
      </c>
      <c r="B64" s="742">
        <v>1</v>
      </c>
      <c r="C64" s="742">
        <v>3</v>
      </c>
      <c r="D64" s="742"/>
      <c r="E64" s="742"/>
      <c r="F64" s="754" t="s">
        <v>3867</v>
      </c>
      <c r="G64" s="874">
        <f>+'[2]MARZO 2025'!G64+'[2]FEBRERO 2025'!G64+'[2]ENERO 2025'!G64+Hoja5!G61</f>
        <v>339600</v>
      </c>
      <c r="H64" s="874">
        <f>+'[2]MARZO 2025'!H64+'[2]FEBRERO 2025'!H64+'[2]ENERO 2025'!H64+Hoja5!H61</f>
        <v>0</v>
      </c>
      <c r="I64" s="874">
        <v>0</v>
      </c>
      <c r="J64" s="874">
        <f t="shared" si="0"/>
        <v>339600</v>
      </c>
      <c r="K64" s="740"/>
    </row>
    <row r="65" spans="1:11" x14ac:dyDescent="0.2">
      <c r="A65" s="755">
        <v>2</v>
      </c>
      <c r="B65" s="744">
        <v>1</v>
      </c>
      <c r="C65" s="744">
        <v>3</v>
      </c>
      <c r="D65" s="744">
        <v>1</v>
      </c>
      <c r="E65" s="744"/>
      <c r="F65" s="755" t="s">
        <v>3868</v>
      </c>
      <c r="G65" s="745">
        <f>+'[2]MARZO 2025'!G65+'[2]FEBRERO 2025'!G65+'[2]ENERO 2025'!G65+Hoja5!G62</f>
        <v>0</v>
      </c>
      <c r="H65" s="745">
        <f>+'[2]MARZO 2025'!H65+'[2]FEBRERO 2025'!H65+'[2]ENERO 2025'!H65+Hoja5!H62</f>
        <v>0</v>
      </c>
      <c r="I65" s="745">
        <v>0</v>
      </c>
      <c r="J65" s="745">
        <f t="shared" si="0"/>
        <v>0</v>
      </c>
      <c r="K65" s="752"/>
    </row>
    <row r="66" spans="1:11" x14ac:dyDescent="0.2">
      <c r="A66" s="756">
        <v>2</v>
      </c>
      <c r="B66" s="748">
        <v>1</v>
      </c>
      <c r="C66" s="748">
        <v>3</v>
      </c>
      <c r="D66" s="748">
        <v>1</v>
      </c>
      <c r="E66" s="749" t="s">
        <v>2221</v>
      </c>
      <c r="F66" s="756" t="s">
        <v>3869</v>
      </c>
      <c r="G66" s="875">
        <f>+'[2]MARZO 2025'!G66+'[2]FEBRERO 2025'!G66+'[2]ENERO 2025'!G66+Hoja5!G63</f>
        <v>260539.96</v>
      </c>
      <c r="H66" s="875">
        <f>+'[2]MARZO 2025'!H66+'[2]FEBRERO 2025'!H66+'[2]ENERO 2025'!H66+Hoja5!H63</f>
        <v>0</v>
      </c>
      <c r="I66" s="875">
        <v>0</v>
      </c>
      <c r="J66" s="875">
        <f t="shared" si="0"/>
        <v>260539.96</v>
      </c>
      <c r="K66" s="751">
        <f>J66/$J$25</f>
        <v>4.9289985152235164E-4</v>
      </c>
    </row>
    <row r="67" spans="1:11" x14ac:dyDescent="0.2">
      <c r="A67" s="756">
        <v>2</v>
      </c>
      <c r="B67" s="748">
        <v>1</v>
      </c>
      <c r="C67" s="748">
        <v>3</v>
      </c>
      <c r="D67" s="748">
        <v>1</v>
      </c>
      <c r="E67" s="749" t="s">
        <v>1733</v>
      </c>
      <c r="F67" s="756" t="s">
        <v>3870</v>
      </c>
      <c r="G67" s="875">
        <f>+'[2]MARZO 2025'!G67+'[2]FEBRERO 2025'!G67+'[2]ENERO 2025'!G67+Hoja5!G64</f>
        <v>0</v>
      </c>
      <c r="H67" s="875">
        <f>+'[2]MARZO 2025'!H67+'[2]FEBRERO 2025'!H67+'[2]ENERO 2025'!H67+Hoja5!H64</f>
        <v>0</v>
      </c>
      <c r="I67" s="875">
        <v>0</v>
      </c>
      <c r="J67" s="875">
        <f t="shared" si="0"/>
        <v>0</v>
      </c>
      <c r="K67" s="751">
        <f>J67/$J$25</f>
        <v>0</v>
      </c>
    </row>
    <row r="68" spans="1:11" x14ac:dyDescent="0.2">
      <c r="A68" s="755">
        <v>2</v>
      </c>
      <c r="B68" s="744">
        <v>1</v>
      </c>
      <c r="C68" s="744">
        <v>3</v>
      </c>
      <c r="D68" s="744">
        <v>2</v>
      </c>
      <c r="E68" s="744"/>
      <c r="F68" s="755" t="s">
        <v>3871</v>
      </c>
      <c r="G68" s="745">
        <f>+'[2]MARZO 2025'!G68+'[2]FEBRERO 2025'!G68+'[2]ENERO 2025'!G68+Hoja5!G65</f>
        <v>0</v>
      </c>
      <c r="H68" s="745">
        <f>+'[2]MARZO 2025'!H68+'[2]FEBRERO 2025'!H68+'[2]ENERO 2025'!H68+Hoja5!H65</f>
        <v>0</v>
      </c>
      <c r="I68" s="745">
        <v>0</v>
      </c>
      <c r="J68" s="745">
        <f t="shared" si="0"/>
        <v>0</v>
      </c>
      <c r="K68" s="752"/>
    </row>
    <row r="69" spans="1:11" x14ac:dyDescent="0.2">
      <c r="A69" s="756">
        <v>2</v>
      </c>
      <c r="B69" s="748">
        <v>1</v>
      </c>
      <c r="C69" s="748">
        <v>3</v>
      </c>
      <c r="D69" s="748">
        <v>2</v>
      </c>
      <c r="E69" s="749" t="s">
        <v>2221</v>
      </c>
      <c r="F69" s="756" t="s">
        <v>3872</v>
      </c>
      <c r="G69" s="875">
        <f>+'[2]MARZO 2025'!G69+'[2]FEBRERO 2025'!G69+'[2]ENERO 2025'!G69+Hoja5!G66</f>
        <v>0</v>
      </c>
      <c r="H69" s="875">
        <f>+'[2]MARZO 2025'!H69+'[2]FEBRERO 2025'!H69+'[2]ENERO 2025'!H69+Hoja5!H66</f>
        <v>0</v>
      </c>
      <c r="I69" s="875">
        <v>0</v>
      </c>
      <c r="J69" s="875">
        <f t="shared" si="0"/>
        <v>0</v>
      </c>
      <c r="K69" s="751">
        <f>J69/$J$25</f>
        <v>0</v>
      </c>
    </row>
    <row r="70" spans="1:11" x14ac:dyDescent="0.2">
      <c r="A70" s="756">
        <v>2</v>
      </c>
      <c r="B70" s="748">
        <v>1</v>
      </c>
      <c r="C70" s="748">
        <v>3</v>
      </c>
      <c r="D70" s="748">
        <v>2</v>
      </c>
      <c r="E70" s="749" t="s">
        <v>1733</v>
      </c>
      <c r="F70" s="756" t="s">
        <v>3873</v>
      </c>
      <c r="G70" s="875">
        <f>+'[2]MARZO 2025'!G70+'[2]FEBRERO 2025'!G70+'[2]ENERO 2025'!G70+Hoja5!G67</f>
        <v>0</v>
      </c>
      <c r="H70" s="875">
        <f>+'[2]MARZO 2025'!H70+'[2]FEBRERO 2025'!H70+'[2]ENERO 2025'!H70+Hoja5!H67</f>
        <v>0</v>
      </c>
      <c r="I70" s="875">
        <v>0</v>
      </c>
      <c r="J70" s="875">
        <f t="shared" si="0"/>
        <v>0</v>
      </c>
      <c r="K70" s="751">
        <f>J70/$J$25</f>
        <v>0</v>
      </c>
    </row>
    <row r="71" spans="1:11" x14ac:dyDescent="0.2">
      <c r="A71" s="754">
        <v>2</v>
      </c>
      <c r="B71" s="742">
        <v>1</v>
      </c>
      <c r="C71" s="742">
        <v>4</v>
      </c>
      <c r="D71" s="742"/>
      <c r="E71" s="742"/>
      <c r="F71" s="754" t="s">
        <v>3874</v>
      </c>
      <c r="G71" s="874">
        <f>+'[2]MARZO 2025'!G71+'[2]FEBRERO 2025'!G71+'[2]ENERO 2025'!G71+Hoja5!G68</f>
        <v>0</v>
      </c>
      <c r="H71" s="874">
        <f>+'[2]MARZO 2025'!H71+'[2]FEBRERO 2025'!H71+'[2]ENERO 2025'!H71+Hoja5!H68</f>
        <v>0</v>
      </c>
      <c r="I71" s="874">
        <v>0</v>
      </c>
      <c r="J71" s="874">
        <f t="shared" si="0"/>
        <v>0</v>
      </c>
      <c r="K71" s="740"/>
    </row>
    <row r="72" spans="1:11" x14ac:dyDescent="0.2">
      <c r="A72" s="743">
        <v>2</v>
      </c>
      <c r="B72" s="744">
        <v>1</v>
      </c>
      <c r="C72" s="744">
        <v>4</v>
      </c>
      <c r="D72" s="744">
        <v>1</v>
      </c>
      <c r="E72" s="744"/>
      <c r="F72" s="743" t="s">
        <v>3875</v>
      </c>
      <c r="G72" s="745">
        <f>+'[2]MARZO 2025'!G72+'[2]FEBRERO 2025'!G72+'[2]ENERO 2025'!G72+Hoja5!G69</f>
        <v>0</v>
      </c>
      <c r="H72" s="745">
        <f>+'[2]MARZO 2025'!H72+'[2]FEBRERO 2025'!H72+'[2]ENERO 2025'!H72+Hoja5!H69</f>
        <v>0</v>
      </c>
      <c r="I72" s="745">
        <v>0</v>
      </c>
      <c r="J72" s="745">
        <f t="shared" si="0"/>
        <v>0</v>
      </c>
      <c r="K72" s="752"/>
    </row>
    <row r="73" spans="1:11" x14ac:dyDescent="0.2">
      <c r="A73" s="747">
        <v>2</v>
      </c>
      <c r="B73" s="748">
        <v>1</v>
      </c>
      <c r="C73" s="748">
        <v>4</v>
      </c>
      <c r="D73" s="748">
        <v>1</v>
      </c>
      <c r="E73" s="749" t="s">
        <v>2221</v>
      </c>
      <c r="F73" s="747" t="s">
        <v>3875</v>
      </c>
      <c r="G73" s="875">
        <f>+'[2]MARZO 2025'!G73+'[2]FEBRERO 2025'!G73+'[2]ENERO 2025'!G73+Hoja5!G70</f>
        <v>0</v>
      </c>
      <c r="H73" s="875">
        <f>+'[2]MARZO 2025'!H73+'[2]FEBRERO 2025'!H73+'[2]ENERO 2025'!H73+Hoja5!H70</f>
        <v>0</v>
      </c>
      <c r="I73" s="875">
        <v>0</v>
      </c>
      <c r="J73" s="875">
        <f t="shared" si="0"/>
        <v>0</v>
      </c>
      <c r="K73" s="751">
        <f>J73/$J$25</f>
        <v>0</v>
      </c>
    </row>
    <row r="74" spans="1:11" x14ac:dyDescent="0.2">
      <c r="A74" s="743">
        <v>2</v>
      </c>
      <c r="B74" s="744">
        <v>1</v>
      </c>
      <c r="C74" s="744">
        <v>4</v>
      </c>
      <c r="D74" s="744">
        <v>2</v>
      </c>
      <c r="E74" s="744"/>
      <c r="F74" s="743" t="s">
        <v>3876</v>
      </c>
      <c r="G74" s="745">
        <f>+'[2]MARZO 2025'!G74+'[2]FEBRERO 2025'!G74+'[2]ENERO 2025'!G74+Hoja5!G71</f>
        <v>0</v>
      </c>
      <c r="H74" s="745">
        <f>+'[2]MARZO 2025'!H74+'[2]FEBRERO 2025'!H74+'[2]ENERO 2025'!H74+Hoja5!H71</f>
        <v>0</v>
      </c>
      <c r="I74" s="745">
        <v>0</v>
      </c>
      <c r="J74" s="745">
        <f t="shared" si="0"/>
        <v>0</v>
      </c>
      <c r="K74" s="752"/>
    </row>
    <row r="75" spans="1:11" x14ac:dyDescent="0.2">
      <c r="A75" s="747">
        <v>2</v>
      </c>
      <c r="B75" s="748">
        <v>1</v>
      </c>
      <c r="C75" s="748">
        <v>4</v>
      </c>
      <c r="D75" s="748">
        <v>2</v>
      </c>
      <c r="E75" s="749" t="s">
        <v>2221</v>
      </c>
      <c r="F75" s="747" t="s">
        <v>3877</v>
      </c>
      <c r="G75" s="875">
        <f>+'[2]MARZO 2025'!G75+'[2]FEBRERO 2025'!G75+'[2]ENERO 2025'!G75+Hoja5!G72</f>
        <v>0</v>
      </c>
      <c r="H75" s="875">
        <f>+'[2]MARZO 2025'!H75+'[2]FEBRERO 2025'!H75+'[2]ENERO 2025'!H75+Hoja5!H72</f>
        <v>0</v>
      </c>
      <c r="I75" s="875">
        <v>0</v>
      </c>
      <c r="J75" s="875">
        <f t="shared" si="0"/>
        <v>0</v>
      </c>
      <c r="K75" s="751">
        <f>J75/$J$25</f>
        <v>0</v>
      </c>
    </row>
    <row r="76" spans="1:11" x14ac:dyDescent="0.2">
      <c r="A76" s="747">
        <v>2</v>
      </c>
      <c r="B76" s="748">
        <v>1</v>
      </c>
      <c r="C76" s="748">
        <v>4</v>
      </c>
      <c r="D76" s="748">
        <v>2</v>
      </c>
      <c r="E76" s="749" t="s">
        <v>1733</v>
      </c>
      <c r="F76" s="747" t="s">
        <v>3878</v>
      </c>
      <c r="G76" s="875">
        <f>+'[2]MARZO 2025'!G76+'[2]FEBRERO 2025'!G76+'[2]ENERO 2025'!G76+Hoja5!G73</f>
        <v>0</v>
      </c>
      <c r="H76" s="875">
        <f>+'[2]MARZO 2025'!H76+'[2]FEBRERO 2025'!H76+'[2]ENERO 2025'!H76+Hoja5!H73</f>
        <v>0</v>
      </c>
      <c r="I76" s="875">
        <v>0</v>
      </c>
      <c r="J76" s="875">
        <f t="shared" si="0"/>
        <v>0</v>
      </c>
      <c r="K76" s="751">
        <f>J76/$J$25</f>
        <v>0</v>
      </c>
    </row>
    <row r="77" spans="1:11" x14ac:dyDescent="0.2">
      <c r="A77" s="747">
        <v>2</v>
      </c>
      <c r="B77" s="748">
        <v>1</v>
      </c>
      <c r="C77" s="748">
        <v>4</v>
      </c>
      <c r="D77" s="748">
        <v>2</v>
      </c>
      <c r="E77" s="749" t="s">
        <v>3839</v>
      </c>
      <c r="F77" s="747" t="s">
        <v>3879</v>
      </c>
      <c r="G77" s="875">
        <f>+'[2]MARZO 2025'!G77+'[2]FEBRERO 2025'!G77+'[2]ENERO 2025'!G77+Hoja5!G74</f>
        <v>0</v>
      </c>
      <c r="H77" s="875">
        <f>+'[2]MARZO 2025'!H77+'[2]FEBRERO 2025'!H77+'[2]ENERO 2025'!H77+Hoja5!H74</f>
        <v>0</v>
      </c>
      <c r="I77" s="875">
        <v>0</v>
      </c>
      <c r="J77" s="875">
        <f t="shared" si="0"/>
        <v>0</v>
      </c>
      <c r="K77" s="751">
        <f>J77/$J$25</f>
        <v>0</v>
      </c>
    </row>
    <row r="78" spans="1:11" x14ac:dyDescent="0.2">
      <c r="A78" s="754">
        <v>2</v>
      </c>
      <c r="B78" s="742">
        <v>1</v>
      </c>
      <c r="C78" s="742">
        <v>5</v>
      </c>
      <c r="D78" s="742"/>
      <c r="E78" s="742"/>
      <c r="F78" s="754" t="s">
        <v>3880</v>
      </c>
      <c r="G78" s="874">
        <f>+'[2]MARZO 2025'!G78+'[2]FEBRERO 2025'!G78+'[2]ENERO 2025'!G78+Hoja5!G75</f>
        <v>25021132.289999999</v>
      </c>
      <c r="H78" s="874">
        <f>+'[2]MARZO 2025'!H78+'[2]FEBRERO 2025'!H78+'[2]ENERO 2025'!H78+Hoja5!H75</f>
        <v>0</v>
      </c>
      <c r="I78" s="874">
        <v>0</v>
      </c>
      <c r="J78" s="874">
        <f t="shared" si="0"/>
        <v>25021132.289999999</v>
      </c>
      <c r="K78" s="740"/>
    </row>
    <row r="79" spans="1:11" x14ac:dyDescent="0.2">
      <c r="A79" s="743">
        <v>2</v>
      </c>
      <c r="B79" s="744">
        <v>1</v>
      </c>
      <c r="C79" s="744">
        <v>5</v>
      </c>
      <c r="D79" s="744">
        <v>1</v>
      </c>
      <c r="E79" s="744"/>
      <c r="F79" s="743" t="s">
        <v>95</v>
      </c>
      <c r="G79" s="745">
        <f>+'[2]MARZO 2025'!G79+'[2]FEBRERO 2025'!G79+'[2]ENERO 2025'!G79+Hoja5!G76</f>
        <v>11529203.67</v>
      </c>
      <c r="H79" s="745">
        <f>+'[2]MARZO 2025'!H79+'[2]FEBRERO 2025'!H79+'[2]ENERO 2025'!H79+Hoja5!H76</f>
        <v>0</v>
      </c>
      <c r="I79" s="745">
        <v>0</v>
      </c>
      <c r="J79" s="745">
        <f t="shared" si="0"/>
        <v>11529203.67</v>
      </c>
      <c r="K79" s="752"/>
    </row>
    <row r="80" spans="1:11" x14ac:dyDescent="0.2">
      <c r="A80" s="747">
        <v>2</v>
      </c>
      <c r="B80" s="748">
        <v>1</v>
      </c>
      <c r="C80" s="748">
        <v>5</v>
      </c>
      <c r="D80" s="748">
        <v>1</v>
      </c>
      <c r="E80" s="749" t="s">
        <v>2221</v>
      </c>
      <c r="F80" s="747" t="s">
        <v>95</v>
      </c>
      <c r="G80" s="875">
        <f>+'[2]MARZO 2025'!G80+'[2]FEBRERO 2025'!G80+'[2]ENERO 2025'!G80+Hoja5!G77</f>
        <v>11529203.67</v>
      </c>
      <c r="H80" s="875">
        <f>+'[2]MARZO 2025'!H80+'[2]FEBRERO 2025'!H80+'[2]ENERO 2025'!H80+Hoja5!H77</f>
        <v>0</v>
      </c>
      <c r="I80" s="875">
        <v>0</v>
      </c>
      <c r="J80" s="875">
        <f t="shared" si="0"/>
        <v>11529203.67</v>
      </c>
      <c r="K80" s="751">
        <f>J80/$J$25</f>
        <v>2.1811405732594536E-2</v>
      </c>
    </row>
    <row r="81" spans="1:11" x14ac:dyDescent="0.2">
      <c r="A81" s="743">
        <v>2</v>
      </c>
      <c r="B81" s="744">
        <v>1</v>
      </c>
      <c r="C81" s="744">
        <v>5</v>
      </c>
      <c r="D81" s="744">
        <v>2</v>
      </c>
      <c r="E81" s="744"/>
      <c r="F81" s="743" t="s">
        <v>96</v>
      </c>
      <c r="G81" s="745">
        <f>+'[2]MARZO 2025'!G81+'[2]FEBRERO 2025'!G81+'[2]ENERO 2025'!G81+Hoja5!G78</f>
        <v>19945553.240000002</v>
      </c>
      <c r="H81" s="745">
        <f>+'[2]MARZO 2025'!H81+'[2]FEBRERO 2025'!H81+'[2]ENERO 2025'!H81+Hoja5!H78</f>
        <v>0</v>
      </c>
      <c r="I81" s="745">
        <v>0</v>
      </c>
      <c r="J81" s="745">
        <f t="shared" si="0"/>
        <v>19945553.240000002</v>
      </c>
      <c r="K81" s="752"/>
    </row>
    <row r="82" spans="1:11" x14ac:dyDescent="0.2">
      <c r="A82" s="747">
        <v>2</v>
      </c>
      <c r="B82" s="748">
        <v>1</v>
      </c>
      <c r="C82" s="748">
        <v>5</v>
      </c>
      <c r="D82" s="748">
        <v>2</v>
      </c>
      <c r="E82" s="749" t="s">
        <v>2221</v>
      </c>
      <c r="F82" s="747" t="s">
        <v>96</v>
      </c>
      <c r="G82" s="875">
        <f>+'[2]MARZO 2025'!G82+'[2]FEBRERO 2025'!G82+'[2]ENERO 2025'!G82+Hoja5!G79</f>
        <v>15415891.689999999</v>
      </c>
      <c r="H82" s="875">
        <f>+'[2]MARZO 2025'!H82+'[2]FEBRERO 2025'!H82+'[2]ENERO 2025'!H82+Hoja5!H79</f>
        <v>0</v>
      </c>
      <c r="I82" s="875">
        <v>0</v>
      </c>
      <c r="J82" s="875">
        <f t="shared" si="0"/>
        <v>15415891.689999999</v>
      </c>
      <c r="K82" s="751">
        <f>J82/$J$25</f>
        <v>2.9164396605747749E-2</v>
      </c>
    </row>
    <row r="83" spans="1:11" x14ac:dyDescent="0.2">
      <c r="A83" s="743">
        <v>2</v>
      </c>
      <c r="B83" s="744">
        <v>1</v>
      </c>
      <c r="C83" s="744">
        <v>5</v>
      </c>
      <c r="D83" s="744">
        <v>3</v>
      </c>
      <c r="E83" s="744"/>
      <c r="F83" s="743" t="s">
        <v>97</v>
      </c>
      <c r="G83" s="745">
        <f>+'[2]MARZO 2025'!G83+'[2]FEBRERO 2025'!G83+'[2]ENERO 2025'!G83+Hoja5!G80</f>
        <v>5816901.5899999999</v>
      </c>
      <c r="H83" s="745">
        <f>+'[2]MARZO 2025'!H83+'[2]FEBRERO 2025'!H83+'[2]ENERO 2025'!H83+Hoja5!H80</f>
        <v>0</v>
      </c>
      <c r="I83" s="745">
        <v>0</v>
      </c>
      <c r="J83" s="745">
        <f t="shared" si="0"/>
        <v>5816901.5899999999</v>
      </c>
      <c r="K83" s="752"/>
    </row>
    <row r="84" spans="1:11" x14ac:dyDescent="0.2">
      <c r="A84" s="747">
        <v>2</v>
      </c>
      <c r="B84" s="748">
        <v>1</v>
      </c>
      <c r="C84" s="748">
        <v>5</v>
      </c>
      <c r="D84" s="748">
        <v>3</v>
      </c>
      <c r="E84" s="749" t="s">
        <v>2221</v>
      </c>
      <c r="F84" s="747" t="s">
        <v>97</v>
      </c>
      <c r="G84" s="875">
        <f>+'[2]MARZO 2025'!G84+'[2]FEBRERO 2025'!G84+'[2]ENERO 2025'!G84+Hoja5!G81</f>
        <v>5822358.7400000002</v>
      </c>
      <c r="H84" s="875">
        <f>+'[2]MARZO 2025'!H84+'[2]FEBRERO 2025'!H84+'[2]ENERO 2025'!H84+Hoja5!H81</f>
        <v>0</v>
      </c>
      <c r="I84" s="875">
        <v>0</v>
      </c>
      <c r="J84" s="875">
        <f t="shared" si="0"/>
        <v>5822358.7400000002</v>
      </c>
      <c r="K84" s="751">
        <f>J84/$J$25</f>
        <v>1.1014969674731916E-2</v>
      </c>
    </row>
    <row r="85" spans="1:11" x14ac:dyDescent="0.2">
      <c r="A85" s="743">
        <v>2</v>
      </c>
      <c r="B85" s="744">
        <v>1</v>
      </c>
      <c r="C85" s="744">
        <v>5</v>
      </c>
      <c r="D85" s="744">
        <v>4</v>
      </c>
      <c r="E85" s="744"/>
      <c r="F85" s="743" t="s">
        <v>3881</v>
      </c>
      <c r="G85" s="745">
        <f>+'[2]MARZO 2025'!G85+'[2]FEBRERO 2025'!G85+'[2]ENERO 2025'!G85+Hoja5!G82</f>
        <v>3875889.48</v>
      </c>
      <c r="H85" s="745">
        <f>+'[2]MARZO 2025'!H85+'[2]FEBRERO 2025'!H85+'[2]ENERO 2025'!H85+Hoja5!H82</f>
        <v>0</v>
      </c>
      <c r="I85" s="745">
        <v>0</v>
      </c>
      <c r="J85" s="745">
        <f t="shared" si="0"/>
        <v>3875889.48</v>
      </c>
      <c r="K85" s="752"/>
    </row>
    <row r="86" spans="1:11" x14ac:dyDescent="0.2">
      <c r="A86" s="747">
        <v>2</v>
      </c>
      <c r="B86" s="748">
        <v>1</v>
      </c>
      <c r="C86" s="748">
        <v>5</v>
      </c>
      <c r="D86" s="748">
        <v>4</v>
      </c>
      <c r="E86" s="749" t="s">
        <v>2221</v>
      </c>
      <c r="F86" s="747" t="s">
        <v>3881</v>
      </c>
      <c r="G86" s="875">
        <f>+'[2]MARZO 2025'!G86+'[2]FEBRERO 2025'!G86+'[2]ENERO 2025'!G86+Hoja5!G83</f>
        <v>653772.07000000007</v>
      </c>
      <c r="H86" s="875">
        <f>+'[2]MARZO 2025'!H86+'[2]FEBRERO 2025'!H86+'[2]ENERO 2025'!H86+Hoja5!H83</f>
        <v>0</v>
      </c>
      <c r="I86" s="875">
        <v>0</v>
      </c>
      <c r="J86" s="875">
        <f t="shared" si="0"/>
        <v>653772.07000000007</v>
      </c>
      <c r="K86" s="751">
        <f>J86/$J$25</f>
        <v>1.2368319862813386E-3</v>
      </c>
    </row>
    <row r="87" spans="1:11" x14ac:dyDescent="0.2">
      <c r="A87" s="754">
        <v>2</v>
      </c>
      <c r="B87" s="757">
        <v>2</v>
      </c>
      <c r="C87" s="742"/>
      <c r="D87" s="742"/>
      <c r="E87" s="742"/>
      <c r="F87" s="754" t="s">
        <v>3882</v>
      </c>
      <c r="G87" s="874">
        <f>+'[2]MARZO 2025'!G87+'[2]FEBRERO 2025'!G87+'[2]ENERO 2025'!G87+Hoja5!G84</f>
        <v>9962136.9500000011</v>
      </c>
      <c r="H87" s="874">
        <f>+'[2]MARZO 2025'!H87+'[2]FEBRERO 2025'!H87+'[2]ENERO 2025'!H87+Hoja5!H84</f>
        <v>8306683.8600000013</v>
      </c>
      <c r="I87" s="874">
        <v>0</v>
      </c>
      <c r="J87" s="874">
        <f t="shared" si="0"/>
        <v>18268820.810000002</v>
      </c>
      <c r="K87" s="740">
        <f>J87/$J$25</f>
        <v>3.4561681305000001E-2</v>
      </c>
    </row>
    <row r="88" spans="1:11" x14ac:dyDescent="0.2">
      <c r="A88" s="754">
        <v>2</v>
      </c>
      <c r="B88" s="742">
        <v>2</v>
      </c>
      <c r="C88" s="742">
        <v>1</v>
      </c>
      <c r="D88" s="742"/>
      <c r="E88" s="742"/>
      <c r="F88" s="754" t="s">
        <v>3883</v>
      </c>
      <c r="G88" s="874">
        <f>+'[2]MARZO 2025'!G88+'[2]FEBRERO 2025'!G88+'[2]ENERO 2025'!G88+Hoja5!G85</f>
        <v>2020024.3</v>
      </c>
      <c r="H88" s="874">
        <f>+'[2]MARZO 2025'!H88+'[2]FEBRERO 2025'!H88+'[2]ENERO 2025'!H88+Hoja5!H85</f>
        <v>2341561.92</v>
      </c>
      <c r="I88" s="874">
        <v>0</v>
      </c>
      <c r="J88" s="874">
        <f t="shared" ref="J88:J153" si="4">SUM(G88:I88)</f>
        <v>4361586.22</v>
      </c>
      <c r="K88" s="740"/>
    </row>
    <row r="89" spans="1:11" x14ac:dyDescent="0.2">
      <c r="A89" s="755">
        <v>2</v>
      </c>
      <c r="B89" s="744">
        <v>2</v>
      </c>
      <c r="C89" s="744">
        <v>1</v>
      </c>
      <c r="D89" s="744">
        <v>1</v>
      </c>
      <c r="E89" s="744"/>
      <c r="F89" s="755" t="s">
        <v>3884</v>
      </c>
      <c r="G89" s="745">
        <f>+'[2]MARZO 2025'!G89+'[2]FEBRERO 2025'!G89+'[2]ENERO 2025'!G89+Hoja5!G86</f>
        <v>0</v>
      </c>
      <c r="H89" s="745">
        <f>+'[2]MARZO 2025'!H89+'[2]FEBRERO 2025'!H89+'[2]ENERO 2025'!H89+Hoja5!H86</f>
        <v>0</v>
      </c>
      <c r="I89" s="745">
        <v>0</v>
      </c>
      <c r="J89" s="745">
        <f t="shared" si="4"/>
        <v>0</v>
      </c>
      <c r="K89" s="752"/>
    </row>
    <row r="90" spans="1:11" x14ac:dyDescent="0.2">
      <c r="A90" s="756">
        <v>2</v>
      </c>
      <c r="B90" s="748">
        <v>2</v>
      </c>
      <c r="C90" s="748">
        <v>1</v>
      </c>
      <c r="D90" s="748">
        <v>1</v>
      </c>
      <c r="E90" s="749" t="s">
        <v>2221</v>
      </c>
      <c r="F90" s="756" t="s">
        <v>3884</v>
      </c>
      <c r="G90" s="875">
        <f>+'[2]MARZO 2025'!G90+'[2]FEBRERO 2025'!G90+'[2]ENERO 2025'!G90+Hoja5!G87</f>
        <v>210535</v>
      </c>
      <c r="H90" s="875">
        <f>+'[2]MARZO 2025'!H90+'[2]FEBRERO 2025'!H90+'[2]ENERO 2025'!H90+Hoja5!H87</f>
        <v>1256712.0899999999</v>
      </c>
      <c r="I90" s="875">
        <v>0</v>
      </c>
      <c r="J90" s="875">
        <f t="shared" si="4"/>
        <v>1467247.0899999999</v>
      </c>
      <c r="K90" s="751">
        <f>J90/$J$25</f>
        <v>2.7757963607870457E-3</v>
      </c>
    </row>
    <row r="91" spans="1:11" x14ac:dyDescent="0.2">
      <c r="A91" s="755">
        <v>2</v>
      </c>
      <c r="B91" s="744">
        <v>2</v>
      </c>
      <c r="C91" s="744">
        <v>1</v>
      </c>
      <c r="D91" s="744">
        <v>2</v>
      </c>
      <c r="E91" s="744"/>
      <c r="F91" s="755" t="s">
        <v>3885</v>
      </c>
      <c r="G91" s="745">
        <f>+'[2]MARZO 2025'!G91+'[2]FEBRERO 2025'!G91+'[2]ENERO 2025'!G91+Hoja5!G88</f>
        <v>60535</v>
      </c>
      <c r="H91" s="745">
        <f>+'[2]MARZO 2025'!H91+'[2]FEBRERO 2025'!H91+'[2]ENERO 2025'!H91+Hoja5!H88</f>
        <v>285608.3</v>
      </c>
      <c r="I91" s="745">
        <v>0</v>
      </c>
      <c r="J91" s="745">
        <f t="shared" si="4"/>
        <v>346143.3</v>
      </c>
      <c r="K91" s="752"/>
    </row>
    <row r="92" spans="1:11" x14ac:dyDescent="0.2">
      <c r="A92" s="756">
        <v>2</v>
      </c>
      <c r="B92" s="748">
        <v>2</v>
      </c>
      <c r="C92" s="748">
        <v>1</v>
      </c>
      <c r="D92" s="748">
        <v>2</v>
      </c>
      <c r="E92" s="749" t="s">
        <v>2221</v>
      </c>
      <c r="F92" s="756" t="s">
        <v>3885</v>
      </c>
      <c r="G92" s="875">
        <f>+'[2]MARZO 2025'!G92+'[2]FEBRERO 2025'!G92+'[2]ENERO 2025'!G92+Hoja5!G89</f>
        <v>0</v>
      </c>
      <c r="H92" s="875">
        <f>+'[2]MARZO 2025'!H92+'[2]FEBRERO 2025'!H92+'[2]ENERO 2025'!H92+Hoja5!H89</f>
        <v>0</v>
      </c>
      <c r="I92" s="875">
        <v>0</v>
      </c>
      <c r="J92" s="875">
        <f t="shared" si="4"/>
        <v>0</v>
      </c>
      <c r="K92" s="751">
        <f>J92/$J$25</f>
        <v>0</v>
      </c>
    </row>
    <row r="93" spans="1:11" x14ac:dyDescent="0.2">
      <c r="A93" s="755">
        <v>2</v>
      </c>
      <c r="B93" s="744">
        <v>2</v>
      </c>
      <c r="C93" s="744">
        <v>1</v>
      </c>
      <c r="D93" s="744">
        <v>3</v>
      </c>
      <c r="E93" s="744"/>
      <c r="F93" s="755" t="s">
        <v>132</v>
      </c>
      <c r="G93" s="745">
        <f>+'[2]MARZO 2025'!G93+'[2]FEBRERO 2025'!G93+'[2]ENERO 2025'!G93+Hoja5!G90</f>
        <v>0</v>
      </c>
      <c r="H93" s="745">
        <f>+'[2]MARZO 2025'!H93+'[2]FEBRERO 2025'!H93+'[2]ENERO 2025'!H93+Hoja5!H90</f>
        <v>771561.92</v>
      </c>
      <c r="I93" s="745">
        <v>0</v>
      </c>
      <c r="J93" s="745">
        <f t="shared" si="4"/>
        <v>771561.92</v>
      </c>
      <c r="K93" s="752"/>
    </row>
    <row r="94" spans="1:11" x14ac:dyDescent="0.2">
      <c r="A94" s="756">
        <v>2</v>
      </c>
      <c r="B94" s="748">
        <v>2</v>
      </c>
      <c r="C94" s="748">
        <v>1</v>
      </c>
      <c r="D94" s="748">
        <v>3</v>
      </c>
      <c r="E94" s="749" t="s">
        <v>2221</v>
      </c>
      <c r="F94" s="756" t="s">
        <v>132</v>
      </c>
      <c r="G94" s="875">
        <f>+'[2]MARZO 2025'!G94+'[2]FEBRERO 2025'!G94+'[2]ENERO 2025'!G94+Hoja5!G91</f>
        <v>0</v>
      </c>
      <c r="H94" s="875">
        <f>+'[2]MARZO 2025'!H94+'[2]FEBRERO 2025'!H94+'[2]ENERO 2025'!H94+Hoja5!H91</f>
        <v>771561.92</v>
      </c>
      <c r="I94" s="875">
        <v>0</v>
      </c>
      <c r="J94" s="875">
        <f t="shared" si="4"/>
        <v>771561.92</v>
      </c>
      <c r="K94" s="751">
        <f>J94/$J$25</f>
        <v>1.459671506084136E-3</v>
      </c>
    </row>
    <row r="95" spans="1:11" x14ac:dyDescent="0.2">
      <c r="A95" s="755">
        <v>2</v>
      </c>
      <c r="B95" s="744">
        <v>2</v>
      </c>
      <c r="C95" s="744">
        <v>1</v>
      </c>
      <c r="D95" s="744">
        <v>4</v>
      </c>
      <c r="E95" s="744"/>
      <c r="F95" s="755" t="s">
        <v>3886</v>
      </c>
      <c r="G95" s="745">
        <f>+'[2]MARZO 2025'!G95+'[2]FEBRERO 2025'!G95+'[2]ENERO 2025'!G95+Hoja5!G92</f>
        <v>0</v>
      </c>
      <c r="H95" s="745">
        <f>+'[2]MARZO 2025'!H95+'[2]FEBRERO 2025'!H95+'[2]ENERO 2025'!H95+Hoja5!H92</f>
        <v>0</v>
      </c>
      <c r="I95" s="745">
        <v>0</v>
      </c>
      <c r="J95" s="745">
        <f t="shared" si="4"/>
        <v>0</v>
      </c>
      <c r="K95" s="752"/>
    </row>
    <row r="96" spans="1:11" x14ac:dyDescent="0.2">
      <c r="A96" s="756">
        <v>2</v>
      </c>
      <c r="B96" s="748">
        <v>2</v>
      </c>
      <c r="C96" s="748">
        <v>1</v>
      </c>
      <c r="D96" s="748">
        <v>4</v>
      </c>
      <c r="E96" s="749" t="s">
        <v>2221</v>
      </c>
      <c r="F96" s="756" t="s">
        <v>3886</v>
      </c>
      <c r="G96" s="875">
        <f>+'[2]MARZO 2025'!G96+'[2]FEBRERO 2025'!G96+'[2]ENERO 2025'!G96+Hoja5!G93</f>
        <v>0</v>
      </c>
      <c r="H96" s="875">
        <f>+'[2]MARZO 2025'!H96+'[2]FEBRERO 2025'!H96+'[2]ENERO 2025'!H96+Hoja5!H93</f>
        <v>104569.42</v>
      </c>
      <c r="I96" s="875">
        <v>0</v>
      </c>
      <c r="J96" s="875">
        <f t="shared" si="4"/>
        <v>104569.42</v>
      </c>
      <c r="K96" s="751">
        <f>J96/$J$25</f>
        <v>1.9782858488110011E-4</v>
      </c>
    </row>
    <row r="97" spans="1:11" x14ac:dyDescent="0.2">
      <c r="A97" s="755">
        <v>2</v>
      </c>
      <c r="B97" s="744">
        <v>2</v>
      </c>
      <c r="C97" s="744">
        <v>1</v>
      </c>
      <c r="D97" s="744">
        <v>5</v>
      </c>
      <c r="E97" s="744"/>
      <c r="F97" s="755" t="s">
        <v>3887</v>
      </c>
      <c r="G97" s="745">
        <f>+'[2]MARZO 2025'!G97+'[2]FEBRERO 2025'!G97+'[2]ENERO 2025'!G97+Hoja5!G94</f>
        <v>0</v>
      </c>
      <c r="H97" s="745">
        <f>+'[2]MARZO 2025'!H97+'[2]FEBRERO 2025'!H97+'[2]ENERO 2025'!H97+Hoja5!H94</f>
        <v>104569.42</v>
      </c>
      <c r="I97" s="745">
        <v>0</v>
      </c>
      <c r="J97" s="745">
        <f t="shared" si="4"/>
        <v>104569.42</v>
      </c>
      <c r="K97" s="752"/>
    </row>
    <row r="98" spans="1:11" x14ac:dyDescent="0.2">
      <c r="A98" s="756">
        <v>2</v>
      </c>
      <c r="B98" s="748">
        <v>2</v>
      </c>
      <c r="C98" s="748">
        <v>1</v>
      </c>
      <c r="D98" s="748">
        <v>5</v>
      </c>
      <c r="E98" s="749" t="s">
        <v>2221</v>
      </c>
      <c r="F98" s="756" t="s">
        <v>3887</v>
      </c>
      <c r="G98" s="875">
        <f>+'[2]MARZO 2025'!G98+'[2]FEBRERO 2025'!G98+'[2]ENERO 2025'!G98+Hoja5!G95</f>
        <v>0</v>
      </c>
      <c r="H98" s="875">
        <f>+'[2]MARZO 2025'!H98+'[2]FEBRERO 2025'!H98+'[2]ENERO 2025'!H98+Hoja5!H95</f>
        <v>0</v>
      </c>
      <c r="I98" s="875">
        <v>0</v>
      </c>
      <c r="J98" s="875">
        <f t="shared" si="4"/>
        <v>0</v>
      </c>
      <c r="K98" s="751">
        <f>J98/$J$25</f>
        <v>0</v>
      </c>
    </row>
    <row r="99" spans="1:11" x14ac:dyDescent="0.2">
      <c r="A99" s="755">
        <v>2</v>
      </c>
      <c r="B99" s="744">
        <v>2</v>
      </c>
      <c r="C99" s="744">
        <v>1</v>
      </c>
      <c r="D99" s="744">
        <v>6</v>
      </c>
      <c r="E99" s="744"/>
      <c r="F99" s="755" t="s">
        <v>3888</v>
      </c>
      <c r="G99" s="745">
        <f>+'[2]MARZO 2025'!G99+'[2]FEBRERO 2025'!G99+'[2]ENERO 2025'!G99+Hoja5!G96</f>
        <v>0</v>
      </c>
      <c r="H99" s="745">
        <f>+'[2]MARZO 2025'!H99+'[2]FEBRERO 2025'!H99+'[2]ENERO 2025'!H99+Hoja5!H96</f>
        <v>0</v>
      </c>
      <c r="I99" s="745">
        <v>0</v>
      </c>
      <c r="J99" s="745">
        <f t="shared" si="4"/>
        <v>0</v>
      </c>
      <c r="K99" s="752"/>
    </row>
    <row r="100" spans="1:11" x14ac:dyDescent="0.2">
      <c r="A100" s="756">
        <v>2</v>
      </c>
      <c r="B100" s="748">
        <v>2</v>
      </c>
      <c r="C100" s="748">
        <v>1</v>
      </c>
      <c r="D100" s="748">
        <v>6</v>
      </c>
      <c r="E100" s="749" t="s">
        <v>2221</v>
      </c>
      <c r="F100" s="756" t="s">
        <v>3889</v>
      </c>
      <c r="G100" s="875">
        <f>+'[2]MARZO 2025'!G100+'[2]FEBRERO 2025'!G100+'[2]ENERO 2025'!G100+Hoja5!G97</f>
        <v>0</v>
      </c>
      <c r="H100" s="875">
        <f>+'[2]MARZO 2025'!H100+'[2]FEBRERO 2025'!H100+'[2]ENERO 2025'!H100+Hoja5!H97</f>
        <v>106038.88</v>
      </c>
      <c r="I100" s="875">
        <v>0</v>
      </c>
      <c r="J100" s="875">
        <f t="shared" si="4"/>
        <v>106038.88</v>
      </c>
      <c r="K100" s="751">
        <f>J100/$J$25</f>
        <v>2.0060856771297755E-4</v>
      </c>
    </row>
    <row r="101" spans="1:11" x14ac:dyDescent="0.2">
      <c r="A101" s="756">
        <v>2</v>
      </c>
      <c r="B101" s="748">
        <v>2</v>
      </c>
      <c r="C101" s="748">
        <v>1</v>
      </c>
      <c r="D101" s="748">
        <v>6</v>
      </c>
      <c r="E101" s="749" t="s">
        <v>1733</v>
      </c>
      <c r="F101" s="756" t="s">
        <v>3890</v>
      </c>
      <c r="G101" s="875">
        <f>+'[2]MARZO 2025'!G101+'[2]FEBRERO 2025'!G101+'[2]ENERO 2025'!G101+Hoja5!G98</f>
        <v>0</v>
      </c>
      <c r="H101" s="875">
        <f>+'[2]MARZO 2025'!H101+'[2]FEBRERO 2025'!H101+'[2]ENERO 2025'!H101+Hoja5!H98</f>
        <v>106038.88</v>
      </c>
      <c r="I101" s="875">
        <v>0</v>
      </c>
      <c r="J101" s="875">
        <f t="shared" si="4"/>
        <v>106038.88</v>
      </c>
      <c r="K101" s="751">
        <f>J101/$J$25</f>
        <v>2.0060856771297755E-4</v>
      </c>
    </row>
    <row r="102" spans="1:11" x14ac:dyDescent="0.2">
      <c r="A102" s="755">
        <v>2</v>
      </c>
      <c r="B102" s="744">
        <v>2</v>
      </c>
      <c r="C102" s="744">
        <v>1</v>
      </c>
      <c r="D102" s="744">
        <v>7</v>
      </c>
      <c r="E102" s="744"/>
      <c r="F102" s="755" t="s">
        <v>134</v>
      </c>
      <c r="G102" s="745">
        <f>+'[2]MARZO 2025'!G102+'[2]FEBRERO 2025'!G102+'[2]ENERO 2025'!G102+Hoja5!G99</f>
        <v>2020024.3</v>
      </c>
      <c r="H102" s="745">
        <f>+'[2]MARZO 2025'!H102+'[2]FEBRERO 2025'!H102+'[2]ENERO 2025'!H102+Hoja5!H99</f>
        <v>0</v>
      </c>
      <c r="I102" s="745">
        <v>0</v>
      </c>
      <c r="J102" s="745">
        <f t="shared" si="4"/>
        <v>2020024.3</v>
      </c>
      <c r="K102" s="752"/>
    </row>
    <row r="103" spans="1:11" x14ac:dyDescent="0.2">
      <c r="A103" s="756">
        <v>2</v>
      </c>
      <c r="B103" s="748">
        <v>2</v>
      </c>
      <c r="C103" s="748">
        <v>1</v>
      </c>
      <c r="D103" s="748">
        <v>7</v>
      </c>
      <c r="E103" s="749" t="s">
        <v>2221</v>
      </c>
      <c r="F103" s="756" t="s">
        <v>134</v>
      </c>
      <c r="G103" s="875">
        <f>+'[2]MARZO 2025'!G103+'[2]FEBRERO 2025'!G103+'[2]ENERO 2025'!G103+Hoja5!G100</f>
        <v>2020024.3</v>
      </c>
      <c r="H103" s="875">
        <f>+'[2]MARZO 2025'!H103+'[2]FEBRERO 2025'!H103+'[2]ENERO 2025'!H103+Hoja5!H100</f>
        <v>0</v>
      </c>
      <c r="I103" s="875">
        <v>0</v>
      </c>
      <c r="J103" s="875">
        <f t="shared" si="4"/>
        <v>2020024.3</v>
      </c>
      <c r="K103" s="751">
        <f>J103/$J$25</f>
        <v>3.8215622568666331E-3</v>
      </c>
    </row>
    <row r="104" spans="1:11" x14ac:dyDescent="0.2">
      <c r="A104" s="755">
        <v>2</v>
      </c>
      <c r="B104" s="744">
        <v>2</v>
      </c>
      <c r="C104" s="744">
        <v>1</v>
      </c>
      <c r="D104" s="744">
        <v>8</v>
      </c>
      <c r="E104" s="744"/>
      <c r="F104" s="755" t="s">
        <v>3891</v>
      </c>
      <c r="G104" s="745">
        <f>+'[2]MARZO 2025'!G104+'[2]FEBRERO 2025'!G104+'[2]ENERO 2025'!G104+Hoja5!G101</f>
        <v>0</v>
      </c>
      <c r="H104" s="745">
        <f>+'[2]MARZO 2025'!H104+'[2]FEBRERO 2025'!H104+'[2]ENERO 2025'!H104+Hoja5!H101</f>
        <v>1570000</v>
      </c>
      <c r="I104" s="745">
        <v>0</v>
      </c>
      <c r="J104" s="745">
        <f t="shared" si="4"/>
        <v>1570000</v>
      </c>
      <c r="K104" s="752"/>
    </row>
    <row r="105" spans="1:11" x14ac:dyDescent="0.2">
      <c r="A105" s="756">
        <v>2</v>
      </c>
      <c r="B105" s="748">
        <v>2</v>
      </c>
      <c r="C105" s="748">
        <v>1</v>
      </c>
      <c r="D105" s="748">
        <v>8</v>
      </c>
      <c r="E105" s="749" t="s">
        <v>2221</v>
      </c>
      <c r="F105" s="756" t="s">
        <v>3891</v>
      </c>
      <c r="G105" s="875">
        <f>+'[2]MARZO 2025'!G105+'[2]FEBRERO 2025'!G105+'[2]ENERO 2025'!G105+Hoja5!G102</f>
        <v>60535</v>
      </c>
      <c r="H105" s="875">
        <f>+'[2]MARZO 2025'!H105+'[2]FEBRERO 2025'!H105+'[2]ENERO 2025'!H105+Hoja5!H102</f>
        <v>1570000</v>
      </c>
      <c r="I105" s="875">
        <v>0</v>
      </c>
      <c r="J105" s="875">
        <f t="shared" si="4"/>
        <v>1630535</v>
      </c>
      <c r="K105" s="751">
        <f>J105/$J$25</f>
        <v>3.0847109188241128E-3</v>
      </c>
    </row>
    <row r="106" spans="1:11" x14ac:dyDescent="0.2">
      <c r="A106" s="754">
        <v>2</v>
      </c>
      <c r="B106" s="742">
        <v>2</v>
      </c>
      <c r="C106" s="742">
        <v>2</v>
      </c>
      <c r="D106" s="742"/>
      <c r="E106" s="742"/>
      <c r="F106" s="754" t="s">
        <v>3892</v>
      </c>
      <c r="G106" s="874">
        <f>+'[2]MARZO 2025'!G106+'[2]FEBRERO 2025'!G106+'[2]ENERO 2025'!G106+Hoja5!G103</f>
        <v>384741.83</v>
      </c>
      <c r="H106" s="874">
        <f>+'[2]MARZO 2025'!H106+'[2]FEBRERO 2025'!H106+'[2]ENERO 2025'!H106+Hoja5!H103</f>
        <v>0</v>
      </c>
      <c r="I106" s="874">
        <v>0</v>
      </c>
      <c r="J106" s="874">
        <f t="shared" si="4"/>
        <v>384741.83</v>
      </c>
      <c r="K106" s="740"/>
    </row>
    <row r="107" spans="1:11" x14ac:dyDescent="0.2">
      <c r="A107" s="755">
        <v>2</v>
      </c>
      <c r="B107" s="744">
        <v>2</v>
      </c>
      <c r="C107" s="744">
        <v>2</v>
      </c>
      <c r="D107" s="744">
        <v>1</v>
      </c>
      <c r="E107" s="744"/>
      <c r="F107" s="755" t="s">
        <v>3893</v>
      </c>
      <c r="G107" s="745">
        <f>+'[2]MARZO 2025'!G107+'[2]FEBRERO 2025'!G107+'[2]ENERO 2025'!G107+Hoja5!G104</f>
        <v>0</v>
      </c>
      <c r="H107" s="745">
        <f>+'[2]MARZO 2025'!H107+'[2]FEBRERO 2025'!H107+'[2]ENERO 2025'!H107+Hoja5!H104</f>
        <v>75000</v>
      </c>
      <c r="I107" s="745">
        <v>0</v>
      </c>
      <c r="J107" s="745">
        <f t="shared" si="4"/>
        <v>75000</v>
      </c>
      <c r="K107" s="752"/>
    </row>
    <row r="108" spans="1:11" x14ac:dyDescent="0.2">
      <c r="A108" s="756">
        <v>2</v>
      </c>
      <c r="B108" s="748">
        <v>2</v>
      </c>
      <c r="C108" s="748">
        <v>2</v>
      </c>
      <c r="D108" s="748">
        <v>1</v>
      </c>
      <c r="E108" s="749" t="s">
        <v>2221</v>
      </c>
      <c r="F108" s="756" t="s">
        <v>3893</v>
      </c>
      <c r="G108" s="875">
        <f>+'[2]MARZO 2025'!G108+'[2]FEBRERO 2025'!G108+'[2]ENERO 2025'!G108+Hoja5!G105</f>
        <v>0</v>
      </c>
      <c r="H108" s="875">
        <f>+'[2]MARZO 2025'!H108+'[2]FEBRERO 2025'!H108+'[2]ENERO 2025'!H108+Hoja5!H105</f>
        <v>75000</v>
      </c>
      <c r="I108" s="875">
        <v>0</v>
      </c>
      <c r="J108" s="875">
        <f t="shared" si="4"/>
        <v>75000</v>
      </c>
      <c r="K108" s="751">
        <f>J108/$J$25</f>
        <v>1.4188798088468415E-4</v>
      </c>
    </row>
    <row r="109" spans="1:11" x14ac:dyDescent="0.2">
      <c r="A109" s="755">
        <v>2</v>
      </c>
      <c r="B109" s="744">
        <v>2</v>
      </c>
      <c r="C109" s="744">
        <v>2</v>
      </c>
      <c r="D109" s="744">
        <v>2</v>
      </c>
      <c r="E109" s="744"/>
      <c r="F109" s="755" t="s">
        <v>3894</v>
      </c>
      <c r="G109" s="745">
        <f>+'[2]MARZO 2025'!G109+'[2]FEBRERO 2025'!G109+'[2]ENERO 2025'!G109+Hoja5!G106</f>
        <v>324206.83</v>
      </c>
      <c r="H109" s="745">
        <f>+'[2]MARZO 2025'!H109+'[2]FEBRERO 2025'!H109+'[2]ENERO 2025'!H109+Hoja5!H106</f>
        <v>0</v>
      </c>
      <c r="I109" s="745">
        <v>0</v>
      </c>
      <c r="J109" s="745">
        <f t="shared" si="4"/>
        <v>324206.83</v>
      </c>
      <c r="K109" s="752"/>
    </row>
    <row r="110" spans="1:11" x14ac:dyDescent="0.2">
      <c r="A110" s="756">
        <v>2</v>
      </c>
      <c r="B110" s="748">
        <v>2</v>
      </c>
      <c r="C110" s="748">
        <v>2</v>
      </c>
      <c r="D110" s="748">
        <v>2</v>
      </c>
      <c r="E110" s="749" t="s">
        <v>2221</v>
      </c>
      <c r="F110" s="756" t="s">
        <v>3894</v>
      </c>
      <c r="G110" s="875">
        <f>+'[2]MARZO 2025'!G110+'[2]FEBRERO 2025'!G110+'[2]ENERO 2025'!G110+Hoja5!G107</f>
        <v>324206.83</v>
      </c>
      <c r="H110" s="875">
        <f>+'[2]MARZO 2025'!H110+'[2]FEBRERO 2025'!H110+'[2]ENERO 2025'!H110+Hoja5!H107</f>
        <v>0</v>
      </c>
      <c r="I110" s="875">
        <v>0</v>
      </c>
      <c r="J110" s="875">
        <f t="shared" si="4"/>
        <v>324206.83</v>
      </c>
      <c r="K110" s="751">
        <f>J110/$J$25</f>
        <v>6.1334736663632057E-4</v>
      </c>
    </row>
    <row r="111" spans="1:11" x14ac:dyDescent="0.2">
      <c r="A111" s="754">
        <v>2</v>
      </c>
      <c r="B111" s="742">
        <v>2</v>
      </c>
      <c r="C111" s="742">
        <v>3</v>
      </c>
      <c r="D111" s="742"/>
      <c r="E111" s="742"/>
      <c r="F111" s="754" t="s">
        <v>3895</v>
      </c>
      <c r="G111" s="874">
        <f>+'[2]MARZO 2025'!G111+'[2]FEBRERO 2025'!G111+'[2]ENERO 2025'!G111+Hoja5!G108</f>
        <v>0</v>
      </c>
      <c r="H111" s="874">
        <f>+'[2]MARZO 2025'!H111+'[2]FEBRERO 2025'!H111+'[2]ENERO 2025'!H111+Hoja5!H108</f>
        <v>0</v>
      </c>
      <c r="I111" s="874">
        <v>0</v>
      </c>
      <c r="J111" s="874">
        <f t="shared" si="4"/>
        <v>0</v>
      </c>
      <c r="K111" s="740"/>
    </row>
    <row r="112" spans="1:11" x14ac:dyDescent="0.2">
      <c r="A112" s="755">
        <v>2</v>
      </c>
      <c r="B112" s="744">
        <v>2</v>
      </c>
      <c r="C112" s="744">
        <v>3</v>
      </c>
      <c r="D112" s="744">
        <v>1</v>
      </c>
      <c r="E112" s="744"/>
      <c r="F112" s="755" t="s">
        <v>3896</v>
      </c>
      <c r="G112" s="745">
        <f>+'[2]MARZO 2025'!G112+'[2]FEBRERO 2025'!G112+'[2]ENERO 2025'!G112+Hoja5!G109</f>
        <v>0</v>
      </c>
      <c r="H112" s="745">
        <f>+'[2]MARZO 2025'!H112+'[2]FEBRERO 2025'!H112+'[2]ENERO 2025'!H112+Hoja5!H109</f>
        <v>0</v>
      </c>
      <c r="I112" s="745">
        <v>0</v>
      </c>
      <c r="J112" s="745">
        <f t="shared" si="4"/>
        <v>0</v>
      </c>
      <c r="K112" s="752"/>
    </row>
    <row r="113" spans="1:11" x14ac:dyDescent="0.2">
      <c r="A113" s="756">
        <v>2</v>
      </c>
      <c r="B113" s="748">
        <v>2</v>
      </c>
      <c r="C113" s="748">
        <v>3</v>
      </c>
      <c r="D113" s="748">
        <v>1</v>
      </c>
      <c r="E113" s="749" t="s">
        <v>2221</v>
      </c>
      <c r="F113" s="756" t="s">
        <v>3896</v>
      </c>
      <c r="G113" s="875">
        <f>+'[2]MARZO 2025'!G113+'[2]FEBRERO 2025'!G113+'[2]ENERO 2025'!G113+Hoja5!G110</f>
        <v>0</v>
      </c>
      <c r="H113" s="875">
        <f>+'[2]MARZO 2025'!H113+'[2]FEBRERO 2025'!H113+'[2]ENERO 2025'!H113+Hoja5!H110</f>
        <v>0</v>
      </c>
      <c r="I113" s="875">
        <v>0</v>
      </c>
      <c r="J113" s="875">
        <f t="shared" si="4"/>
        <v>0</v>
      </c>
      <c r="K113" s="751">
        <f>J113/$J$25</f>
        <v>0</v>
      </c>
    </row>
    <row r="114" spans="1:11" x14ac:dyDescent="0.2">
      <c r="A114" s="755">
        <v>2</v>
      </c>
      <c r="B114" s="744">
        <v>2</v>
      </c>
      <c r="C114" s="744">
        <v>3</v>
      </c>
      <c r="D114" s="744">
        <v>2</v>
      </c>
      <c r="E114" s="744"/>
      <c r="F114" s="755" t="s">
        <v>3897</v>
      </c>
      <c r="G114" s="745">
        <f>+'[2]MARZO 2025'!G114+'[2]FEBRERO 2025'!G114+'[2]ENERO 2025'!G114+Hoja5!G111</f>
        <v>0</v>
      </c>
      <c r="H114" s="745">
        <f>+'[2]MARZO 2025'!H114+'[2]FEBRERO 2025'!H114+'[2]ENERO 2025'!H114+Hoja5!H111</f>
        <v>0</v>
      </c>
      <c r="I114" s="745">
        <v>0</v>
      </c>
      <c r="J114" s="745">
        <f t="shared" si="4"/>
        <v>0</v>
      </c>
      <c r="K114" s="752"/>
    </row>
    <row r="115" spans="1:11" x14ac:dyDescent="0.2">
      <c r="A115" s="756">
        <v>2</v>
      </c>
      <c r="B115" s="748">
        <v>2</v>
      </c>
      <c r="C115" s="748">
        <v>3</v>
      </c>
      <c r="D115" s="748">
        <v>2</v>
      </c>
      <c r="E115" s="749" t="s">
        <v>2221</v>
      </c>
      <c r="F115" s="756" t="s">
        <v>3897</v>
      </c>
      <c r="G115" s="875">
        <f>+'[2]MARZO 2025'!G115+'[2]FEBRERO 2025'!G115+'[2]ENERO 2025'!G115+Hoja5!G112</f>
        <v>0</v>
      </c>
      <c r="H115" s="875">
        <f>+'[2]MARZO 2025'!H115+'[2]FEBRERO 2025'!H115+'[2]ENERO 2025'!H115+Hoja5!H112</f>
        <v>0</v>
      </c>
      <c r="I115" s="875">
        <v>0</v>
      </c>
      <c r="J115" s="875">
        <f t="shared" si="4"/>
        <v>0</v>
      </c>
      <c r="K115" s="751">
        <f>J115/$J$25</f>
        <v>0</v>
      </c>
    </row>
    <row r="116" spans="1:11" x14ac:dyDescent="0.2">
      <c r="A116" s="754">
        <v>2</v>
      </c>
      <c r="B116" s="742">
        <v>2</v>
      </c>
      <c r="C116" s="742">
        <v>4</v>
      </c>
      <c r="D116" s="742"/>
      <c r="E116" s="742"/>
      <c r="F116" s="754" t="s">
        <v>170</v>
      </c>
      <c r="G116" s="874">
        <f>+'[2]MARZO 2025'!G116+'[2]FEBRERO 2025'!G116+'[2]ENERO 2025'!G116+Hoja5!G113</f>
        <v>0</v>
      </c>
      <c r="H116" s="874">
        <f>+'[2]MARZO 2025'!H116+'[2]FEBRERO 2025'!H116+'[2]ENERO 2025'!H116+Hoja5!H113</f>
        <v>56000</v>
      </c>
      <c r="I116" s="874">
        <v>0</v>
      </c>
      <c r="J116" s="874">
        <f t="shared" si="4"/>
        <v>56000</v>
      </c>
      <c r="K116" s="740"/>
    </row>
    <row r="117" spans="1:11" x14ac:dyDescent="0.2">
      <c r="A117" s="755">
        <v>2</v>
      </c>
      <c r="B117" s="744">
        <v>2</v>
      </c>
      <c r="C117" s="744">
        <v>4</v>
      </c>
      <c r="D117" s="744">
        <v>1</v>
      </c>
      <c r="E117" s="744"/>
      <c r="F117" s="755" t="s">
        <v>3898</v>
      </c>
      <c r="G117" s="745">
        <f>+'[2]MARZO 2025'!G117+'[2]FEBRERO 2025'!G117+'[2]ENERO 2025'!G117+Hoja5!G114</f>
        <v>0</v>
      </c>
      <c r="H117" s="745">
        <f>+'[2]MARZO 2025'!H117+'[2]FEBRERO 2025'!H117+'[2]ENERO 2025'!H117+Hoja5!H114</f>
        <v>0</v>
      </c>
      <c r="I117" s="745">
        <v>0</v>
      </c>
      <c r="J117" s="745">
        <f t="shared" si="4"/>
        <v>0</v>
      </c>
      <c r="K117" s="752"/>
    </row>
    <row r="118" spans="1:11" x14ac:dyDescent="0.2">
      <c r="A118" s="756">
        <v>2</v>
      </c>
      <c r="B118" s="748">
        <v>2</v>
      </c>
      <c r="C118" s="748">
        <v>4</v>
      </c>
      <c r="D118" s="748">
        <v>1</v>
      </c>
      <c r="E118" s="749" t="s">
        <v>2221</v>
      </c>
      <c r="F118" s="756" t="s">
        <v>3898</v>
      </c>
      <c r="G118" s="875">
        <f>+'[2]MARZO 2025'!G118+'[2]FEBRERO 2025'!G118+'[2]ENERO 2025'!G118+Hoja5!G115</f>
        <v>0</v>
      </c>
      <c r="H118" s="875">
        <f>+'[2]MARZO 2025'!H118+'[2]FEBRERO 2025'!H118+'[2]ENERO 2025'!H118+Hoja5!H115</f>
        <v>0</v>
      </c>
      <c r="I118" s="875">
        <v>0</v>
      </c>
      <c r="J118" s="875">
        <f t="shared" si="4"/>
        <v>0</v>
      </c>
      <c r="K118" s="751">
        <f>J118/$J$25</f>
        <v>0</v>
      </c>
    </row>
    <row r="119" spans="1:11" x14ac:dyDescent="0.2">
      <c r="A119" s="755">
        <v>2</v>
      </c>
      <c r="B119" s="744">
        <v>2</v>
      </c>
      <c r="C119" s="744">
        <v>4</v>
      </c>
      <c r="D119" s="744">
        <v>2</v>
      </c>
      <c r="E119" s="744"/>
      <c r="F119" s="755" t="s">
        <v>137</v>
      </c>
      <c r="G119" s="745">
        <f>+'[2]MARZO 2025'!G119+'[2]FEBRERO 2025'!G119+'[2]ENERO 2025'!G119+Hoja5!G116</f>
        <v>0</v>
      </c>
      <c r="H119" s="745">
        <f>+'[2]MARZO 2025'!H119+'[2]FEBRERO 2025'!H119+'[2]ENERO 2025'!H119+Hoja5!H116</f>
        <v>56000</v>
      </c>
      <c r="I119" s="745">
        <v>0</v>
      </c>
      <c r="J119" s="745">
        <f t="shared" si="4"/>
        <v>56000</v>
      </c>
      <c r="K119" s="752"/>
    </row>
    <row r="120" spans="1:11" x14ac:dyDescent="0.2">
      <c r="A120" s="756">
        <v>2</v>
      </c>
      <c r="B120" s="748">
        <v>2</v>
      </c>
      <c r="C120" s="748">
        <v>4</v>
      </c>
      <c r="D120" s="748">
        <v>2</v>
      </c>
      <c r="E120" s="749" t="s">
        <v>2221</v>
      </c>
      <c r="F120" s="756" t="s">
        <v>137</v>
      </c>
      <c r="G120" s="875">
        <f>+'[2]MARZO 2025'!G120+'[2]FEBRERO 2025'!G120+'[2]ENERO 2025'!G120+Hoja5!G117</f>
        <v>0</v>
      </c>
      <c r="H120" s="875">
        <f>+'[2]MARZO 2025'!H120+'[2]FEBRERO 2025'!H120+'[2]ENERO 2025'!H120+Hoja5!H117</f>
        <v>56000</v>
      </c>
      <c r="I120" s="875">
        <v>0</v>
      </c>
      <c r="J120" s="875">
        <f t="shared" si="4"/>
        <v>56000</v>
      </c>
      <c r="K120" s="751">
        <f>J120/$J$25</f>
        <v>1.0594302572723084E-4</v>
      </c>
    </row>
    <row r="121" spans="1:11" x14ac:dyDescent="0.2">
      <c r="A121" s="755">
        <v>2</v>
      </c>
      <c r="B121" s="744">
        <v>2</v>
      </c>
      <c r="C121" s="744">
        <v>4</v>
      </c>
      <c r="D121" s="744">
        <v>3</v>
      </c>
      <c r="E121" s="744"/>
      <c r="F121" s="755" t="s">
        <v>3899</v>
      </c>
      <c r="G121" s="745">
        <f>+'[2]MARZO 2025'!G121+'[2]FEBRERO 2025'!G121+'[2]ENERO 2025'!G121+Hoja5!G118</f>
        <v>0</v>
      </c>
      <c r="H121" s="745">
        <f>+'[2]MARZO 2025'!H121+'[2]FEBRERO 2025'!H121+'[2]ENERO 2025'!H121+Hoja5!H118</f>
        <v>0</v>
      </c>
      <c r="I121" s="745">
        <v>0</v>
      </c>
      <c r="J121" s="745">
        <f t="shared" si="4"/>
        <v>0</v>
      </c>
      <c r="K121" s="752"/>
    </row>
    <row r="122" spans="1:11" x14ac:dyDescent="0.2">
      <c r="A122" s="756">
        <v>2</v>
      </c>
      <c r="B122" s="748">
        <v>2</v>
      </c>
      <c r="C122" s="748">
        <v>4</v>
      </c>
      <c r="D122" s="748">
        <v>3</v>
      </c>
      <c r="E122" s="749" t="s">
        <v>2221</v>
      </c>
      <c r="F122" s="756" t="s">
        <v>3899</v>
      </c>
      <c r="G122" s="875">
        <f>+'[2]MARZO 2025'!G122+'[2]FEBRERO 2025'!G122+'[2]ENERO 2025'!G122+Hoja5!G119</f>
        <v>0</v>
      </c>
      <c r="H122" s="875">
        <f>+'[2]MARZO 2025'!H122+'[2]FEBRERO 2025'!H122+'[2]ENERO 2025'!H122+Hoja5!H119</f>
        <v>0</v>
      </c>
      <c r="I122" s="875">
        <v>0</v>
      </c>
      <c r="J122" s="875">
        <f t="shared" si="4"/>
        <v>0</v>
      </c>
      <c r="K122" s="751">
        <f>J122/$J$25</f>
        <v>0</v>
      </c>
    </row>
    <row r="123" spans="1:11" x14ac:dyDescent="0.2">
      <c r="A123" s="755">
        <v>2</v>
      </c>
      <c r="B123" s="744">
        <v>2</v>
      </c>
      <c r="C123" s="744">
        <v>4</v>
      </c>
      <c r="D123" s="744">
        <v>4</v>
      </c>
      <c r="E123" s="744"/>
      <c r="F123" s="755" t="s">
        <v>3900</v>
      </c>
      <c r="G123" s="745">
        <f>+'[2]MARZO 2025'!G123+'[2]FEBRERO 2025'!G123+'[2]ENERO 2025'!G123+Hoja5!G120</f>
        <v>0</v>
      </c>
      <c r="H123" s="745">
        <f>+'[2]MARZO 2025'!H123+'[2]FEBRERO 2025'!H123+'[2]ENERO 2025'!H123+Hoja5!H120</f>
        <v>0</v>
      </c>
      <c r="I123" s="745">
        <v>0</v>
      </c>
      <c r="J123" s="745">
        <f t="shared" si="4"/>
        <v>0</v>
      </c>
      <c r="K123" s="752"/>
    </row>
    <row r="124" spans="1:11" x14ac:dyDescent="0.2">
      <c r="A124" s="756">
        <v>2</v>
      </c>
      <c r="B124" s="748">
        <v>2</v>
      </c>
      <c r="C124" s="748">
        <v>4</v>
      </c>
      <c r="D124" s="748">
        <v>4</v>
      </c>
      <c r="E124" s="749" t="s">
        <v>2221</v>
      </c>
      <c r="F124" s="756" t="s">
        <v>3900</v>
      </c>
      <c r="G124" s="875">
        <f>+'[2]MARZO 2025'!G124+'[2]FEBRERO 2025'!G124+'[2]ENERO 2025'!G124+Hoja5!G121</f>
        <v>0</v>
      </c>
      <c r="H124" s="875">
        <f>+'[2]MARZO 2025'!H124+'[2]FEBRERO 2025'!H124+'[2]ENERO 2025'!H124+Hoja5!H121</f>
        <v>0</v>
      </c>
      <c r="I124" s="875">
        <v>0</v>
      </c>
      <c r="J124" s="875">
        <f t="shared" si="4"/>
        <v>0</v>
      </c>
      <c r="K124" s="751">
        <f>J124/$J$25</f>
        <v>0</v>
      </c>
    </row>
    <row r="125" spans="1:11" x14ac:dyDescent="0.2">
      <c r="A125" s="741">
        <v>2</v>
      </c>
      <c r="B125" s="742">
        <v>2</v>
      </c>
      <c r="C125" s="742">
        <v>5</v>
      </c>
      <c r="D125" s="742"/>
      <c r="E125" s="742"/>
      <c r="F125" s="754" t="s">
        <v>3901</v>
      </c>
      <c r="G125" s="874">
        <f>+'[2]MARZO 2025'!G125+'[2]FEBRERO 2025'!G125+'[2]ENERO 2025'!G125+Hoja5!G122</f>
        <v>0</v>
      </c>
      <c r="H125" s="874">
        <f>+'[2]MARZO 2025'!H125+'[2]FEBRERO 2025'!H125+'[2]ENERO 2025'!H125+Hoja5!H122</f>
        <v>519625.16000000003</v>
      </c>
      <c r="I125" s="874">
        <v>0</v>
      </c>
      <c r="J125" s="874">
        <f>SUM(G125:I125)</f>
        <v>519625.16000000003</v>
      </c>
      <c r="K125" s="740"/>
    </row>
    <row r="126" spans="1:11" x14ac:dyDescent="0.2">
      <c r="A126" s="755">
        <v>2</v>
      </c>
      <c r="B126" s="744">
        <v>2</v>
      </c>
      <c r="C126" s="744">
        <v>5</v>
      </c>
      <c r="D126" s="744">
        <v>1</v>
      </c>
      <c r="E126" s="758"/>
      <c r="F126" s="755" t="s">
        <v>3902</v>
      </c>
      <c r="G126" s="745">
        <f>+'[2]MARZO 2025'!G126+'[2]FEBRERO 2025'!G126+'[2]ENERO 2025'!G126+Hoja5!G123</f>
        <v>0</v>
      </c>
      <c r="H126" s="745">
        <f>+'[2]MARZO 2025'!H126+'[2]FEBRERO 2025'!H126+'[2]ENERO 2025'!H126+Hoja5!H123</f>
        <v>0</v>
      </c>
      <c r="I126" s="745">
        <v>0</v>
      </c>
      <c r="J126" s="745">
        <f t="shared" si="4"/>
        <v>0</v>
      </c>
      <c r="K126" s="752"/>
    </row>
    <row r="127" spans="1:11" x14ac:dyDescent="0.2">
      <c r="A127" s="756">
        <v>2</v>
      </c>
      <c r="B127" s="748">
        <v>2</v>
      </c>
      <c r="C127" s="748">
        <v>5</v>
      </c>
      <c r="D127" s="748">
        <v>1</v>
      </c>
      <c r="E127" s="749" t="s">
        <v>2221</v>
      </c>
      <c r="F127" s="756" t="s">
        <v>3902</v>
      </c>
      <c r="G127" s="875">
        <f>+'[2]MARZO 2025'!G127+'[2]FEBRERO 2025'!G127+'[2]ENERO 2025'!G127+Hoja5!G124</f>
        <v>0</v>
      </c>
      <c r="H127" s="875">
        <f>+'[2]MARZO 2025'!H127+'[2]FEBRERO 2025'!H127+'[2]ENERO 2025'!H127+Hoja5!H124</f>
        <v>0</v>
      </c>
      <c r="I127" s="875">
        <v>0</v>
      </c>
      <c r="J127" s="875">
        <f t="shared" si="4"/>
        <v>0</v>
      </c>
      <c r="K127" s="751">
        <f>J127/$J$25</f>
        <v>0</v>
      </c>
    </row>
    <row r="128" spans="1:11" x14ac:dyDescent="0.2">
      <c r="A128" s="755">
        <v>2</v>
      </c>
      <c r="B128" s="744">
        <v>2</v>
      </c>
      <c r="C128" s="744">
        <v>5</v>
      </c>
      <c r="D128" s="744">
        <v>2</v>
      </c>
      <c r="E128" s="758"/>
      <c r="F128" s="755" t="s">
        <v>3903</v>
      </c>
      <c r="G128" s="745">
        <f>+'[2]MARZO 2025'!G128+'[2]FEBRERO 2025'!G128+'[2]ENERO 2025'!G128+Hoja5!G125</f>
        <v>150000</v>
      </c>
      <c r="H128" s="745">
        <f>+'[2]MARZO 2025'!H128+'[2]FEBRERO 2025'!H128+'[2]ENERO 2025'!H128+Hoja5!H125</f>
        <v>229519.78</v>
      </c>
      <c r="I128" s="745">
        <v>0</v>
      </c>
      <c r="J128" s="745">
        <f t="shared" si="4"/>
        <v>379519.78</v>
      </c>
      <c r="K128" s="752"/>
    </row>
    <row r="129" spans="1:11" x14ac:dyDescent="0.2">
      <c r="A129" s="756">
        <v>2</v>
      </c>
      <c r="B129" s="748">
        <v>2</v>
      </c>
      <c r="C129" s="748">
        <v>5</v>
      </c>
      <c r="D129" s="748">
        <v>2</v>
      </c>
      <c r="E129" s="749" t="s">
        <v>2221</v>
      </c>
      <c r="F129" s="756" t="s">
        <v>3904</v>
      </c>
      <c r="G129" s="875">
        <f>+'[2]MARZO 2025'!G129+'[2]FEBRERO 2025'!G129+'[2]ENERO 2025'!G129+Hoja5!G126</f>
        <v>0</v>
      </c>
      <c r="H129" s="875">
        <f>+'[2]MARZO 2025'!H129+'[2]FEBRERO 2025'!H129+'[2]ENERO 2025'!H129+Hoja5!H126</f>
        <v>0</v>
      </c>
      <c r="I129" s="875">
        <v>0</v>
      </c>
      <c r="J129" s="875">
        <f t="shared" si="4"/>
        <v>0</v>
      </c>
      <c r="K129" s="751">
        <f>J129/$J$25</f>
        <v>0</v>
      </c>
    </row>
    <row r="130" spans="1:11" x14ac:dyDescent="0.2">
      <c r="A130" s="755">
        <v>2</v>
      </c>
      <c r="B130" s="744">
        <v>2</v>
      </c>
      <c r="C130" s="744">
        <v>5</v>
      </c>
      <c r="D130" s="744">
        <v>3</v>
      </c>
      <c r="E130" s="758"/>
      <c r="F130" s="755" t="s">
        <v>3905</v>
      </c>
      <c r="G130" s="745">
        <f>+'[2]MARZO 2025'!G130+'[2]FEBRERO 2025'!G130+'[2]ENERO 2025'!G130+Hoja5!G127</f>
        <v>0</v>
      </c>
      <c r="H130" s="745">
        <f>+'[2]MARZO 2025'!H130+'[2]FEBRERO 2025'!H130+'[2]ENERO 2025'!H130+Hoja5!H127</f>
        <v>519625.16000000003</v>
      </c>
      <c r="I130" s="745">
        <v>0</v>
      </c>
      <c r="J130" s="745">
        <f t="shared" si="4"/>
        <v>519625.16000000003</v>
      </c>
      <c r="K130" s="752"/>
    </row>
    <row r="131" spans="1:11" x14ac:dyDescent="0.2">
      <c r="A131" s="756">
        <v>2</v>
      </c>
      <c r="B131" s="748">
        <v>2</v>
      </c>
      <c r="C131" s="748">
        <v>5</v>
      </c>
      <c r="D131" s="748">
        <v>3</v>
      </c>
      <c r="E131" s="749" t="s">
        <v>2221</v>
      </c>
      <c r="F131" s="756" t="s">
        <v>138</v>
      </c>
      <c r="G131" s="875">
        <f>+'[2]MARZO 2025'!G131+'[2]FEBRERO 2025'!G131+'[2]ENERO 2025'!G131+Hoja5!G128</f>
        <v>0</v>
      </c>
      <c r="H131" s="875">
        <f>+'[2]MARZO 2025'!H131+'[2]FEBRERO 2025'!H131+'[2]ENERO 2025'!H131+Hoja5!H128</f>
        <v>0</v>
      </c>
      <c r="I131" s="875">
        <v>0</v>
      </c>
      <c r="J131" s="875">
        <f t="shared" si="4"/>
        <v>0</v>
      </c>
      <c r="K131" s="751">
        <f>J131/$J$25</f>
        <v>0</v>
      </c>
    </row>
    <row r="132" spans="1:11" x14ac:dyDescent="0.2">
      <c r="A132" s="756">
        <v>2</v>
      </c>
      <c r="B132" s="748">
        <v>2</v>
      </c>
      <c r="C132" s="748">
        <v>5</v>
      </c>
      <c r="D132" s="748">
        <v>3</v>
      </c>
      <c r="E132" s="749" t="s">
        <v>1733</v>
      </c>
      <c r="F132" s="756" t="s">
        <v>3906</v>
      </c>
      <c r="G132" s="875">
        <f>+'[2]MARZO 2025'!G132+'[2]FEBRERO 2025'!G132+'[2]ENERO 2025'!G132+Hoja5!G129</f>
        <v>0</v>
      </c>
      <c r="H132" s="875">
        <f>+'[2]MARZO 2025'!H132+'[2]FEBRERO 2025'!H132+'[2]ENERO 2025'!H132+Hoja5!H129</f>
        <v>519625.16000000003</v>
      </c>
      <c r="I132" s="875">
        <v>0</v>
      </c>
      <c r="J132" s="875">
        <f t="shared" si="4"/>
        <v>519625.16000000003</v>
      </c>
      <c r="K132" s="751">
        <f>J132/$J$25</f>
        <v>9.8304753025707926E-4</v>
      </c>
    </row>
    <row r="133" spans="1:11" x14ac:dyDescent="0.2">
      <c r="A133" s="756">
        <v>2</v>
      </c>
      <c r="B133" s="748">
        <v>2</v>
      </c>
      <c r="C133" s="748">
        <v>5</v>
      </c>
      <c r="D133" s="748">
        <v>3</v>
      </c>
      <c r="E133" s="749" t="s">
        <v>3839</v>
      </c>
      <c r="F133" s="756" t="s">
        <v>3907</v>
      </c>
      <c r="G133" s="875">
        <f>+'[2]MARZO 2025'!G133+'[2]FEBRERO 2025'!G133+'[2]ENERO 2025'!G133+Hoja5!G130</f>
        <v>0</v>
      </c>
      <c r="H133" s="875">
        <f>+'[2]MARZO 2025'!H133+'[2]FEBRERO 2025'!H133+'[2]ENERO 2025'!H133+Hoja5!H130</f>
        <v>229519.78</v>
      </c>
      <c r="I133" s="875">
        <v>0</v>
      </c>
      <c r="J133" s="875">
        <f t="shared" si="4"/>
        <v>229519.78</v>
      </c>
      <c r="K133" s="751">
        <f>J133/$J$25</f>
        <v>4.3421464209729215E-4</v>
      </c>
    </row>
    <row r="134" spans="1:11" x14ac:dyDescent="0.2">
      <c r="A134" s="756">
        <v>2</v>
      </c>
      <c r="B134" s="748">
        <v>2</v>
      </c>
      <c r="C134" s="748">
        <v>5</v>
      </c>
      <c r="D134" s="748">
        <v>3</v>
      </c>
      <c r="E134" s="749" t="s">
        <v>625</v>
      </c>
      <c r="F134" s="756" t="s">
        <v>141</v>
      </c>
      <c r="G134" s="875">
        <f>+'[2]MARZO 2025'!G134+'[2]FEBRERO 2025'!G134+'[2]ENERO 2025'!G134+Hoja5!G131</f>
        <v>0</v>
      </c>
      <c r="H134" s="875">
        <f>+'[2]MARZO 2025'!H134+'[2]FEBRERO 2025'!H134+'[2]ENERO 2025'!H134+Hoja5!H131</f>
        <v>0</v>
      </c>
      <c r="I134" s="875">
        <v>0</v>
      </c>
      <c r="J134" s="875">
        <f t="shared" si="4"/>
        <v>0</v>
      </c>
      <c r="K134" s="751">
        <f>J134/$J$25</f>
        <v>0</v>
      </c>
    </row>
    <row r="135" spans="1:11" x14ac:dyDescent="0.2">
      <c r="A135" s="756">
        <v>2</v>
      </c>
      <c r="B135" s="748">
        <v>2</v>
      </c>
      <c r="C135" s="748">
        <v>5</v>
      </c>
      <c r="D135" s="748">
        <v>3</v>
      </c>
      <c r="E135" s="749" t="s">
        <v>3842</v>
      </c>
      <c r="F135" s="756" t="s">
        <v>3908</v>
      </c>
      <c r="G135" s="875">
        <f>+'[2]MARZO 2025'!G135+'[2]FEBRERO 2025'!G135+'[2]ENERO 2025'!G135+Hoja5!G132</f>
        <v>0</v>
      </c>
      <c r="H135" s="875">
        <f>+'[2]MARZO 2025'!H135+'[2]FEBRERO 2025'!H135+'[2]ENERO 2025'!H135+Hoja5!H132</f>
        <v>229519.78</v>
      </c>
      <c r="I135" s="875">
        <v>0</v>
      </c>
      <c r="J135" s="875">
        <f t="shared" si="4"/>
        <v>229519.78</v>
      </c>
      <c r="K135" s="751">
        <f>J135/$J$25</f>
        <v>4.3421464209729215E-4</v>
      </c>
    </row>
    <row r="136" spans="1:11" x14ac:dyDescent="0.2">
      <c r="A136" s="755">
        <v>2</v>
      </c>
      <c r="B136" s="744">
        <v>2</v>
      </c>
      <c r="C136" s="744">
        <v>5</v>
      </c>
      <c r="D136" s="744">
        <v>4</v>
      </c>
      <c r="E136" s="758"/>
      <c r="F136" s="755" t="s">
        <v>3909</v>
      </c>
      <c r="G136" s="745">
        <f>+'[2]MARZO 2025'!G136+'[2]FEBRERO 2025'!G136+'[2]ENERO 2025'!G136+Hoja5!G133</f>
        <v>0</v>
      </c>
      <c r="H136" s="745">
        <f>+'[2]MARZO 2025'!H136+'[2]FEBRERO 2025'!H136+'[2]ENERO 2025'!H136+Hoja5!H133</f>
        <v>0</v>
      </c>
      <c r="I136" s="745">
        <v>0</v>
      </c>
      <c r="J136" s="745">
        <f t="shared" si="4"/>
        <v>0</v>
      </c>
      <c r="K136" s="752"/>
    </row>
    <row r="137" spans="1:11" x14ac:dyDescent="0.2">
      <c r="A137" s="756">
        <v>2</v>
      </c>
      <c r="B137" s="748">
        <v>2</v>
      </c>
      <c r="C137" s="748">
        <v>5</v>
      </c>
      <c r="D137" s="748">
        <v>4</v>
      </c>
      <c r="E137" s="749" t="s">
        <v>2221</v>
      </c>
      <c r="F137" s="756" t="s">
        <v>3909</v>
      </c>
      <c r="G137" s="875">
        <f>+'[2]MARZO 2025'!G137+'[2]FEBRERO 2025'!G137+'[2]ENERO 2025'!G137+Hoja5!G134</f>
        <v>0</v>
      </c>
      <c r="H137" s="875">
        <f>+'[2]MARZO 2025'!H137+'[2]FEBRERO 2025'!H137+'[2]ENERO 2025'!H137+Hoja5!H134</f>
        <v>0</v>
      </c>
      <c r="I137" s="875">
        <v>0</v>
      </c>
      <c r="J137" s="875">
        <f t="shared" si="4"/>
        <v>0</v>
      </c>
      <c r="K137" s="751">
        <f>J137/$J$25</f>
        <v>0</v>
      </c>
    </row>
    <row r="138" spans="1:11" x14ac:dyDescent="0.2">
      <c r="A138" s="755">
        <v>2</v>
      </c>
      <c r="B138" s="744">
        <v>2</v>
      </c>
      <c r="C138" s="744">
        <v>5</v>
      </c>
      <c r="D138" s="744">
        <v>5</v>
      </c>
      <c r="E138" s="758"/>
      <c r="F138" s="755" t="s">
        <v>3910</v>
      </c>
      <c r="G138" s="745">
        <f>+'[2]MARZO 2025'!G138+'[2]FEBRERO 2025'!G138+'[2]ENERO 2025'!G138+Hoja5!G135</f>
        <v>0</v>
      </c>
      <c r="H138" s="745">
        <f>+'[2]MARZO 2025'!H138+'[2]FEBRERO 2025'!H138+'[2]ENERO 2025'!H138+Hoja5!H135</f>
        <v>0</v>
      </c>
      <c r="I138" s="745">
        <v>0</v>
      </c>
      <c r="J138" s="745">
        <f t="shared" si="4"/>
        <v>0</v>
      </c>
      <c r="K138" s="752"/>
    </row>
    <row r="139" spans="1:11" x14ac:dyDescent="0.2">
      <c r="A139" s="756">
        <v>2</v>
      </c>
      <c r="B139" s="748">
        <v>2</v>
      </c>
      <c r="C139" s="748">
        <v>5</v>
      </c>
      <c r="D139" s="748">
        <v>5</v>
      </c>
      <c r="E139" s="749" t="s">
        <v>2221</v>
      </c>
      <c r="F139" s="756" t="s">
        <v>3910</v>
      </c>
      <c r="G139" s="875">
        <f>+'[2]MARZO 2025'!G139+'[2]FEBRERO 2025'!G139+'[2]ENERO 2025'!G139+Hoja5!G136</f>
        <v>0</v>
      </c>
      <c r="H139" s="875">
        <f>+'[2]MARZO 2025'!H139+'[2]FEBRERO 2025'!H139+'[2]ENERO 2025'!H139+Hoja5!H136</f>
        <v>0</v>
      </c>
      <c r="I139" s="875">
        <v>0</v>
      </c>
      <c r="J139" s="875">
        <f t="shared" si="4"/>
        <v>0</v>
      </c>
      <c r="K139" s="751">
        <f>J139/$J$25</f>
        <v>0</v>
      </c>
    </row>
    <row r="140" spans="1:11" x14ac:dyDescent="0.2">
      <c r="A140" s="755">
        <v>2</v>
      </c>
      <c r="B140" s="744">
        <v>2</v>
      </c>
      <c r="C140" s="744">
        <v>5</v>
      </c>
      <c r="D140" s="744">
        <v>6</v>
      </c>
      <c r="E140" s="758"/>
      <c r="F140" s="755" t="s">
        <v>3911</v>
      </c>
      <c r="G140" s="745">
        <f>+'[2]MARZO 2025'!G140+'[2]FEBRERO 2025'!G140+'[2]ENERO 2025'!G140+Hoja5!G137</f>
        <v>0</v>
      </c>
      <c r="H140" s="745">
        <f>+'[2]MARZO 2025'!H140+'[2]FEBRERO 2025'!H140+'[2]ENERO 2025'!H140+Hoja5!H137</f>
        <v>0</v>
      </c>
      <c r="I140" s="745">
        <v>0</v>
      </c>
      <c r="J140" s="745">
        <f t="shared" si="4"/>
        <v>0</v>
      </c>
      <c r="K140" s="752"/>
    </row>
    <row r="141" spans="1:11" x14ac:dyDescent="0.2">
      <c r="A141" s="756">
        <v>2</v>
      </c>
      <c r="B141" s="748">
        <v>2</v>
      </c>
      <c r="C141" s="748">
        <v>5</v>
      </c>
      <c r="D141" s="748">
        <v>6</v>
      </c>
      <c r="E141" s="749" t="s">
        <v>2221</v>
      </c>
      <c r="F141" s="756" t="s">
        <v>3911</v>
      </c>
      <c r="G141" s="875">
        <f>+'[2]MARZO 2025'!G141+'[2]FEBRERO 2025'!G141+'[2]ENERO 2025'!G141+Hoja5!G138</f>
        <v>0</v>
      </c>
      <c r="H141" s="875">
        <f>+'[2]MARZO 2025'!H141+'[2]FEBRERO 2025'!H141+'[2]ENERO 2025'!H141+Hoja5!H138</f>
        <v>0</v>
      </c>
      <c r="I141" s="875">
        <v>0</v>
      </c>
      <c r="J141" s="875">
        <f t="shared" si="4"/>
        <v>0</v>
      </c>
      <c r="K141" s="751">
        <f>J141/$J$25</f>
        <v>0</v>
      </c>
    </row>
    <row r="142" spans="1:11" x14ac:dyDescent="0.2">
      <c r="A142" s="755">
        <v>2</v>
      </c>
      <c r="B142" s="744">
        <v>2</v>
      </c>
      <c r="C142" s="744">
        <v>5</v>
      </c>
      <c r="D142" s="744">
        <v>7</v>
      </c>
      <c r="E142" s="758"/>
      <c r="F142" s="755" t="s">
        <v>3912</v>
      </c>
      <c r="G142" s="745">
        <f>+'[2]MARZO 2025'!G142+'[2]FEBRERO 2025'!G142+'[2]ENERO 2025'!G142+Hoja5!G139</f>
        <v>0</v>
      </c>
      <c r="H142" s="745">
        <f>+'[2]MARZO 2025'!H142+'[2]FEBRERO 2025'!H142+'[2]ENERO 2025'!H142+Hoja5!H139</f>
        <v>0</v>
      </c>
      <c r="I142" s="745">
        <v>0</v>
      </c>
      <c r="J142" s="745">
        <f t="shared" si="4"/>
        <v>0</v>
      </c>
      <c r="K142" s="752"/>
    </row>
    <row r="143" spans="1:11" x14ac:dyDescent="0.2">
      <c r="A143" s="756">
        <v>2</v>
      </c>
      <c r="B143" s="748">
        <v>2</v>
      </c>
      <c r="C143" s="748">
        <v>5</v>
      </c>
      <c r="D143" s="748">
        <v>7</v>
      </c>
      <c r="E143" s="749" t="s">
        <v>2221</v>
      </c>
      <c r="F143" s="756" t="s">
        <v>3912</v>
      </c>
      <c r="G143" s="875">
        <f>+'[2]MARZO 2025'!G143+'[2]FEBRERO 2025'!G143+'[2]ENERO 2025'!G143+Hoja5!G140</f>
        <v>0</v>
      </c>
      <c r="H143" s="875">
        <f>+'[2]MARZO 2025'!H143+'[2]FEBRERO 2025'!H143+'[2]ENERO 2025'!H143+Hoja5!H140</f>
        <v>0</v>
      </c>
      <c r="I143" s="875">
        <v>0</v>
      </c>
      <c r="J143" s="875">
        <f t="shared" si="4"/>
        <v>0</v>
      </c>
      <c r="K143" s="751">
        <f>J143/$J$25</f>
        <v>0</v>
      </c>
    </row>
    <row r="144" spans="1:11" x14ac:dyDescent="0.2">
      <c r="A144" s="755">
        <v>2</v>
      </c>
      <c r="B144" s="744">
        <v>2</v>
      </c>
      <c r="C144" s="744">
        <v>5</v>
      </c>
      <c r="D144" s="744">
        <v>8</v>
      </c>
      <c r="E144" s="758"/>
      <c r="F144" s="755" t="s">
        <v>2937</v>
      </c>
      <c r="G144" s="745">
        <f>+'[2]MARZO 2025'!G144+'[2]FEBRERO 2025'!G144+'[2]ENERO 2025'!G144+Hoja5!G141</f>
        <v>0</v>
      </c>
      <c r="H144" s="745">
        <f>+'[2]MARZO 2025'!H144+'[2]FEBRERO 2025'!H144+'[2]ENERO 2025'!H144+Hoja5!H141</f>
        <v>0</v>
      </c>
      <c r="I144" s="745">
        <v>0</v>
      </c>
      <c r="J144" s="745">
        <f t="shared" si="4"/>
        <v>0</v>
      </c>
      <c r="K144" s="752"/>
    </row>
    <row r="145" spans="1:11" x14ac:dyDescent="0.2">
      <c r="A145" s="756">
        <v>2</v>
      </c>
      <c r="B145" s="748">
        <v>2</v>
      </c>
      <c r="C145" s="748">
        <v>5</v>
      </c>
      <c r="D145" s="748">
        <v>8</v>
      </c>
      <c r="E145" s="749" t="s">
        <v>2221</v>
      </c>
      <c r="F145" s="756" t="s">
        <v>2937</v>
      </c>
      <c r="G145" s="875">
        <f>+'[2]MARZO 2025'!G145+'[2]FEBRERO 2025'!G145+'[2]ENERO 2025'!G145+Hoja5!G142</f>
        <v>0</v>
      </c>
      <c r="H145" s="875">
        <f>+'[2]MARZO 2025'!H145+'[2]FEBRERO 2025'!H145+'[2]ENERO 2025'!H145+Hoja5!H142</f>
        <v>0</v>
      </c>
      <c r="I145" s="875">
        <v>0</v>
      </c>
      <c r="J145" s="875">
        <f>SUM(G145:I145)</f>
        <v>0</v>
      </c>
      <c r="K145" s="751">
        <f>J145/$J$25</f>
        <v>0</v>
      </c>
    </row>
    <row r="146" spans="1:11" x14ac:dyDescent="0.2">
      <c r="A146" s="755">
        <v>2</v>
      </c>
      <c r="B146" s="744">
        <v>2</v>
      </c>
      <c r="C146" s="744">
        <v>5</v>
      </c>
      <c r="D146" s="744">
        <v>9</v>
      </c>
      <c r="E146" s="758"/>
      <c r="F146" s="755" t="s">
        <v>3913</v>
      </c>
      <c r="G146" s="745">
        <f>+'[2]MARZO 2025'!G146+'[2]FEBRERO 2025'!G146+'[2]ENERO 2025'!G146+Hoja5!G143</f>
        <v>0</v>
      </c>
      <c r="H146" s="745">
        <f>+'[2]MARZO 2025'!H146+'[2]FEBRERO 2025'!H146+'[2]ENERO 2025'!H146+Hoja5!H143</f>
        <v>0</v>
      </c>
      <c r="I146" s="745">
        <v>0</v>
      </c>
      <c r="J146" s="745">
        <f>SUM(G146:I146)</f>
        <v>0</v>
      </c>
      <c r="K146" s="752"/>
    </row>
    <row r="147" spans="1:11" x14ac:dyDescent="0.2">
      <c r="A147" s="756">
        <v>2</v>
      </c>
      <c r="B147" s="748">
        <v>2</v>
      </c>
      <c r="C147" s="748">
        <v>5</v>
      </c>
      <c r="D147" s="748">
        <v>9</v>
      </c>
      <c r="E147" s="749" t="s">
        <v>2221</v>
      </c>
      <c r="F147" s="756" t="s">
        <v>3914</v>
      </c>
      <c r="G147" s="875">
        <f>+'[2]MARZO 2025'!G147+'[2]FEBRERO 2025'!G147+'[2]ENERO 2025'!G147+Hoja5!G144</f>
        <v>0</v>
      </c>
      <c r="H147" s="875">
        <f>+'[2]MARZO 2025'!H147+'[2]FEBRERO 2025'!H147+'[2]ENERO 2025'!H147+Hoja5!H144</f>
        <v>0</v>
      </c>
      <c r="I147" s="875">
        <v>0</v>
      </c>
      <c r="J147" s="875">
        <f>SUM(G147:I147)</f>
        <v>0</v>
      </c>
      <c r="K147" s="751">
        <f>J147/$J$25</f>
        <v>0</v>
      </c>
    </row>
    <row r="148" spans="1:11" x14ac:dyDescent="0.2">
      <c r="A148" s="741">
        <v>2</v>
      </c>
      <c r="B148" s="742">
        <v>2</v>
      </c>
      <c r="C148" s="742">
        <v>6</v>
      </c>
      <c r="D148" s="742"/>
      <c r="E148" s="742"/>
      <c r="F148" s="754" t="s">
        <v>3742</v>
      </c>
      <c r="G148" s="874">
        <f>+'[2]MARZO 2025'!G148+'[2]FEBRERO 2025'!G148+'[2]ENERO 2025'!G148+Hoja5!G145</f>
        <v>0</v>
      </c>
      <c r="H148" s="874">
        <f>+'[2]MARZO 2025'!H148+'[2]FEBRERO 2025'!H148+'[2]ENERO 2025'!H148+Hoja5!H145</f>
        <v>0</v>
      </c>
      <c r="I148" s="874">
        <v>0</v>
      </c>
      <c r="J148" s="874">
        <f t="shared" si="4"/>
        <v>0</v>
      </c>
      <c r="K148" s="740"/>
    </row>
    <row r="149" spans="1:11" x14ac:dyDescent="0.2">
      <c r="A149" s="755">
        <v>2</v>
      </c>
      <c r="B149" s="744">
        <v>2</v>
      </c>
      <c r="C149" s="744">
        <v>6</v>
      </c>
      <c r="D149" s="744">
        <v>1</v>
      </c>
      <c r="E149" s="758"/>
      <c r="F149" s="755" t="s">
        <v>3915</v>
      </c>
      <c r="G149" s="745">
        <f>+'[2]MARZO 2025'!G149+'[2]FEBRERO 2025'!G149+'[2]ENERO 2025'!G149+Hoja5!G146</f>
        <v>150000</v>
      </c>
      <c r="H149" s="745">
        <f>+'[2]MARZO 2025'!H149+'[2]FEBRERO 2025'!H149+'[2]ENERO 2025'!H149+Hoja5!H146</f>
        <v>0</v>
      </c>
      <c r="I149" s="745">
        <v>0</v>
      </c>
      <c r="J149" s="745">
        <f t="shared" si="4"/>
        <v>150000</v>
      </c>
      <c r="K149" s="752"/>
    </row>
    <row r="150" spans="1:11" x14ac:dyDescent="0.2">
      <c r="A150" s="756">
        <v>2</v>
      </c>
      <c r="B150" s="748">
        <v>2</v>
      </c>
      <c r="C150" s="748">
        <v>6</v>
      </c>
      <c r="D150" s="748">
        <v>1</v>
      </c>
      <c r="E150" s="749" t="s">
        <v>2221</v>
      </c>
      <c r="F150" s="756" t="s">
        <v>3915</v>
      </c>
      <c r="G150" s="875">
        <f>+'[2]MARZO 2025'!G150+'[2]FEBRERO 2025'!G150+'[2]ENERO 2025'!G150+Hoja5!G147</f>
        <v>150000</v>
      </c>
      <c r="H150" s="875">
        <f>+'[2]MARZO 2025'!H150+'[2]FEBRERO 2025'!H150+'[2]ENERO 2025'!H150+Hoja5!H147</f>
        <v>0</v>
      </c>
      <c r="I150" s="875">
        <v>0</v>
      </c>
      <c r="J150" s="875">
        <f t="shared" si="4"/>
        <v>150000</v>
      </c>
      <c r="K150" s="751">
        <f>J150/$J$25</f>
        <v>2.837759617693683E-4</v>
      </c>
    </row>
    <row r="151" spans="1:11" x14ac:dyDescent="0.2">
      <c r="A151" s="755">
        <v>2</v>
      </c>
      <c r="B151" s="744">
        <v>2</v>
      </c>
      <c r="C151" s="744">
        <v>6</v>
      </c>
      <c r="D151" s="744">
        <v>2</v>
      </c>
      <c r="E151" s="744"/>
      <c r="F151" s="755" t="s">
        <v>3916</v>
      </c>
      <c r="G151" s="745">
        <f>+'[2]MARZO 2025'!G151+'[2]FEBRERO 2025'!G151+'[2]ENERO 2025'!G151+Hoja5!G148</f>
        <v>0</v>
      </c>
      <c r="H151" s="745">
        <f>+'[2]MARZO 2025'!H151+'[2]FEBRERO 2025'!H151+'[2]ENERO 2025'!H151+Hoja5!H148</f>
        <v>0</v>
      </c>
      <c r="I151" s="745">
        <v>0</v>
      </c>
      <c r="J151" s="745">
        <f t="shared" si="4"/>
        <v>0</v>
      </c>
      <c r="K151" s="752"/>
    </row>
    <row r="152" spans="1:11" x14ac:dyDescent="0.2">
      <c r="A152" s="756">
        <v>2</v>
      </c>
      <c r="B152" s="748">
        <v>2</v>
      </c>
      <c r="C152" s="748">
        <v>6</v>
      </c>
      <c r="D152" s="748">
        <v>2</v>
      </c>
      <c r="E152" s="749" t="s">
        <v>2221</v>
      </c>
      <c r="F152" s="756" t="s">
        <v>3916</v>
      </c>
      <c r="G152" s="875">
        <f>+'[2]MARZO 2025'!G152+'[2]FEBRERO 2025'!G152+'[2]ENERO 2025'!G152+Hoja5!G149</f>
        <v>0</v>
      </c>
      <c r="H152" s="875">
        <f>+'[2]MARZO 2025'!H152+'[2]FEBRERO 2025'!H152+'[2]ENERO 2025'!H152+Hoja5!H149</f>
        <v>0</v>
      </c>
      <c r="I152" s="875">
        <v>0</v>
      </c>
      <c r="J152" s="875">
        <f t="shared" si="4"/>
        <v>0</v>
      </c>
      <c r="K152" s="751">
        <f>J152/$J$25</f>
        <v>0</v>
      </c>
    </row>
    <row r="153" spans="1:11" x14ac:dyDescent="0.2">
      <c r="A153" s="755">
        <v>2</v>
      </c>
      <c r="B153" s="744">
        <v>2</v>
      </c>
      <c r="C153" s="744">
        <v>6</v>
      </c>
      <c r="D153" s="744">
        <v>3</v>
      </c>
      <c r="E153" s="744"/>
      <c r="F153" s="755" t="s">
        <v>3917</v>
      </c>
      <c r="G153" s="745">
        <f>+'[2]MARZO 2025'!G153+'[2]FEBRERO 2025'!G153+'[2]ENERO 2025'!G153+Hoja5!G150</f>
        <v>0</v>
      </c>
      <c r="H153" s="745">
        <f>+'[2]MARZO 2025'!H153+'[2]FEBRERO 2025'!H153+'[2]ENERO 2025'!H153+Hoja5!H150</f>
        <v>0</v>
      </c>
      <c r="I153" s="745">
        <v>0</v>
      </c>
      <c r="J153" s="745">
        <f t="shared" si="4"/>
        <v>0</v>
      </c>
      <c r="K153" s="752"/>
    </row>
    <row r="154" spans="1:11" x14ac:dyDescent="0.2">
      <c r="A154" s="756">
        <v>2</v>
      </c>
      <c r="B154" s="748">
        <v>2</v>
      </c>
      <c r="C154" s="748">
        <v>6</v>
      </c>
      <c r="D154" s="748">
        <v>3</v>
      </c>
      <c r="E154" s="749" t="s">
        <v>2221</v>
      </c>
      <c r="F154" s="756" t="s">
        <v>3917</v>
      </c>
      <c r="G154" s="875">
        <f>+'[2]MARZO 2025'!G154+'[2]FEBRERO 2025'!G154+'[2]ENERO 2025'!G154+Hoja5!G151</f>
        <v>0</v>
      </c>
      <c r="H154" s="875">
        <f>+'[2]MARZO 2025'!H154+'[2]FEBRERO 2025'!H154+'[2]ENERO 2025'!H154+Hoja5!H151</f>
        <v>0</v>
      </c>
      <c r="I154" s="875">
        <v>0</v>
      </c>
      <c r="J154" s="875">
        <f t="shared" ref="J154:J218" si="5">SUM(G154:I154)</f>
        <v>0</v>
      </c>
      <c r="K154" s="751">
        <f>J154/$J$25</f>
        <v>0</v>
      </c>
    </row>
    <row r="155" spans="1:11" x14ac:dyDescent="0.2">
      <c r="A155" s="755">
        <v>2</v>
      </c>
      <c r="B155" s="744">
        <v>2</v>
      </c>
      <c r="C155" s="744">
        <v>6</v>
      </c>
      <c r="D155" s="744">
        <v>4</v>
      </c>
      <c r="E155" s="744"/>
      <c r="F155" s="755" t="s">
        <v>3918</v>
      </c>
      <c r="G155" s="745">
        <f>+'[2]MARZO 2025'!G155+'[2]FEBRERO 2025'!G155+'[2]ENERO 2025'!G155+Hoja5!G152</f>
        <v>0</v>
      </c>
      <c r="H155" s="745">
        <f>+'[2]MARZO 2025'!H155+'[2]FEBRERO 2025'!H155+'[2]ENERO 2025'!H155+Hoja5!H152</f>
        <v>0</v>
      </c>
      <c r="I155" s="745">
        <v>0</v>
      </c>
      <c r="J155" s="745">
        <f t="shared" si="5"/>
        <v>0</v>
      </c>
      <c r="K155" s="752"/>
    </row>
    <row r="156" spans="1:11" x14ac:dyDescent="0.2">
      <c r="A156" s="756">
        <v>2</v>
      </c>
      <c r="B156" s="748">
        <v>2</v>
      </c>
      <c r="C156" s="748">
        <v>6</v>
      </c>
      <c r="D156" s="748">
        <v>4</v>
      </c>
      <c r="E156" s="749" t="s">
        <v>2221</v>
      </c>
      <c r="F156" s="756" t="s">
        <v>3918</v>
      </c>
      <c r="G156" s="875">
        <f>+'[2]MARZO 2025'!G156+'[2]FEBRERO 2025'!G156+'[2]ENERO 2025'!G156+Hoja5!G153</f>
        <v>0</v>
      </c>
      <c r="H156" s="875">
        <f>+'[2]MARZO 2025'!H156+'[2]FEBRERO 2025'!H156+'[2]ENERO 2025'!H156+Hoja5!H153</f>
        <v>0</v>
      </c>
      <c r="I156" s="875">
        <v>0</v>
      </c>
      <c r="J156" s="875">
        <f t="shared" si="5"/>
        <v>0</v>
      </c>
      <c r="K156" s="751">
        <f>J156/$J$25</f>
        <v>0</v>
      </c>
    </row>
    <row r="157" spans="1:11" ht="25.5" x14ac:dyDescent="0.2">
      <c r="A157" s="741">
        <v>2</v>
      </c>
      <c r="B157" s="742">
        <v>2</v>
      </c>
      <c r="C157" s="742">
        <v>7</v>
      </c>
      <c r="D157" s="742"/>
      <c r="E157" s="759"/>
      <c r="F157" s="760" t="s">
        <v>3919</v>
      </c>
      <c r="G157" s="874">
        <f>+'[2]MARZO 2025'!G157+'[2]FEBRERO 2025'!G157+'[2]ENERO 2025'!G157+Hoja5!G154</f>
        <v>6474433.7500000009</v>
      </c>
      <c r="H157" s="874">
        <f>+'[2]MARZO 2025'!H157+'[2]FEBRERO 2025'!H157+'[2]ENERO 2025'!H157+Hoja5!H154</f>
        <v>4556850.12</v>
      </c>
      <c r="I157" s="874">
        <v>0</v>
      </c>
      <c r="J157" s="874">
        <f t="shared" si="5"/>
        <v>11031283.870000001</v>
      </c>
      <c r="K157" s="740"/>
    </row>
    <row r="158" spans="1:11" x14ac:dyDescent="0.2">
      <c r="A158" s="755">
        <v>2</v>
      </c>
      <c r="B158" s="744">
        <v>2</v>
      </c>
      <c r="C158" s="744">
        <v>7</v>
      </c>
      <c r="D158" s="744">
        <v>1</v>
      </c>
      <c r="E158" s="744"/>
      <c r="F158" s="755" t="s">
        <v>3920</v>
      </c>
      <c r="G158" s="745">
        <f>+'[2]MARZO 2025'!G158+'[2]FEBRERO 2025'!G158+'[2]ENERO 2025'!G158+Hoja5!G155</f>
        <v>5951371.9400000013</v>
      </c>
      <c r="H158" s="745">
        <f>+'[2]MARZO 2025'!H158+'[2]FEBRERO 2025'!H158+'[2]ENERO 2025'!H158+Hoja5!H155</f>
        <v>1530385.67</v>
      </c>
      <c r="I158" s="745">
        <v>0</v>
      </c>
      <c r="J158" s="745">
        <f t="shared" si="5"/>
        <v>7481757.6100000013</v>
      </c>
      <c r="K158" s="752"/>
    </row>
    <row r="159" spans="1:11" x14ac:dyDescent="0.2">
      <c r="A159" s="747">
        <v>2</v>
      </c>
      <c r="B159" s="748">
        <v>2</v>
      </c>
      <c r="C159" s="748">
        <v>7</v>
      </c>
      <c r="D159" s="748">
        <v>1</v>
      </c>
      <c r="E159" s="749" t="s">
        <v>2221</v>
      </c>
      <c r="F159" s="761" t="s">
        <v>142</v>
      </c>
      <c r="G159" s="875">
        <f>+'[2]MARZO 2025'!G159+'[2]FEBRERO 2025'!G159+'[2]ENERO 2025'!G159+Hoja5!G156</f>
        <v>5951371.9400000013</v>
      </c>
      <c r="H159" s="875">
        <f>+'[2]MARZO 2025'!H159+'[2]FEBRERO 2025'!H159+'[2]ENERO 2025'!H159+Hoja5!H156</f>
        <v>1183455.5899999999</v>
      </c>
      <c r="I159" s="875">
        <v>0</v>
      </c>
      <c r="J159" s="875">
        <f t="shared" si="5"/>
        <v>7134827.5300000012</v>
      </c>
      <c r="K159" s="751">
        <f t="shared" ref="K159:K166" si="6">J159/$J$25</f>
        <v>1.3497950295895445E-2</v>
      </c>
    </row>
    <row r="160" spans="1:11" ht="25.5" x14ac:dyDescent="0.2">
      <c r="A160" s="747">
        <v>2</v>
      </c>
      <c r="B160" s="748">
        <v>2</v>
      </c>
      <c r="C160" s="748">
        <v>7</v>
      </c>
      <c r="D160" s="748">
        <v>1</v>
      </c>
      <c r="E160" s="749" t="s">
        <v>1733</v>
      </c>
      <c r="F160" s="761" t="s">
        <v>3921</v>
      </c>
      <c r="G160" s="875">
        <f>+'[2]MARZO 2025'!G160+'[2]FEBRERO 2025'!G160+'[2]ENERO 2025'!G160+Hoja5!G157</f>
        <v>0</v>
      </c>
      <c r="H160" s="875">
        <f>+'[2]MARZO 2025'!H160+'[2]FEBRERO 2025'!H160+'[2]ENERO 2025'!H160+Hoja5!H157</f>
        <v>546807.61</v>
      </c>
      <c r="I160" s="875">
        <v>0</v>
      </c>
      <c r="J160" s="875">
        <f t="shared" si="5"/>
        <v>546807.61</v>
      </c>
      <c r="K160" s="751">
        <f t="shared" si="6"/>
        <v>1.0344723695370644E-3</v>
      </c>
    </row>
    <row r="161" spans="1:11" ht="25.5" x14ac:dyDescent="0.2">
      <c r="A161" s="747">
        <v>2</v>
      </c>
      <c r="B161" s="748">
        <v>2</v>
      </c>
      <c r="C161" s="748">
        <v>7</v>
      </c>
      <c r="D161" s="748">
        <v>1</v>
      </c>
      <c r="E161" s="749" t="s">
        <v>3839</v>
      </c>
      <c r="F161" s="761" t="s">
        <v>144</v>
      </c>
      <c r="G161" s="875">
        <f>+'[2]MARZO 2025'!G161+'[2]FEBRERO 2025'!G161+'[2]ENERO 2025'!G161+Hoja5!G158</f>
        <v>0</v>
      </c>
      <c r="H161" s="875">
        <f>+'[2]MARZO 2025'!H161+'[2]FEBRERO 2025'!H161+'[2]ENERO 2025'!H161+Hoja5!H158</f>
        <v>199877.53</v>
      </c>
      <c r="I161" s="875">
        <v>0</v>
      </c>
      <c r="J161" s="875">
        <f t="shared" si="5"/>
        <v>199877.53</v>
      </c>
      <c r="K161" s="751">
        <f t="shared" si="6"/>
        <v>3.7813625541223845E-4</v>
      </c>
    </row>
    <row r="162" spans="1:11" ht="25.5" x14ac:dyDescent="0.2">
      <c r="A162" s="747">
        <v>2</v>
      </c>
      <c r="B162" s="748">
        <v>2</v>
      </c>
      <c r="C162" s="748">
        <v>7</v>
      </c>
      <c r="D162" s="748">
        <v>1</v>
      </c>
      <c r="E162" s="749" t="s">
        <v>625</v>
      </c>
      <c r="F162" s="761" t="s">
        <v>3922</v>
      </c>
      <c r="G162" s="875">
        <f>+'[2]MARZO 2025'!G162+'[2]FEBRERO 2025'!G162+'[2]ENERO 2025'!G162+Hoja5!G159</f>
        <v>0</v>
      </c>
      <c r="H162" s="875">
        <f>+'[2]MARZO 2025'!H162+'[2]FEBRERO 2025'!H162+'[2]ENERO 2025'!H162+Hoja5!H159</f>
        <v>199877.53</v>
      </c>
      <c r="I162" s="875">
        <v>0</v>
      </c>
      <c r="J162" s="875">
        <f t="shared" si="5"/>
        <v>199877.53</v>
      </c>
      <c r="K162" s="751">
        <f t="shared" si="6"/>
        <v>3.7813625541223845E-4</v>
      </c>
    </row>
    <row r="163" spans="1:11" x14ac:dyDescent="0.2">
      <c r="A163" s="747">
        <v>2</v>
      </c>
      <c r="B163" s="748">
        <v>2</v>
      </c>
      <c r="C163" s="748">
        <v>7</v>
      </c>
      <c r="D163" s="748">
        <v>1</v>
      </c>
      <c r="E163" s="749" t="s">
        <v>3842</v>
      </c>
      <c r="F163" s="761" t="s">
        <v>3923</v>
      </c>
      <c r="G163" s="875">
        <f>+'[2]MARZO 2025'!G163+'[2]FEBRERO 2025'!G163+'[2]ENERO 2025'!G163+Hoja5!G160</f>
        <v>0</v>
      </c>
      <c r="H163" s="875">
        <f>+'[2]MARZO 2025'!H163+'[2]FEBRERO 2025'!H163+'[2]ENERO 2025'!H163+Hoja5!H160</f>
        <v>0</v>
      </c>
      <c r="I163" s="875">
        <v>0</v>
      </c>
      <c r="J163" s="875">
        <f t="shared" si="5"/>
        <v>0</v>
      </c>
      <c r="K163" s="751">
        <f t="shared" si="6"/>
        <v>0</v>
      </c>
    </row>
    <row r="164" spans="1:11" x14ac:dyDescent="0.2">
      <c r="A164" s="747">
        <v>2</v>
      </c>
      <c r="B164" s="748">
        <v>2</v>
      </c>
      <c r="C164" s="748">
        <v>7</v>
      </c>
      <c r="D164" s="748">
        <v>1</v>
      </c>
      <c r="E164" s="749" t="s">
        <v>3844</v>
      </c>
      <c r="F164" s="761" t="s">
        <v>145</v>
      </c>
      <c r="G164" s="875">
        <f>+'[2]MARZO 2025'!G164+'[2]FEBRERO 2025'!G164+'[2]ENERO 2025'!G164+Hoja5!G161</f>
        <v>0</v>
      </c>
      <c r="H164" s="875">
        <f>+'[2]MARZO 2025'!H164+'[2]FEBRERO 2025'!H164+'[2]ENERO 2025'!H164+Hoja5!H161</f>
        <v>0</v>
      </c>
      <c r="I164" s="875">
        <v>0</v>
      </c>
      <c r="J164" s="875">
        <f t="shared" si="5"/>
        <v>0</v>
      </c>
      <c r="K164" s="751">
        <f t="shared" si="6"/>
        <v>0</v>
      </c>
    </row>
    <row r="165" spans="1:11" ht="25.5" x14ac:dyDescent="0.2">
      <c r="A165" s="747">
        <v>2</v>
      </c>
      <c r="B165" s="748">
        <v>2</v>
      </c>
      <c r="C165" s="748">
        <v>7</v>
      </c>
      <c r="D165" s="748">
        <v>1</v>
      </c>
      <c r="E165" s="749" t="s">
        <v>3863</v>
      </c>
      <c r="F165" s="761" t="s">
        <v>3924</v>
      </c>
      <c r="G165" s="875">
        <f>+'[2]MARZO 2025'!G165+'[2]FEBRERO 2025'!G165+'[2]ENERO 2025'!G165+Hoja5!G162</f>
        <v>0</v>
      </c>
      <c r="H165" s="875">
        <f>+'[2]MARZO 2025'!H165+'[2]FEBRERO 2025'!H165+'[2]ENERO 2025'!H165+Hoja5!H162</f>
        <v>0</v>
      </c>
      <c r="I165" s="875">
        <v>0</v>
      </c>
      <c r="J165" s="875">
        <f t="shared" si="5"/>
        <v>0</v>
      </c>
      <c r="K165" s="751">
        <f t="shared" si="6"/>
        <v>0</v>
      </c>
    </row>
    <row r="166" spans="1:11" ht="38.25" x14ac:dyDescent="0.2">
      <c r="A166" s="747">
        <v>2</v>
      </c>
      <c r="B166" s="748">
        <v>2</v>
      </c>
      <c r="C166" s="748">
        <v>7</v>
      </c>
      <c r="D166" s="748">
        <v>1</v>
      </c>
      <c r="E166" s="749" t="s">
        <v>3925</v>
      </c>
      <c r="F166" s="761" t="s">
        <v>3926</v>
      </c>
      <c r="G166" s="875">
        <f>+'[2]MARZO 2025'!G166+'[2]FEBRERO 2025'!G166+'[2]ENERO 2025'!G166+Hoja5!G163</f>
        <v>0</v>
      </c>
      <c r="H166" s="875">
        <f>+'[2]MARZO 2025'!H166+'[2]FEBRERO 2025'!H166+'[2]ENERO 2025'!H166+Hoja5!H163</f>
        <v>0</v>
      </c>
      <c r="I166" s="875">
        <v>0</v>
      </c>
      <c r="J166" s="875">
        <f t="shared" si="5"/>
        <v>0</v>
      </c>
      <c r="K166" s="751">
        <f t="shared" si="6"/>
        <v>0</v>
      </c>
    </row>
    <row r="167" spans="1:11" x14ac:dyDescent="0.2">
      <c r="A167" s="755">
        <v>2</v>
      </c>
      <c r="B167" s="744">
        <v>2</v>
      </c>
      <c r="C167" s="744">
        <v>7</v>
      </c>
      <c r="D167" s="744">
        <v>2</v>
      </c>
      <c r="E167" s="744"/>
      <c r="F167" s="755" t="s">
        <v>3927</v>
      </c>
      <c r="G167" s="745">
        <f>+'[2]MARZO 2025'!G167+'[2]FEBRERO 2025'!G167+'[2]ENERO 2025'!G167+Hoja5!G164</f>
        <v>523061.81</v>
      </c>
      <c r="H167" s="745">
        <f>+'[2]MARZO 2025'!H167+'[2]FEBRERO 2025'!H167+'[2]ENERO 2025'!H167+Hoja5!H164</f>
        <v>3026464.45</v>
      </c>
      <c r="I167" s="745">
        <v>0</v>
      </c>
      <c r="J167" s="745">
        <f t="shared" si="5"/>
        <v>3549526.2600000002</v>
      </c>
      <c r="K167" s="752"/>
    </row>
    <row r="168" spans="1:11" ht="25.5" x14ac:dyDescent="0.2">
      <c r="A168" s="747">
        <v>2</v>
      </c>
      <c r="B168" s="748">
        <v>2</v>
      </c>
      <c r="C168" s="748">
        <v>7</v>
      </c>
      <c r="D168" s="748">
        <v>2</v>
      </c>
      <c r="E168" s="749" t="s">
        <v>2221</v>
      </c>
      <c r="F168" s="761" t="s">
        <v>3928</v>
      </c>
      <c r="G168" s="875">
        <f>+'[2]MARZO 2025'!G168+'[2]FEBRERO 2025'!G168+'[2]ENERO 2025'!G168+Hoja5!G165</f>
        <v>0</v>
      </c>
      <c r="H168" s="875">
        <f>+'[2]MARZO 2025'!H168+'[2]FEBRERO 2025'!H168+'[2]ENERO 2025'!H168+Hoja5!H165</f>
        <v>0</v>
      </c>
      <c r="I168" s="875">
        <v>0</v>
      </c>
      <c r="J168" s="875">
        <f t="shared" si="5"/>
        <v>0</v>
      </c>
      <c r="K168" s="751">
        <f t="shared" ref="K168:K176" si="7">J168/$J$25</f>
        <v>0</v>
      </c>
    </row>
    <row r="169" spans="1:11" ht="25.5" x14ac:dyDescent="0.2">
      <c r="A169" s="747">
        <v>2</v>
      </c>
      <c r="B169" s="748">
        <v>2</v>
      </c>
      <c r="C169" s="748">
        <v>7</v>
      </c>
      <c r="D169" s="748">
        <v>2</v>
      </c>
      <c r="E169" s="749" t="s">
        <v>1733</v>
      </c>
      <c r="F169" s="761" t="s">
        <v>3929</v>
      </c>
      <c r="G169" s="875">
        <f>+'[2]MARZO 2025'!G169+'[2]FEBRERO 2025'!G169+'[2]ENERO 2025'!G169+Hoja5!G166</f>
        <v>0</v>
      </c>
      <c r="H169" s="875">
        <f>+'[2]MARZO 2025'!H169+'[2]FEBRERO 2025'!H169+'[2]ENERO 2025'!H169+Hoja5!H166</f>
        <v>0</v>
      </c>
      <c r="I169" s="875">
        <v>0</v>
      </c>
      <c r="J169" s="875">
        <f t="shared" si="5"/>
        <v>0</v>
      </c>
      <c r="K169" s="751">
        <f t="shared" si="7"/>
        <v>0</v>
      </c>
    </row>
    <row r="170" spans="1:11" ht="25.5" x14ac:dyDescent="0.2">
      <c r="A170" s="747">
        <v>2</v>
      </c>
      <c r="B170" s="748">
        <v>2</v>
      </c>
      <c r="C170" s="748">
        <v>7</v>
      </c>
      <c r="D170" s="748">
        <v>2</v>
      </c>
      <c r="E170" s="749" t="s">
        <v>3839</v>
      </c>
      <c r="F170" s="761" t="s">
        <v>3930</v>
      </c>
      <c r="G170" s="875">
        <f>+'[2]MARZO 2025'!G170+'[2]FEBRERO 2025'!G170+'[2]ENERO 2025'!G170+Hoja5!G167</f>
        <v>0</v>
      </c>
      <c r="H170" s="875">
        <f>+'[2]MARZO 2025'!H170+'[2]FEBRERO 2025'!H170+'[2]ENERO 2025'!H170+Hoja5!H167</f>
        <v>0</v>
      </c>
      <c r="I170" s="875">
        <v>0</v>
      </c>
      <c r="J170" s="875">
        <f t="shared" si="5"/>
        <v>0</v>
      </c>
      <c r="K170" s="751">
        <f t="shared" si="7"/>
        <v>0</v>
      </c>
    </row>
    <row r="171" spans="1:11" ht="25.5" x14ac:dyDescent="0.2">
      <c r="A171" s="747">
        <v>2</v>
      </c>
      <c r="B171" s="748">
        <v>2</v>
      </c>
      <c r="C171" s="748">
        <v>7</v>
      </c>
      <c r="D171" s="748">
        <v>2</v>
      </c>
      <c r="E171" s="749" t="s">
        <v>625</v>
      </c>
      <c r="F171" s="761" t="s">
        <v>3931</v>
      </c>
      <c r="G171" s="875">
        <f>+'[2]MARZO 2025'!G171+'[2]FEBRERO 2025'!G171+'[2]ENERO 2025'!G171+Hoja5!G168</f>
        <v>523061.81</v>
      </c>
      <c r="H171" s="875">
        <f>+'[2]MARZO 2025'!H171+'[2]FEBRERO 2025'!H171+'[2]ENERO 2025'!H171+Hoja5!H168</f>
        <v>1888000</v>
      </c>
      <c r="I171" s="875">
        <v>0</v>
      </c>
      <c r="J171" s="875">
        <f t="shared" si="5"/>
        <v>2411061.81</v>
      </c>
      <c r="K171" s="751">
        <f t="shared" si="7"/>
        <v>4.5613425601209595E-3</v>
      </c>
    </row>
    <row r="172" spans="1:11" ht="25.5" x14ac:dyDescent="0.2">
      <c r="A172" s="747">
        <v>2</v>
      </c>
      <c r="B172" s="748">
        <v>2</v>
      </c>
      <c r="C172" s="748">
        <v>7</v>
      </c>
      <c r="D172" s="748">
        <v>2</v>
      </c>
      <c r="E172" s="749" t="s">
        <v>3842</v>
      </c>
      <c r="F172" s="761" t="s">
        <v>3932</v>
      </c>
      <c r="G172" s="875">
        <f>+'[2]MARZO 2025'!G172+'[2]FEBRERO 2025'!G172+'[2]ENERO 2025'!G172+Hoja5!G169</f>
        <v>0</v>
      </c>
      <c r="H172" s="875">
        <f>+'[2]MARZO 2025'!H172+'[2]FEBRERO 2025'!H172+'[2]ENERO 2025'!H172+Hoja5!H169</f>
        <v>0</v>
      </c>
      <c r="I172" s="875">
        <v>0</v>
      </c>
      <c r="J172" s="875">
        <f t="shared" si="5"/>
        <v>0</v>
      </c>
      <c r="K172" s="751">
        <f t="shared" si="7"/>
        <v>0</v>
      </c>
    </row>
    <row r="173" spans="1:11" ht="25.5" x14ac:dyDescent="0.2">
      <c r="A173" s="747">
        <v>2</v>
      </c>
      <c r="B173" s="748">
        <v>2</v>
      </c>
      <c r="C173" s="748">
        <v>7</v>
      </c>
      <c r="D173" s="748">
        <v>2</v>
      </c>
      <c r="E173" s="749" t="s">
        <v>3844</v>
      </c>
      <c r="F173" s="753" t="s">
        <v>3933</v>
      </c>
      <c r="G173" s="875">
        <f>+'[2]MARZO 2025'!G173+'[2]FEBRERO 2025'!G173+'[2]ENERO 2025'!G173+Hoja5!G170</f>
        <v>0</v>
      </c>
      <c r="H173" s="875">
        <f>+'[2]MARZO 2025'!H173+'[2]FEBRERO 2025'!H173+'[2]ENERO 2025'!H173+Hoja5!H170</f>
        <v>659667.19999999995</v>
      </c>
      <c r="I173" s="875">
        <v>0</v>
      </c>
      <c r="J173" s="875">
        <f t="shared" si="5"/>
        <v>659667.19999999995</v>
      </c>
      <c r="K173" s="751">
        <f t="shared" si="7"/>
        <v>1.2479846275180414E-3</v>
      </c>
    </row>
    <row r="174" spans="1:11" ht="25.5" x14ac:dyDescent="0.2">
      <c r="A174" s="747">
        <v>2</v>
      </c>
      <c r="B174" s="748">
        <v>2</v>
      </c>
      <c r="C174" s="748">
        <v>7</v>
      </c>
      <c r="D174" s="748">
        <v>2</v>
      </c>
      <c r="E174" s="749" t="s">
        <v>3863</v>
      </c>
      <c r="F174" s="753" t="s">
        <v>3934</v>
      </c>
      <c r="G174" s="875">
        <f>+'[2]MARZO 2025'!G174+'[2]FEBRERO 2025'!G174+'[2]ENERO 2025'!G174+Hoja5!G171</f>
        <v>0</v>
      </c>
      <c r="H174" s="875">
        <f>+'[2]MARZO 2025'!H174+'[2]FEBRERO 2025'!H174+'[2]ENERO 2025'!H174+Hoja5!H171</f>
        <v>0</v>
      </c>
      <c r="I174" s="875">
        <v>0</v>
      </c>
      <c r="J174" s="875">
        <f t="shared" si="5"/>
        <v>0</v>
      </c>
      <c r="K174" s="751">
        <f t="shared" si="7"/>
        <v>0</v>
      </c>
    </row>
    <row r="175" spans="1:11" ht="25.5" x14ac:dyDescent="0.2">
      <c r="A175" s="747">
        <v>2</v>
      </c>
      <c r="B175" s="748">
        <v>2</v>
      </c>
      <c r="C175" s="748">
        <v>7</v>
      </c>
      <c r="D175" s="748">
        <v>2</v>
      </c>
      <c r="E175" s="749" t="s">
        <v>3850</v>
      </c>
      <c r="F175" s="753" t="s">
        <v>3935</v>
      </c>
      <c r="G175" s="875">
        <f>+'[2]MARZO 2025'!G175+'[2]FEBRERO 2025'!G175+'[2]ENERO 2025'!G175+Hoja5!G172</f>
        <v>0</v>
      </c>
      <c r="H175" s="875">
        <f>+'[2]MARZO 2025'!H175+'[2]FEBRERO 2025'!H175+'[2]ENERO 2025'!H175+Hoja5!H172</f>
        <v>478797.25</v>
      </c>
      <c r="I175" s="875">
        <v>0</v>
      </c>
      <c r="J175" s="875">
        <f t="shared" si="5"/>
        <v>478797.25</v>
      </c>
      <c r="K175" s="751">
        <f t="shared" si="7"/>
        <v>9.0580766740852451E-4</v>
      </c>
    </row>
    <row r="176" spans="1:11" ht="38.25" x14ac:dyDescent="0.2">
      <c r="A176" s="747">
        <v>2</v>
      </c>
      <c r="B176" s="748">
        <v>2</v>
      </c>
      <c r="C176" s="748">
        <v>7</v>
      </c>
      <c r="D176" s="748">
        <v>2</v>
      </c>
      <c r="E176" s="749" t="s">
        <v>3925</v>
      </c>
      <c r="F176" s="753" t="s">
        <v>3936</v>
      </c>
      <c r="G176" s="875">
        <f>+'[2]MARZO 2025'!G176+'[2]FEBRERO 2025'!G176+'[2]ENERO 2025'!G176+Hoja5!G173</f>
        <v>0</v>
      </c>
      <c r="H176" s="875">
        <f>+'[2]MARZO 2025'!H176+'[2]FEBRERO 2025'!H176+'[2]ENERO 2025'!H176+Hoja5!H173</f>
        <v>0</v>
      </c>
      <c r="I176" s="875">
        <v>0</v>
      </c>
      <c r="J176" s="875">
        <f t="shared" si="5"/>
        <v>0</v>
      </c>
      <c r="K176" s="751">
        <f t="shared" si="7"/>
        <v>0</v>
      </c>
    </row>
    <row r="177" spans="1:11" x14ac:dyDescent="0.2">
      <c r="A177" s="743">
        <v>2</v>
      </c>
      <c r="B177" s="744">
        <v>2</v>
      </c>
      <c r="C177" s="744">
        <v>7</v>
      </c>
      <c r="D177" s="744">
        <v>3</v>
      </c>
      <c r="E177" s="758"/>
      <c r="F177" s="743" t="s">
        <v>3937</v>
      </c>
      <c r="G177" s="745">
        <f>+'[2]MARZO 2025'!G177+'[2]FEBRERO 2025'!G177+'[2]ENERO 2025'!G177+Hoja5!G174</f>
        <v>0</v>
      </c>
      <c r="H177" s="745">
        <f>+'[2]MARZO 2025'!H177+'[2]FEBRERO 2025'!H177+'[2]ENERO 2025'!H177+Hoja5!H174</f>
        <v>0</v>
      </c>
      <c r="I177" s="745">
        <v>0</v>
      </c>
      <c r="J177" s="745">
        <f t="shared" si="5"/>
        <v>0</v>
      </c>
      <c r="K177" s="752"/>
    </row>
    <row r="178" spans="1:11" x14ac:dyDescent="0.2">
      <c r="A178" s="747">
        <v>2</v>
      </c>
      <c r="B178" s="748">
        <v>2</v>
      </c>
      <c r="C178" s="748">
        <v>7</v>
      </c>
      <c r="D178" s="748">
        <v>3</v>
      </c>
      <c r="E178" s="749" t="s">
        <v>2221</v>
      </c>
      <c r="F178" s="747" t="s">
        <v>3937</v>
      </c>
      <c r="G178" s="875">
        <f>+'[2]MARZO 2025'!G178+'[2]FEBRERO 2025'!G178+'[2]ENERO 2025'!G178+Hoja5!G175</f>
        <v>0</v>
      </c>
      <c r="H178" s="875">
        <f>+'[2]MARZO 2025'!H178+'[2]FEBRERO 2025'!H178+'[2]ENERO 2025'!H178+Hoja5!H175</f>
        <v>0</v>
      </c>
      <c r="I178" s="875">
        <v>0</v>
      </c>
      <c r="J178" s="875">
        <f t="shared" si="5"/>
        <v>0</v>
      </c>
      <c r="K178" s="751">
        <f>J178/$J$25</f>
        <v>0</v>
      </c>
    </row>
    <row r="179" spans="1:11" x14ac:dyDescent="0.2">
      <c r="A179" s="741">
        <v>2</v>
      </c>
      <c r="B179" s="742">
        <v>2</v>
      </c>
      <c r="C179" s="742">
        <v>8</v>
      </c>
      <c r="D179" s="742"/>
      <c r="E179" s="742"/>
      <c r="F179" s="741" t="s">
        <v>173</v>
      </c>
      <c r="G179" s="874">
        <f>+'[2]MARZO 2025'!G179+'[2]FEBRERO 2025'!G179+'[2]ENERO 2025'!G179+Hoja5!G176</f>
        <v>489700</v>
      </c>
      <c r="H179" s="874">
        <f>+'[2]MARZO 2025'!H179+'[2]FEBRERO 2025'!H179+'[2]ENERO 2025'!H179+Hoja5!H176</f>
        <v>832646.66</v>
      </c>
      <c r="I179" s="874">
        <v>0</v>
      </c>
      <c r="J179" s="874">
        <f t="shared" si="5"/>
        <v>1322346.6600000001</v>
      </c>
      <c r="K179" s="740"/>
    </row>
    <row r="180" spans="1:11" x14ac:dyDescent="0.2">
      <c r="A180" s="743">
        <v>2</v>
      </c>
      <c r="B180" s="744">
        <v>2</v>
      </c>
      <c r="C180" s="744">
        <v>8</v>
      </c>
      <c r="D180" s="744">
        <v>1</v>
      </c>
      <c r="E180" s="744"/>
      <c r="F180" s="743" t="s">
        <v>147</v>
      </c>
      <c r="G180" s="745">
        <f>+'[2]MARZO 2025'!G180+'[2]FEBRERO 2025'!G180+'[2]ENERO 2025'!G180+Hoja5!G177</f>
        <v>0</v>
      </c>
      <c r="H180" s="745">
        <f>+'[2]MARZO 2025'!H180+'[2]FEBRERO 2025'!H180+'[2]ENERO 2025'!H180+Hoja5!H177</f>
        <v>0</v>
      </c>
      <c r="I180" s="745">
        <v>0</v>
      </c>
      <c r="J180" s="745">
        <f t="shared" si="5"/>
        <v>0</v>
      </c>
      <c r="K180" s="752"/>
    </row>
    <row r="181" spans="1:11" x14ac:dyDescent="0.2">
      <c r="A181" s="747">
        <v>2</v>
      </c>
      <c r="B181" s="748">
        <v>2</v>
      </c>
      <c r="C181" s="748">
        <v>8</v>
      </c>
      <c r="D181" s="748">
        <v>1</v>
      </c>
      <c r="E181" s="749" t="s">
        <v>2221</v>
      </c>
      <c r="F181" s="747" t="s">
        <v>147</v>
      </c>
      <c r="G181" s="875">
        <f>+'[2]MARZO 2025'!G181+'[2]FEBRERO 2025'!G181+'[2]ENERO 2025'!G181+Hoja5!G178</f>
        <v>0</v>
      </c>
      <c r="H181" s="875">
        <f>+'[2]MARZO 2025'!H181+'[2]FEBRERO 2025'!H181+'[2]ENERO 2025'!H181+Hoja5!H178</f>
        <v>0</v>
      </c>
      <c r="I181" s="875">
        <v>0</v>
      </c>
      <c r="J181" s="875">
        <f t="shared" si="5"/>
        <v>0</v>
      </c>
      <c r="K181" s="751">
        <f>J181/$J$25</f>
        <v>0</v>
      </c>
    </row>
    <row r="182" spans="1:11" x14ac:dyDescent="0.2">
      <c r="A182" s="743">
        <v>2</v>
      </c>
      <c r="B182" s="744">
        <v>2</v>
      </c>
      <c r="C182" s="744">
        <v>8</v>
      </c>
      <c r="D182" s="744">
        <v>2</v>
      </c>
      <c r="E182" s="744"/>
      <c r="F182" s="743" t="s">
        <v>3938</v>
      </c>
      <c r="G182" s="745">
        <f>+'[2]MARZO 2025'!G182+'[2]FEBRERO 2025'!G182+'[2]ENERO 2025'!G182+Hoja5!G179</f>
        <v>0</v>
      </c>
      <c r="H182" s="745">
        <f>+'[2]MARZO 2025'!H182+'[2]FEBRERO 2025'!H182+'[2]ENERO 2025'!H182+Hoja5!H179</f>
        <v>574567.14</v>
      </c>
      <c r="I182" s="745">
        <v>0</v>
      </c>
      <c r="J182" s="745">
        <f t="shared" si="5"/>
        <v>574567.14</v>
      </c>
      <c r="K182" s="752"/>
    </row>
    <row r="183" spans="1:11" x14ac:dyDescent="0.2">
      <c r="A183" s="747">
        <v>2</v>
      </c>
      <c r="B183" s="748">
        <v>2</v>
      </c>
      <c r="C183" s="748">
        <v>8</v>
      </c>
      <c r="D183" s="748">
        <v>2</v>
      </c>
      <c r="E183" s="749" t="s">
        <v>2221</v>
      </c>
      <c r="F183" s="747" t="s">
        <v>3938</v>
      </c>
      <c r="G183" s="875">
        <f>+'[2]MARZO 2025'!G183+'[2]FEBRERO 2025'!G183+'[2]ENERO 2025'!G183+Hoja5!G180</f>
        <v>0</v>
      </c>
      <c r="H183" s="875">
        <f>+'[2]MARZO 2025'!H183+'[2]FEBRERO 2025'!H183+'[2]ENERO 2025'!H183+Hoja5!H180</f>
        <v>32860.660000000003</v>
      </c>
      <c r="I183" s="875">
        <v>0</v>
      </c>
      <c r="J183" s="875">
        <f t="shared" si="5"/>
        <v>32860.660000000003</v>
      </c>
      <c r="K183" s="751">
        <f>J183/$J$25</f>
        <v>6.2167102639174737E-5</v>
      </c>
    </row>
    <row r="184" spans="1:11" x14ac:dyDescent="0.2">
      <c r="A184" s="743">
        <v>2</v>
      </c>
      <c r="B184" s="744">
        <v>2</v>
      </c>
      <c r="C184" s="744">
        <v>8</v>
      </c>
      <c r="D184" s="744">
        <v>3</v>
      </c>
      <c r="E184" s="744"/>
      <c r="F184" s="743" t="s">
        <v>3343</v>
      </c>
      <c r="G184" s="745">
        <f>+'[2]MARZO 2025'!G184+'[2]FEBRERO 2025'!G184+'[2]ENERO 2025'!G184+Hoja5!G181</f>
        <v>0</v>
      </c>
      <c r="H184" s="745">
        <f>+'[2]MARZO 2025'!H184+'[2]FEBRERO 2025'!H184+'[2]ENERO 2025'!H184+Hoja5!H181</f>
        <v>0</v>
      </c>
      <c r="I184" s="745">
        <v>0</v>
      </c>
      <c r="J184" s="745">
        <f t="shared" si="5"/>
        <v>0</v>
      </c>
      <c r="K184" s="752"/>
    </row>
    <row r="185" spans="1:11" x14ac:dyDescent="0.2">
      <c r="A185" s="747">
        <v>2</v>
      </c>
      <c r="B185" s="748">
        <v>2</v>
      </c>
      <c r="C185" s="748">
        <v>8</v>
      </c>
      <c r="D185" s="748">
        <v>3</v>
      </c>
      <c r="E185" s="749" t="s">
        <v>2221</v>
      </c>
      <c r="F185" s="747" t="s">
        <v>3343</v>
      </c>
      <c r="G185" s="875">
        <f>+'[2]MARZO 2025'!G185+'[2]FEBRERO 2025'!G185+'[2]ENERO 2025'!G185+Hoja5!G182</f>
        <v>0</v>
      </c>
      <c r="H185" s="875">
        <f>+'[2]MARZO 2025'!H185+'[2]FEBRERO 2025'!H185+'[2]ENERO 2025'!H185+Hoja5!H182</f>
        <v>17193.48</v>
      </c>
      <c r="I185" s="875">
        <v>0</v>
      </c>
      <c r="J185" s="875">
        <f t="shared" si="5"/>
        <v>17193.48</v>
      </c>
      <c r="K185" s="751">
        <f>J185/$J$25</f>
        <v>3.2527308821082654E-5</v>
      </c>
    </row>
    <row r="186" spans="1:11" x14ac:dyDescent="0.2">
      <c r="A186" s="743">
        <v>2</v>
      </c>
      <c r="B186" s="744">
        <v>2</v>
      </c>
      <c r="C186" s="744">
        <v>8</v>
      </c>
      <c r="D186" s="744">
        <v>4</v>
      </c>
      <c r="E186" s="744"/>
      <c r="F186" s="743" t="s">
        <v>3939</v>
      </c>
      <c r="G186" s="745">
        <f>+'[2]MARZO 2025'!G186+'[2]FEBRERO 2025'!G186+'[2]ENERO 2025'!G186+Hoja5!G183</f>
        <v>0</v>
      </c>
      <c r="H186" s="745">
        <f>+'[2]MARZO 2025'!H186+'[2]FEBRERO 2025'!H186+'[2]ENERO 2025'!H186+Hoja5!H183</f>
        <v>17193.48</v>
      </c>
      <c r="I186" s="745">
        <v>0</v>
      </c>
      <c r="J186" s="745">
        <f t="shared" si="5"/>
        <v>17193.48</v>
      </c>
      <c r="K186" s="752"/>
    </row>
    <row r="187" spans="1:11" x14ac:dyDescent="0.2">
      <c r="A187" s="747">
        <v>2</v>
      </c>
      <c r="B187" s="748">
        <v>2</v>
      </c>
      <c r="C187" s="748">
        <v>8</v>
      </c>
      <c r="D187" s="748">
        <v>4</v>
      </c>
      <c r="E187" s="749" t="s">
        <v>2221</v>
      </c>
      <c r="F187" s="747" t="s">
        <v>3939</v>
      </c>
      <c r="G187" s="875">
        <f>+'[2]MARZO 2025'!G187+'[2]FEBRERO 2025'!G187+'[2]ENERO 2025'!G187+Hoja5!G184</f>
        <v>0</v>
      </c>
      <c r="H187" s="875">
        <f>+'[2]MARZO 2025'!H187+'[2]FEBRERO 2025'!H187+'[2]ENERO 2025'!H187+Hoja5!H184</f>
        <v>0</v>
      </c>
      <c r="I187" s="875">
        <v>0</v>
      </c>
      <c r="J187" s="875">
        <f t="shared" si="5"/>
        <v>0</v>
      </c>
      <c r="K187" s="751">
        <f>J187/$J$25</f>
        <v>0</v>
      </c>
    </row>
    <row r="188" spans="1:11" x14ac:dyDescent="0.2">
      <c r="A188" s="743">
        <v>2</v>
      </c>
      <c r="B188" s="744">
        <v>2</v>
      </c>
      <c r="C188" s="744">
        <v>8</v>
      </c>
      <c r="D188" s="744">
        <v>5</v>
      </c>
      <c r="E188" s="744"/>
      <c r="F188" s="743" t="s">
        <v>3940</v>
      </c>
      <c r="G188" s="745">
        <f>+'[2]MARZO 2025'!G188+'[2]FEBRERO 2025'!G188+'[2]ENERO 2025'!G188+Hoja5!G185</f>
        <v>0</v>
      </c>
      <c r="H188" s="745">
        <f>+'[2]MARZO 2025'!H188+'[2]FEBRERO 2025'!H188+'[2]ENERO 2025'!H188+Hoja5!H185</f>
        <v>198712</v>
      </c>
      <c r="I188" s="745">
        <v>0</v>
      </c>
      <c r="J188" s="745">
        <f t="shared" si="5"/>
        <v>198712</v>
      </c>
      <c r="K188" s="752"/>
    </row>
    <row r="189" spans="1:11" x14ac:dyDescent="0.2">
      <c r="A189" s="747">
        <v>2</v>
      </c>
      <c r="B189" s="748">
        <v>2</v>
      </c>
      <c r="C189" s="748">
        <v>8</v>
      </c>
      <c r="D189" s="748">
        <v>5</v>
      </c>
      <c r="E189" s="749" t="s">
        <v>2221</v>
      </c>
      <c r="F189" s="747" t="s">
        <v>148</v>
      </c>
      <c r="G189" s="875">
        <f>+'[2]MARZO 2025'!G189+'[2]FEBRERO 2025'!G189+'[2]ENERO 2025'!G189+Hoja5!G186</f>
        <v>0</v>
      </c>
      <c r="H189" s="875">
        <f>+'[2]MARZO 2025'!H189+'[2]FEBRERO 2025'!H189+'[2]ENERO 2025'!H189+Hoja5!H186</f>
        <v>0</v>
      </c>
      <c r="I189" s="875">
        <v>0</v>
      </c>
      <c r="J189" s="875">
        <f t="shared" si="5"/>
        <v>0</v>
      </c>
      <c r="K189" s="751">
        <f>J189/$J$25</f>
        <v>0</v>
      </c>
    </row>
    <row r="190" spans="1:11" x14ac:dyDescent="0.2">
      <c r="A190" s="747">
        <v>2</v>
      </c>
      <c r="B190" s="748">
        <v>2</v>
      </c>
      <c r="C190" s="748">
        <v>8</v>
      </c>
      <c r="D190" s="748">
        <v>5</v>
      </c>
      <c r="E190" s="749" t="s">
        <v>1733</v>
      </c>
      <c r="F190" s="747" t="s">
        <v>3941</v>
      </c>
      <c r="G190" s="875">
        <f>+'[2]MARZO 2025'!G190+'[2]FEBRERO 2025'!G190+'[2]ENERO 2025'!G190+Hoja5!G187</f>
        <v>0</v>
      </c>
      <c r="H190" s="875">
        <f>+'[2]MARZO 2025'!H190+'[2]FEBRERO 2025'!H190+'[2]ENERO 2025'!H190+Hoja5!H187</f>
        <v>0</v>
      </c>
      <c r="I190" s="875">
        <v>0</v>
      </c>
      <c r="J190" s="875">
        <f t="shared" si="5"/>
        <v>0</v>
      </c>
      <c r="K190" s="751">
        <f>J190/$J$25</f>
        <v>0</v>
      </c>
    </row>
    <row r="191" spans="1:11" x14ac:dyDescent="0.2">
      <c r="A191" s="747">
        <v>2</v>
      </c>
      <c r="B191" s="748">
        <v>2</v>
      </c>
      <c r="C191" s="748">
        <v>8</v>
      </c>
      <c r="D191" s="748">
        <v>5</v>
      </c>
      <c r="E191" s="749" t="s">
        <v>3839</v>
      </c>
      <c r="F191" s="747" t="s">
        <v>3942</v>
      </c>
      <c r="G191" s="875">
        <f>+'[2]MARZO 2025'!G191+'[2]FEBRERO 2025'!G191+'[2]ENERO 2025'!G191+Hoja5!G188</f>
        <v>0</v>
      </c>
      <c r="H191" s="875">
        <f>+'[2]MARZO 2025'!H191+'[2]FEBRERO 2025'!H191+'[2]ENERO 2025'!H191+Hoja5!H188</f>
        <v>524038</v>
      </c>
      <c r="I191" s="875">
        <v>0</v>
      </c>
      <c r="J191" s="875">
        <f t="shared" si="5"/>
        <v>524038</v>
      </c>
      <c r="K191" s="751">
        <f>J191/$J$25</f>
        <v>9.9139591635797491E-4</v>
      </c>
    </row>
    <row r="192" spans="1:11" x14ac:dyDescent="0.2">
      <c r="A192" s="743">
        <v>2</v>
      </c>
      <c r="B192" s="744">
        <v>2</v>
      </c>
      <c r="C192" s="744">
        <v>8</v>
      </c>
      <c r="D192" s="744">
        <v>6</v>
      </c>
      <c r="E192" s="744"/>
      <c r="F192" s="743" t="s">
        <v>3943</v>
      </c>
      <c r="G192" s="745">
        <f>+'[2]MARZO 2025'!G192+'[2]FEBRERO 2025'!G192+'[2]ENERO 2025'!G192+Hoja5!G189</f>
        <v>0</v>
      </c>
      <c r="H192" s="745">
        <f>+'[2]MARZO 2025'!H192+'[2]FEBRERO 2025'!H192+'[2]ENERO 2025'!H192+Hoja5!H189</f>
        <v>0</v>
      </c>
      <c r="I192" s="745">
        <v>0</v>
      </c>
      <c r="J192" s="745">
        <f t="shared" si="5"/>
        <v>0</v>
      </c>
      <c r="K192" s="752"/>
    </row>
    <row r="193" spans="1:11" x14ac:dyDescent="0.2">
      <c r="A193" s="747">
        <v>2</v>
      </c>
      <c r="B193" s="748">
        <v>2</v>
      </c>
      <c r="C193" s="748">
        <v>8</v>
      </c>
      <c r="D193" s="748">
        <v>6</v>
      </c>
      <c r="E193" s="749" t="s">
        <v>2221</v>
      </c>
      <c r="F193" s="747" t="s">
        <v>149</v>
      </c>
      <c r="G193" s="875">
        <f>+'[2]MARZO 2025'!G193+'[2]FEBRERO 2025'!G193+'[2]ENERO 2025'!G193+Hoja5!G190</f>
        <v>0</v>
      </c>
      <c r="H193" s="875">
        <f>+'[2]MARZO 2025'!H193+'[2]FEBRERO 2025'!H193+'[2]ENERO 2025'!H193+Hoja5!H190</f>
        <v>0</v>
      </c>
      <c r="I193" s="875">
        <v>0</v>
      </c>
      <c r="J193" s="875">
        <f t="shared" si="5"/>
        <v>0</v>
      </c>
      <c r="K193" s="751">
        <f>J193/$J$25</f>
        <v>0</v>
      </c>
    </row>
    <row r="194" spans="1:11" x14ac:dyDescent="0.2">
      <c r="A194" s="747">
        <v>2</v>
      </c>
      <c r="B194" s="748">
        <v>2</v>
      </c>
      <c r="C194" s="748">
        <v>8</v>
      </c>
      <c r="D194" s="748">
        <v>6</v>
      </c>
      <c r="E194" s="749" t="s">
        <v>1733</v>
      </c>
      <c r="F194" s="747" t="s">
        <v>3944</v>
      </c>
      <c r="G194" s="875">
        <f>+'[2]MARZO 2025'!G194+'[2]FEBRERO 2025'!G194+'[2]ENERO 2025'!G194+Hoja5!G191</f>
        <v>0</v>
      </c>
      <c r="H194" s="875">
        <f>+'[2]MARZO 2025'!H194+'[2]FEBRERO 2025'!H194+'[2]ENERO 2025'!H194+Hoja5!H191</f>
        <v>325326</v>
      </c>
      <c r="I194" s="875">
        <v>0</v>
      </c>
      <c r="J194" s="875">
        <f t="shared" si="5"/>
        <v>325326</v>
      </c>
      <c r="K194" s="751">
        <f>J194/$J$25</f>
        <v>6.1546465692387676E-4</v>
      </c>
    </row>
    <row r="195" spans="1:11" x14ac:dyDescent="0.2">
      <c r="A195" s="747">
        <v>2</v>
      </c>
      <c r="B195" s="748">
        <v>2</v>
      </c>
      <c r="C195" s="748">
        <v>8</v>
      </c>
      <c r="D195" s="748">
        <v>6</v>
      </c>
      <c r="E195" s="749" t="s">
        <v>3839</v>
      </c>
      <c r="F195" s="747" t="s">
        <v>3945</v>
      </c>
      <c r="G195" s="875">
        <f>+'[2]MARZO 2025'!G195+'[2]FEBRERO 2025'!G195+'[2]ENERO 2025'!G195+Hoja5!G192</f>
        <v>0</v>
      </c>
      <c r="H195" s="875">
        <f>+'[2]MARZO 2025'!H195+'[2]FEBRERO 2025'!H195+'[2]ENERO 2025'!H195+Hoja5!H192</f>
        <v>0</v>
      </c>
      <c r="I195" s="875">
        <v>0</v>
      </c>
      <c r="J195" s="875">
        <f t="shared" si="5"/>
        <v>0</v>
      </c>
      <c r="K195" s="751">
        <f>J195/$J$25</f>
        <v>0</v>
      </c>
    </row>
    <row r="196" spans="1:11" x14ac:dyDescent="0.2">
      <c r="A196" s="747">
        <v>2</v>
      </c>
      <c r="B196" s="748">
        <v>2</v>
      </c>
      <c r="C196" s="748">
        <v>8</v>
      </c>
      <c r="D196" s="748">
        <v>6</v>
      </c>
      <c r="E196" s="749" t="s">
        <v>625</v>
      </c>
      <c r="F196" s="747" t="s">
        <v>3946</v>
      </c>
      <c r="G196" s="875">
        <f>+'[2]MARZO 2025'!G196+'[2]FEBRERO 2025'!G196+'[2]ENERO 2025'!G196+Hoja5!G193</f>
        <v>0</v>
      </c>
      <c r="H196" s="875">
        <f>+'[2]MARZO 2025'!H196+'[2]FEBRERO 2025'!H196+'[2]ENERO 2025'!H196+Hoja5!H193</f>
        <v>0</v>
      </c>
      <c r="I196" s="875">
        <v>0</v>
      </c>
      <c r="J196" s="875">
        <f t="shared" si="5"/>
        <v>0</v>
      </c>
      <c r="K196" s="751">
        <f>J196/$J$25</f>
        <v>0</v>
      </c>
    </row>
    <row r="197" spans="1:11" x14ac:dyDescent="0.2">
      <c r="A197" s="743">
        <v>2</v>
      </c>
      <c r="B197" s="744">
        <v>2</v>
      </c>
      <c r="C197" s="744">
        <v>8</v>
      </c>
      <c r="D197" s="744">
        <v>7</v>
      </c>
      <c r="E197" s="744"/>
      <c r="F197" s="743" t="s">
        <v>3947</v>
      </c>
      <c r="G197" s="745">
        <f>+'[2]MARZO 2025'!G197+'[2]FEBRERO 2025'!G197+'[2]ENERO 2025'!G197+Hoja5!G194</f>
        <v>489700</v>
      </c>
      <c r="H197" s="745">
        <f>+'[2]MARZO 2025'!H197+'[2]FEBRERO 2025'!H197+'[2]ENERO 2025'!H197+Hoja5!H194</f>
        <v>601074</v>
      </c>
      <c r="I197" s="745">
        <v>0</v>
      </c>
      <c r="J197" s="745">
        <f t="shared" si="5"/>
        <v>1090774</v>
      </c>
      <c r="K197" s="752"/>
    </row>
    <row r="198" spans="1:11" ht="25.5" x14ac:dyDescent="0.2">
      <c r="A198" s="747">
        <v>2</v>
      </c>
      <c r="B198" s="748">
        <v>2</v>
      </c>
      <c r="C198" s="748">
        <v>8</v>
      </c>
      <c r="D198" s="748">
        <v>7</v>
      </c>
      <c r="E198" s="749" t="s">
        <v>2221</v>
      </c>
      <c r="F198" s="753" t="s">
        <v>3948</v>
      </c>
      <c r="G198" s="875">
        <f>+'[2]MARZO 2025'!G198+'[2]FEBRERO 2025'!G198+'[2]ENERO 2025'!G198+Hoja5!G195</f>
        <v>489700</v>
      </c>
      <c r="H198" s="875">
        <f>+'[2]MARZO 2025'!H198+'[2]FEBRERO 2025'!H198+'[2]ENERO 2025'!H198+Hoja5!H195</f>
        <v>0</v>
      </c>
      <c r="I198" s="875">
        <v>0</v>
      </c>
      <c r="J198" s="875">
        <f t="shared" si="5"/>
        <v>489700</v>
      </c>
      <c r="K198" s="751">
        <f t="shared" ref="K198:K203" si="8">J198/$J$25</f>
        <v>9.2643392318973099E-4</v>
      </c>
    </row>
    <row r="199" spans="1:11" x14ac:dyDescent="0.2">
      <c r="A199" s="747">
        <v>2</v>
      </c>
      <c r="B199" s="748">
        <v>2</v>
      </c>
      <c r="C199" s="748">
        <v>8</v>
      </c>
      <c r="D199" s="748">
        <v>7</v>
      </c>
      <c r="E199" s="749" t="s">
        <v>1733</v>
      </c>
      <c r="F199" s="753" t="s">
        <v>3949</v>
      </c>
      <c r="G199" s="875">
        <f>+'[2]MARZO 2025'!G199+'[2]FEBRERO 2025'!G199+'[2]ENERO 2025'!G199+Hoja5!G196</f>
        <v>0</v>
      </c>
      <c r="H199" s="875">
        <f>+'[2]MARZO 2025'!H199+'[2]FEBRERO 2025'!H199+'[2]ENERO 2025'!H199+Hoja5!H196</f>
        <v>0</v>
      </c>
      <c r="I199" s="875">
        <v>0</v>
      </c>
      <c r="J199" s="875">
        <f t="shared" si="5"/>
        <v>0</v>
      </c>
      <c r="K199" s="751">
        <f t="shared" si="8"/>
        <v>0</v>
      </c>
    </row>
    <row r="200" spans="1:11" x14ac:dyDescent="0.2">
      <c r="A200" s="747">
        <v>2</v>
      </c>
      <c r="B200" s="748">
        <v>2</v>
      </c>
      <c r="C200" s="748">
        <v>8</v>
      </c>
      <c r="D200" s="748">
        <v>7</v>
      </c>
      <c r="E200" s="749" t="s">
        <v>3839</v>
      </c>
      <c r="F200" s="753" t="s">
        <v>3950</v>
      </c>
      <c r="G200" s="875">
        <f>+'[2]MARZO 2025'!G200+'[2]FEBRERO 2025'!G200+'[2]ENERO 2025'!G200+Hoja5!G197</f>
        <v>0</v>
      </c>
      <c r="H200" s="875">
        <f>+'[2]MARZO 2025'!H200+'[2]FEBRERO 2025'!H200+'[2]ENERO 2025'!H200+Hoja5!H197</f>
        <v>199187</v>
      </c>
      <c r="I200" s="875">
        <v>0</v>
      </c>
      <c r="J200" s="875">
        <f t="shared" si="5"/>
        <v>199187</v>
      </c>
      <c r="K200" s="751">
        <f t="shared" si="8"/>
        <v>3.7682988331303444E-4</v>
      </c>
    </row>
    <row r="201" spans="1:11" x14ac:dyDescent="0.2">
      <c r="A201" s="747">
        <v>2</v>
      </c>
      <c r="B201" s="748">
        <v>2</v>
      </c>
      <c r="C201" s="748">
        <v>8</v>
      </c>
      <c r="D201" s="748">
        <v>7</v>
      </c>
      <c r="E201" s="749" t="s">
        <v>625</v>
      </c>
      <c r="F201" s="753" t="s">
        <v>3951</v>
      </c>
      <c r="G201" s="875">
        <f>+'[2]MARZO 2025'!G201+'[2]FEBRERO 2025'!G201+'[2]ENERO 2025'!G201+Hoja5!G198</f>
        <v>0</v>
      </c>
      <c r="H201" s="875">
        <f>+'[2]MARZO 2025'!H201+'[2]FEBRERO 2025'!H201+'[2]ENERO 2025'!H201+Hoja5!H198</f>
        <v>0</v>
      </c>
      <c r="I201" s="875">
        <v>0</v>
      </c>
      <c r="J201" s="875">
        <f t="shared" si="5"/>
        <v>0</v>
      </c>
      <c r="K201" s="751">
        <f t="shared" si="8"/>
        <v>0</v>
      </c>
    </row>
    <row r="202" spans="1:11" ht="25.5" x14ac:dyDescent="0.2">
      <c r="A202" s="747">
        <v>2</v>
      </c>
      <c r="B202" s="748">
        <v>2</v>
      </c>
      <c r="C202" s="748">
        <v>8</v>
      </c>
      <c r="D202" s="748">
        <v>7</v>
      </c>
      <c r="E202" s="749" t="s">
        <v>3842</v>
      </c>
      <c r="F202" s="753" t="s">
        <v>3952</v>
      </c>
      <c r="G202" s="875">
        <f>+'[2]MARZO 2025'!G202+'[2]FEBRERO 2025'!G202+'[2]ENERO 2025'!G202+Hoja5!G199</f>
        <v>0</v>
      </c>
      <c r="H202" s="875">
        <f>+'[2]MARZO 2025'!H202+'[2]FEBRERO 2025'!H202+'[2]ENERO 2025'!H202+Hoja5!H199</f>
        <v>97704</v>
      </c>
      <c r="I202" s="875">
        <v>0</v>
      </c>
      <c r="J202" s="875">
        <f t="shared" si="5"/>
        <v>97704</v>
      </c>
      <c r="K202" s="751">
        <f t="shared" si="8"/>
        <v>1.8484031045809573E-4</v>
      </c>
    </row>
    <row r="203" spans="1:11" x14ac:dyDescent="0.2">
      <c r="A203" s="747">
        <v>2</v>
      </c>
      <c r="B203" s="748">
        <v>2</v>
      </c>
      <c r="C203" s="748">
        <v>8</v>
      </c>
      <c r="D203" s="748">
        <v>7</v>
      </c>
      <c r="E203" s="749" t="s">
        <v>3844</v>
      </c>
      <c r="F203" s="753" t="s">
        <v>3953</v>
      </c>
      <c r="G203" s="875">
        <f>+'[2]MARZO 2025'!G203+'[2]FEBRERO 2025'!G203+'[2]ENERO 2025'!G203+Hoja5!G200</f>
        <v>0</v>
      </c>
      <c r="H203" s="875">
        <f>+'[2]MARZO 2025'!H203+'[2]FEBRERO 2025'!H203+'[2]ENERO 2025'!H203+Hoja5!H200</f>
        <v>503370</v>
      </c>
      <c r="I203" s="875">
        <v>0</v>
      </c>
      <c r="J203" s="875">
        <f t="shared" si="5"/>
        <v>503370</v>
      </c>
      <c r="K203" s="751">
        <f t="shared" si="8"/>
        <v>9.5229537250564615E-4</v>
      </c>
    </row>
    <row r="204" spans="1:11" x14ac:dyDescent="0.2">
      <c r="A204" s="743">
        <v>2</v>
      </c>
      <c r="B204" s="744">
        <v>2</v>
      </c>
      <c r="C204" s="744">
        <v>8</v>
      </c>
      <c r="D204" s="744">
        <v>8</v>
      </c>
      <c r="E204" s="744"/>
      <c r="F204" s="762" t="s">
        <v>3954</v>
      </c>
      <c r="G204" s="745">
        <f>+'[2]MARZO 2025'!G204+'[2]FEBRERO 2025'!G204+'[2]ENERO 2025'!G204+Hoja5!G201</f>
        <v>0</v>
      </c>
      <c r="H204" s="745">
        <f>+'[2]MARZO 2025'!H204+'[2]FEBRERO 2025'!H204+'[2]ENERO 2025'!H204+Hoja5!H201</f>
        <v>0</v>
      </c>
      <c r="I204" s="745">
        <v>0</v>
      </c>
      <c r="J204" s="745">
        <f t="shared" si="5"/>
        <v>0</v>
      </c>
      <c r="K204" s="752"/>
    </row>
    <row r="205" spans="1:11" x14ac:dyDescent="0.2">
      <c r="A205" s="747">
        <v>2</v>
      </c>
      <c r="B205" s="748">
        <v>2</v>
      </c>
      <c r="C205" s="748">
        <v>8</v>
      </c>
      <c r="D205" s="748">
        <v>8</v>
      </c>
      <c r="E205" s="749" t="s">
        <v>2221</v>
      </c>
      <c r="F205" s="753" t="s">
        <v>15</v>
      </c>
      <c r="G205" s="875">
        <f>+'[2]MARZO 2025'!G205+'[2]FEBRERO 2025'!G205+'[2]ENERO 2025'!G205+Hoja5!G202</f>
        <v>0</v>
      </c>
      <c r="H205" s="875">
        <f>+'[2]MARZO 2025'!H205+'[2]FEBRERO 2025'!H205+'[2]ENERO 2025'!H205+Hoja5!H202</f>
        <v>0</v>
      </c>
      <c r="I205" s="875">
        <v>0</v>
      </c>
      <c r="J205" s="875">
        <f t="shared" si="5"/>
        <v>0</v>
      </c>
      <c r="K205" s="751">
        <f>J205/$J$25</f>
        <v>0</v>
      </c>
    </row>
    <row r="206" spans="1:11" x14ac:dyDescent="0.2">
      <c r="A206" s="747">
        <v>2</v>
      </c>
      <c r="B206" s="748">
        <v>2</v>
      </c>
      <c r="C206" s="748">
        <v>8</v>
      </c>
      <c r="D206" s="748">
        <v>8</v>
      </c>
      <c r="E206" s="749" t="s">
        <v>1733</v>
      </c>
      <c r="F206" s="753" t="s">
        <v>3955</v>
      </c>
      <c r="G206" s="875">
        <f>+'[2]MARZO 2025'!G206+'[2]FEBRERO 2025'!G206+'[2]ENERO 2025'!G206+Hoja5!G203</f>
        <v>0</v>
      </c>
      <c r="H206" s="875">
        <f>+'[2]MARZO 2025'!H206+'[2]FEBRERO 2025'!H206+'[2]ENERO 2025'!H206+Hoja5!H203</f>
        <v>199187</v>
      </c>
      <c r="I206" s="875">
        <v>0</v>
      </c>
      <c r="J206" s="875">
        <f t="shared" si="5"/>
        <v>199187</v>
      </c>
      <c r="K206" s="751">
        <f>J206/$J$25</f>
        <v>3.7682988331303444E-4</v>
      </c>
    </row>
    <row r="207" spans="1:11" x14ac:dyDescent="0.2">
      <c r="A207" s="747">
        <v>2</v>
      </c>
      <c r="B207" s="748">
        <v>2</v>
      </c>
      <c r="C207" s="748">
        <v>8</v>
      </c>
      <c r="D207" s="748">
        <v>8</v>
      </c>
      <c r="E207" s="749" t="s">
        <v>3839</v>
      </c>
      <c r="F207" s="753" t="s">
        <v>3956</v>
      </c>
      <c r="G207" s="875">
        <f>+'[2]MARZO 2025'!G207+'[2]FEBRERO 2025'!G207+'[2]ENERO 2025'!G207+Hoja5!G204</f>
        <v>0</v>
      </c>
      <c r="H207" s="875">
        <f>+'[2]MARZO 2025'!H207+'[2]FEBRERO 2025'!H207+'[2]ENERO 2025'!H207+Hoja5!H204</f>
        <v>0</v>
      </c>
      <c r="I207" s="875">
        <v>0</v>
      </c>
      <c r="J207" s="875">
        <f t="shared" si="5"/>
        <v>0</v>
      </c>
      <c r="K207" s="751">
        <f>J207/$J$25</f>
        <v>0</v>
      </c>
    </row>
    <row r="208" spans="1:11" x14ac:dyDescent="0.2">
      <c r="A208" s="741">
        <v>2</v>
      </c>
      <c r="B208" s="742">
        <v>2</v>
      </c>
      <c r="C208" s="742">
        <v>9</v>
      </c>
      <c r="D208" s="742"/>
      <c r="E208" s="742"/>
      <c r="F208" s="741" t="s">
        <v>3957</v>
      </c>
      <c r="G208" s="874">
        <f>+'[2]MARZO 2025'!G208+'[2]FEBRERO 2025'!G208+'[2]ENERO 2025'!G208+Hoja5!G205</f>
        <v>0</v>
      </c>
      <c r="H208" s="874">
        <f>+'[2]MARZO 2025'!H208+'[2]FEBRERO 2025'!H208+'[2]ENERO 2025'!H208+Hoja5!H205</f>
        <v>0</v>
      </c>
      <c r="I208" s="874">
        <v>0</v>
      </c>
      <c r="J208" s="874">
        <f t="shared" si="5"/>
        <v>0</v>
      </c>
      <c r="K208" s="740"/>
    </row>
    <row r="209" spans="1:11" x14ac:dyDescent="0.2">
      <c r="A209" s="743">
        <v>2</v>
      </c>
      <c r="B209" s="744">
        <v>2</v>
      </c>
      <c r="C209" s="744">
        <v>9</v>
      </c>
      <c r="D209" s="744">
        <v>2</v>
      </c>
      <c r="E209" s="744"/>
      <c r="F209" s="743" t="s">
        <v>2945</v>
      </c>
      <c r="G209" s="745">
        <f>+'[2]MARZO 2025'!G209+'[2]FEBRERO 2025'!G209+'[2]ENERO 2025'!G209+Hoja5!G206</f>
        <v>0</v>
      </c>
      <c r="H209" s="745">
        <f>+'[2]MARZO 2025'!H209+'[2]FEBRERO 2025'!H209+'[2]ENERO 2025'!H209+Hoja5!H206</f>
        <v>0</v>
      </c>
      <c r="I209" s="745">
        <v>0</v>
      </c>
      <c r="J209" s="745">
        <f t="shared" si="5"/>
        <v>0</v>
      </c>
      <c r="K209" s="752"/>
    </row>
    <row r="210" spans="1:11" x14ac:dyDescent="0.2">
      <c r="A210" s="747">
        <v>2</v>
      </c>
      <c r="B210" s="748">
        <v>2</v>
      </c>
      <c r="C210" s="748">
        <v>9</v>
      </c>
      <c r="D210" s="748">
        <v>2</v>
      </c>
      <c r="E210" s="749" t="s">
        <v>2221</v>
      </c>
      <c r="F210" s="753" t="s">
        <v>3958</v>
      </c>
      <c r="G210" s="875">
        <f>+'[2]MARZO 2025'!G210+'[2]FEBRERO 2025'!G210+'[2]ENERO 2025'!G210+Hoja5!G207</f>
        <v>0</v>
      </c>
      <c r="H210" s="875">
        <f>+'[2]MARZO 2025'!H210+'[2]FEBRERO 2025'!H210+'[2]ENERO 2025'!H210+Hoja5!H207</f>
        <v>0</v>
      </c>
      <c r="I210" s="875">
        <v>0</v>
      </c>
      <c r="J210" s="875">
        <f t="shared" si="5"/>
        <v>0</v>
      </c>
      <c r="K210" s="751">
        <f>J210/$J$25</f>
        <v>0</v>
      </c>
    </row>
    <row r="211" spans="1:11" x14ac:dyDescent="0.2">
      <c r="A211" s="747">
        <v>2</v>
      </c>
      <c r="B211" s="748">
        <v>2</v>
      </c>
      <c r="C211" s="748">
        <v>9</v>
      </c>
      <c r="D211" s="748">
        <v>2</v>
      </c>
      <c r="E211" s="749" t="s">
        <v>3839</v>
      </c>
      <c r="F211" s="753" t="s">
        <v>2024</v>
      </c>
      <c r="G211" s="875">
        <f>+'[2]MARZO 2025'!G211+'[2]FEBRERO 2025'!G211+'[2]ENERO 2025'!G211+Hoja5!G208</f>
        <v>0</v>
      </c>
      <c r="H211" s="875">
        <f>+'[2]MARZO 2025'!H211+'[2]FEBRERO 2025'!H211+'[2]ENERO 2025'!H211+Hoja5!H208</f>
        <v>0</v>
      </c>
      <c r="I211" s="875">
        <v>0</v>
      </c>
      <c r="J211" s="875">
        <f t="shared" si="5"/>
        <v>0</v>
      </c>
      <c r="K211" s="751">
        <f>J211/$J$25</f>
        <v>0</v>
      </c>
    </row>
    <row r="212" spans="1:11" x14ac:dyDescent="0.2">
      <c r="A212" s="754">
        <v>2</v>
      </c>
      <c r="B212" s="742">
        <v>3</v>
      </c>
      <c r="C212" s="742"/>
      <c r="D212" s="742"/>
      <c r="E212" s="742"/>
      <c r="F212" s="741" t="s">
        <v>3959</v>
      </c>
      <c r="G212" s="874">
        <f>+'[2]MARZO 2025'!G212+'[2]FEBRERO 2025'!G212+'[2]ENERO 2025'!G212+Hoja5!G209</f>
        <v>46153284.189999998</v>
      </c>
      <c r="H212" s="874">
        <f>+'[2]MARZO 2025'!H212+'[2]FEBRERO 2025'!H212+'[2]ENERO 2025'!H212+Hoja5!H209</f>
        <v>7292547.2799999993</v>
      </c>
      <c r="I212" s="874">
        <v>0</v>
      </c>
      <c r="J212" s="874">
        <f t="shared" si="5"/>
        <v>53445831.469999999</v>
      </c>
      <c r="K212" s="740">
        <f>J212/$J$25</f>
        <v>0.1011109481864188</v>
      </c>
    </row>
    <row r="213" spans="1:11" x14ac:dyDescent="0.2">
      <c r="A213" s="754">
        <v>2</v>
      </c>
      <c r="B213" s="742">
        <v>3</v>
      </c>
      <c r="C213" s="742">
        <v>1</v>
      </c>
      <c r="D213" s="742"/>
      <c r="E213" s="742"/>
      <c r="F213" s="741" t="s">
        <v>164</v>
      </c>
      <c r="G213" s="874">
        <f>+'[2]MARZO 2025'!G213+'[2]FEBRERO 2025'!G213+'[2]ENERO 2025'!G213+Hoja5!G210</f>
        <v>3713897.2399999998</v>
      </c>
      <c r="H213" s="874">
        <f>+'[2]MARZO 2025'!H213+'[2]FEBRERO 2025'!H213+'[2]ENERO 2025'!H213+Hoja5!H210</f>
        <v>1500755.8</v>
      </c>
      <c r="I213" s="874">
        <v>0</v>
      </c>
      <c r="J213" s="874">
        <f t="shared" si="5"/>
        <v>5214653.04</v>
      </c>
      <c r="K213" s="740"/>
    </row>
    <row r="214" spans="1:11" x14ac:dyDescent="0.2">
      <c r="A214" s="755">
        <v>2</v>
      </c>
      <c r="B214" s="744">
        <v>3</v>
      </c>
      <c r="C214" s="744">
        <v>1</v>
      </c>
      <c r="D214" s="744">
        <v>1</v>
      </c>
      <c r="E214" s="758"/>
      <c r="F214" s="743" t="s">
        <v>99</v>
      </c>
      <c r="G214" s="745">
        <f>+'[2]MARZO 2025'!G214+'[2]FEBRERO 2025'!G214+'[2]ENERO 2025'!G214+Hoja5!G211</f>
        <v>3713897.2399999998</v>
      </c>
      <c r="H214" s="745">
        <f>+'[2]MARZO 2025'!H214+'[2]FEBRERO 2025'!H214+'[2]ENERO 2025'!H214+Hoja5!H211</f>
        <v>1500755.8</v>
      </c>
      <c r="I214" s="745">
        <v>0</v>
      </c>
      <c r="J214" s="745">
        <f t="shared" si="5"/>
        <v>5214653.04</v>
      </c>
      <c r="K214" s="752"/>
    </row>
    <row r="215" spans="1:11" x14ac:dyDescent="0.2">
      <c r="A215" s="756">
        <v>2</v>
      </c>
      <c r="B215" s="748">
        <v>3</v>
      </c>
      <c r="C215" s="748">
        <v>1</v>
      </c>
      <c r="D215" s="748">
        <v>1</v>
      </c>
      <c r="E215" s="749" t="s">
        <v>2221</v>
      </c>
      <c r="F215" s="747" t="s">
        <v>99</v>
      </c>
      <c r="G215" s="875">
        <f>+'[2]MARZO 2025'!G215+'[2]FEBRERO 2025'!G215+'[2]ENERO 2025'!G215+Hoja5!G212</f>
        <v>24082504.669999998</v>
      </c>
      <c r="H215" s="875">
        <f>+'[2]MARZO 2025'!H215+'[2]FEBRERO 2025'!H215+'[2]ENERO 2025'!H215+Hoja5!H212</f>
        <v>4501021</v>
      </c>
      <c r="I215" s="875">
        <v>0</v>
      </c>
      <c r="J215" s="875">
        <f t="shared" si="5"/>
        <v>28583525.669999998</v>
      </c>
      <c r="K215" s="751">
        <f>J215/$J$25</f>
        <v>5.4075449918424515E-2</v>
      </c>
    </row>
    <row r="216" spans="1:11" x14ac:dyDescent="0.2">
      <c r="A216" s="756">
        <v>2</v>
      </c>
      <c r="B216" s="748">
        <v>3</v>
      </c>
      <c r="C216" s="748">
        <v>1</v>
      </c>
      <c r="D216" s="748">
        <v>1</v>
      </c>
      <c r="E216" s="749" t="s">
        <v>1733</v>
      </c>
      <c r="F216" s="747" t="s">
        <v>3960</v>
      </c>
      <c r="G216" s="875">
        <f>+'[2]MARZO 2025'!G216+'[2]FEBRERO 2025'!G216+'[2]ENERO 2025'!G216+Hoja5!G213</f>
        <v>812515</v>
      </c>
      <c r="H216" s="875">
        <f>+'[2]MARZO 2025'!H216+'[2]FEBRERO 2025'!H216+'[2]ENERO 2025'!H216+Hoja5!H213</f>
        <v>94850</v>
      </c>
      <c r="I216" s="875">
        <v>0</v>
      </c>
      <c r="J216" s="875">
        <f t="shared" si="5"/>
        <v>907365</v>
      </c>
      <c r="K216" s="751">
        <f>J216/$J$25</f>
        <v>1.7165891703390859E-3</v>
      </c>
    </row>
    <row r="217" spans="1:11" x14ac:dyDescent="0.2">
      <c r="A217" s="755">
        <v>2</v>
      </c>
      <c r="B217" s="744">
        <v>3</v>
      </c>
      <c r="C217" s="744">
        <v>1</v>
      </c>
      <c r="D217" s="744">
        <v>2</v>
      </c>
      <c r="E217" s="758"/>
      <c r="F217" s="743" t="s">
        <v>3961</v>
      </c>
      <c r="G217" s="745">
        <f>+'[2]MARZO 2025'!G217+'[2]FEBRERO 2025'!G217+'[2]ENERO 2025'!G217+Hoja5!G214</f>
        <v>812515</v>
      </c>
      <c r="H217" s="745">
        <f>+'[2]MARZO 2025'!H217+'[2]FEBRERO 2025'!H217+'[2]ENERO 2025'!H217+Hoja5!H214</f>
        <v>94850</v>
      </c>
      <c r="I217" s="745">
        <v>0</v>
      </c>
      <c r="J217" s="745">
        <f t="shared" si="5"/>
        <v>907365</v>
      </c>
      <c r="K217" s="752"/>
    </row>
    <row r="218" spans="1:11" x14ac:dyDescent="0.2">
      <c r="A218" s="756">
        <v>2</v>
      </c>
      <c r="B218" s="748">
        <v>3</v>
      </c>
      <c r="C218" s="748">
        <v>1</v>
      </c>
      <c r="D218" s="748">
        <v>2</v>
      </c>
      <c r="E218" s="749" t="s">
        <v>2221</v>
      </c>
      <c r="F218" s="747" t="s">
        <v>3961</v>
      </c>
      <c r="G218" s="875">
        <f>+'[2]MARZO 2025'!G218+'[2]FEBRERO 2025'!G218+'[2]ENERO 2025'!G218+Hoja5!G215</f>
        <v>812515</v>
      </c>
      <c r="H218" s="875">
        <f>+'[2]MARZO 2025'!H218+'[2]FEBRERO 2025'!H218+'[2]ENERO 2025'!H218+Hoja5!H215</f>
        <v>94850</v>
      </c>
      <c r="I218" s="875">
        <v>0</v>
      </c>
      <c r="J218" s="875">
        <f t="shared" si="5"/>
        <v>907365</v>
      </c>
      <c r="K218" s="751">
        <f>J218/$J$25</f>
        <v>1.7165891703390859E-3</v>
      </c>
    </row>
    <row r="219" spans="1:11" x14ac:dyDescent="0.2">
      <c r="A219" s="755">
        <v>2</v>
      </c>
      <c r="B219" s="744">
        <v>3</v>
      </c>
      <c r="C219" s="744">
        <v>1</v>
      </c>
      <c r="D219" s="744">
        <v>3</v>
      </c>
      <c r="E219" s="744"/>
      <c r="F219" s="743" t="s">
        <v>3962</v>
      </c>
      <c r="G219" s="745">
        <f>+'[2]MARZO 2025'!G219+'[2]FEBRERO 2025'!G219+'[2]ENERO 2025'!G219+Hoja5!G216</f>
        <v>0</v>
      </c>
      <c r="H219" s="745">
        <f>+'[2]MARZO 2025'!H219+'[2]FEBRERO 2025'!H219+'[2]ENERO 2025'!H219+Hoja5!H216</f>
        <v>0</v>
      </c>
      <c r="I219" s="745">
        <v>0</v>
      </c>
      <c r="J219" s="745">
        <f t="shared" ref="J219:J282" si="9">SUM(G219:I219)</f>
        <v>0</v>
      </c>
      <c r="K219" s="752"/>
    </row>
    <row r="220" spans="1:11" x14ac:dyDescent="0.2">
      <c r="A220" s="756">
        <v>2</v>
      </c>
      <c r="B220" s="748">
        <v>3</v>
      </c>
      <c r="C220" s="748">
        <v>1</v>
      </c>
      <c r="D220" s="748">
        <v>3</v>
      </c>
      <c r="E220" s="749" t="s">
        <v>2221</v>
      </c>
      <c r="F220" s="747" t="s">
        <v>3963</v>
      </c>
      <c r="G220" s="875">
        <f>+'[2]MARZO 2025'!G220+'[2]FEBRERO 2025'!G220+'[2]ENERO 2025'!G220+Hoja5!G217</f>
        <v>0</v>
      </c>
      <c r="H220" s="875">
        <f>+'[2]MARZO 2025'!H220+'[2]FEBRERO 2025'!H220+'[2]ENERO 2025'!H220+Hoja5!H217</f>
        <v>0</v>
      </c>
      <c r="I220" s="875">
        <v>0</v>
      </c>
      <c r="J220" s="875">
        <f t="shared" si="9"/>
        <v>0</v>
      </c>
      <c r="K220" s="751">
        <f>J220/$J$25</f>
        <v>0</v>
      </c>
    </row>
    <row r="221" spans="1:11" x14ac:dyDescent="0.2">
      <c r="A221" s="756">
        <v>2</v>
      </c>
      <c r="B221" s="748">
        <v>3</v>
      </c>
      <c r="C221" s="748">
        <v>1</v>
      </c>
      <c r="D221" s="748">
        <v>3</v>
      </c>
      <c r="E221" s="749" t="s">
        <v>1733</v>
      </c>
      <c r="F221" s="747" t="s">
        <v>3964</v>
      </c>
      <c r="G221" s="875">
        <f>+'[2]MARZO 2025'!G221+'[2]FEBRERO 2025'!G221+'[2]ENERO 2025'!G221+Hoja5!G218</f>
        <v>0</v>
      </c>
      <c r="H221" s="875">
        <f>+'[2]MARZO 2025'!H221+'[2]FEBRERO 2025'!H221+'[2]ENERO 2025'!H221+Hoja5!H218</f>
        <v>0</v>
      </c>
      <c r="I221" s="875">
        <v>0</v>
      </c>
      <c r="J221" s="875">
        <f t="shared" si="9"/>
        <v>0</v>
      </c>
      <c r="K221" s="751">
        <f>J221/$J$25</f>
        <v>0</v>
      </c>
    </row>
    <row r="222" spans="1:11" x14ac:dyDescent="0.2">
      <c r="A222" s="756">
        <v>2</v>
      </c>
      <c r="B222" s="748">
        <v>3</v>
      </c>
      <c r="C222" s="748">
        <v>1</v>
      </c>
      <c r="D222" s="748">
        <v>3</v>
      </c>
      <c r="E222" s="749" t="s">
        <v>3839</v>
      </c>
      <c r="F222" s="747" t="s">
        <v>3965</v>
      </c>
      <c r="G222" s="875">
        <f>+'[2]MARZO 2025'!G222+'[2]FEBRERO 2025'!G222+'[2]ENERO 2025'!G222+Hoja5!G219</f>
        <v>0</v>
      </c>
      <c r="H222" s="875">
        <f>+'[2]MARZO 2025'!H222+'[2]FEBRERO 2025'!H222+'[2]ENERO 2025'!H222+Hoja5!H219</f>
        <v>0</v>
      </c>
      <c r="I222" s="875">
        <v>0</v>
      </c>
      <c r="J222" s="875">
        <f t="shared" si="9"/>
        <v>0</v>
      </c>
      <c r="K222" s="751">
        <f>J222/$J$25</f>
        <v>0</v>
      </c>
    </row>
    <row r="223" spans="1:11" x14ac:dyDescent="0.2">
      <c r="A223" s="755">
        <v>2</v>
      </c>
      <c r="B223" s="744">
        <v>3</v>
      </c>
      <c r="C223" s="744">
        <v>1</v>
      </c>
      <c r="D223" s="744">
        <v>4</v>
      </c>
      <c r="E223" s="744"/>
      <c r="F223" s="743" t="s">
        <v>3966</v>
      </c>
      <c r="G223" s="745">
        <f>+'[2]MARZO 2025'!G223+'[2]FEBRERO 2025'!G223+'[2]ENERO 2025'!G223+Hoja5!G220</f>
        <v>0</v>
      </c>
      <c r="H223" s="745">
        <f>+'[2]MARZO 2025'!H223+'[2]FEBRERO 2025'!H223+'[2]ENERO 2025'!H223+Hoja5!H220</f>
        <v>0</v>
      </c>
      <c r="I223" s="745">
        <v>0</v>
      </c>
      <c r="J223" s="745">
        <f t="shared" si="9"/>
        <v>0</v>
      </c>
      <c r="K223" s="752"/>
    </row>
    <row r="224" spans="1:11" x14ac:dyDescent="0.2">
      <c r="A224" s="756">
        <v>2</v>
      </c>
      <c r="B224" s="748">
        <v>3</v>
      </c>
      <c r="C224" s="748">
        <v>1</v>
      </c>
      <c r="D224" s="748">
        <v>4</v>
      </c>
      <c r="E224" s="749" t="s">
        <v>2221</v>
      </c>
      <c r="F224" s="747" t="s">
        <v>3966</v>
      </c>
      <c r="G224" s="875">
        <f>+'[2]MARZO 2025'!G224+'[2]FEBRERO 2025'!G224+'[2]ENERO 2025'!G224+Hoja5!G221</f>
        <v>0</v>
      </c>
      <c r="H224" s="875">
        <f>+'[2]MARZO 2025'!H224+'[2]FEBRERO 2025'!H224+'[2]ENERO 2025'!H224+Hoja5!H221</f>
        <v>0</v>
      </c>
      <c r="I224" s="875">
        <v>0</v>
      </c>
      <c r="J224" s="875">
        <f t="shared" si="9"/>
        <v>0</v>
      </c>
      <c r="K224" s="751">
        <f>J224/$J$25</f>
        <v>0</v>
      </c>
    </row>
    <row r="225" spans="1:11" x14ac:dyDescent="0.2">
      <c r="A225" s="754">
        <v>2</v>
      </c>
      <c r="B225" s="742">
        <v>3</v>
      </c>
      <c r="C225" s="742">
        <v>2</v>
      </c>
      <c r="D225" s="742"/>
      <c r="E225" s="759"/>
      <c r="F225" s="741" t="s">
        <v>183</v>
      </c>
      <c r="G225" s="874">
        <f>+'[2]MARZO 2025'!G225+'[2]FEBRERO 2025'!G225+'[2]ENERO 2025'!G225+Hoja5!G222</f>
        <v>61630.73</v>
      </c>
      <c r="H225" s="874">
        <f>+'[2]MARZO 2025'!H225+'[2]FEBRERO 2025'!H225+'[2]ENERO 2025'!H225+Hoja5!H222</f>
        <v>0</v>
      </c>
      <c r="I225" s="874">
        <v>0</v>
      </c>
      <c r="J225" s="874">
        <f t="shared" si="9"/>
        <v>61630.73</v>
      </c>
      <c r="K225" s="740"/>
    </row>
    <row r="226" spans="1:11" x14ac:dyDescent="0.2">
      <c r="A226" s="755">
        <v>2</v>
      </c>
      <c r="B226" s="744">
        <v>3</v>
      </c>
      <c r="C226" s="744">
        <v>2</v>
      </c>
      <c r="D226" s="744">
        <v>1</v>
      </c>
      <c r="E226" s="744"/>
      <c r="F226" s="743" t="s">
        <v>100</v>
      </c>
      <c r="G226" s="745">
        <f>+'[2]MARZO 2025'!G226+'[2]FEBRERO 2025'!G226+'[2]ENERO 2025'!G226+Hoja5!G223</f>
        <v>0</v>
      </c>
      <c r="H226" s="745">
        <f>+'[2]MARZO 2025'!H226+'[2]FEBRERO 2025'!H226+'[2]ENERO 2025'!H226+Hoja5!H223</f>
        <v>0</v>
      </c>
      <c r="I226" s="745">
        <v>0</v>
      </c>
      <c r="J226" s="745">
        <f t="shared" si="9"/>
        <v>0</v>
      </c>
      <c r="K226" s="752"/>
    </row>
    <row r="227" spans="1:11" x14ac:dyDescent="0.2">
      <c r="A227" s="756">
        <v>2</v>
      </c>
      <c r="B227" s="748">
        <v>3</v>
      </c>
      <c r="C227" s="748">
        <v>2</v>
      </c>
      <c r="D227" s="748">
        <v>1</v>
      </c>
      <c r="E227" s="749" t="s">
        <v>2221</v>
      </c>
      <c r="F227" s="747" t="s">
        <v>100</v>
      </c>
      <c r="G227" s="875">
        <f>+'[2]MARZO 2025'!G227+'[2]FEBRERO 2025'!G227+'[2]ENERO 2025'!G227+Hoja5!G224</f>
        <v>0</v>
      </c>
      <c r="H227" s="875">
        <f>+'[2]MARZO 2025'!H227+'[2]FEBRERO 2025'!H227+'[2]ENERO 2025'!H227+Hoja5!H224</f>
        <v>0</v>
      </c>
      <c r="I227" s="875">
        <v>0</v>
      </c>
      <c r="J227" s="875">
        <f t="shared" si="9"/>
        <v>0</v>
      </c>
      <c r="K227" s="751">
        <f>J227/$J$25</f>
        <v>0</v>
      </c>
    </row>
    <row r="228" spans="1:11" x14ac:dyDescent="0.2">
      <c r="A228" s="755">
        <v>2</v>
      </c>
      <c r="B228" s="744">
        <v>3</v>
      </c>
      <c r="C228" s="744">
        <v>2</v>
      </c>
      <c r="D228" s="744">
        <v>2</v>
      </c>
      <c r="E228" s="744"/>
      <c r="F228" s="743" t="s">
        <v>101</v>
      </c>
      <c r="G228" s="745">
        <f>+'[2]MARZO 2025'!G228+'[2]FEBRERO 2025'!G228+'[2]ENERO 2025'!G228+Hoja5!G225</f>
        <v>1624611.2</v>
      </c>
      <c r="H228" s="745">
        <f>+'[2]MARZO 2025'!H228+'[2]FEBRERO 2025'!H228+'[2]ENERO 2025'!H228+Hoja5!H225</f>
        <v>0</v>
      </c>
      <c r="I228" s="745">
        <v>0</v>
      </c>
      <c r="J228" s="745">
        <f t="shared" si="9"/>
        <v>1624611.2</v>
      </c>
      <c r="K228" s="752"/>
    </row>
    <row r="229" spans="1:11" x14ac:dyDescent="0.2">
      <c r="A229" s="756">
        <v>2</v>
      </c>
      <c r="B229" s="748">
        <v>3</v>
      </c>
      <c r="C229" s="748">
        <v>2</v>
      </c>
      <c r="D229" s="748">
        <v>2</v>
      </c>
      <c r="E229" s="749" t="s">
        <v>2221</v>
      </c>
      <c r="F229" s="747" t="s">
        <v>101</v>
      </c>
      <c r="G229" s="875">
        <f>+'[2]MARZO 2025'!G229+'[2]FEBRERO 2025'!G229+'[2]ENERO 2025'!G229+Hoja5!G226</f>
        <v>61630.73</v>
      </c>
      <c r="H229" s="875">
        <f>+'[2]MARZO 2025'!H229+'[2]FEBRERO 2025'!H229+'[2]ENERO 2025'!H229+Hoja5!H226</f>
        <v>0</v>
      </c>
      <c r="I229" s="875">
        <v>0</v>
      </c>
      <c r="J229" s="875">
        <f t="shared" si="9"/>
        <v>61630.73</v>
      </c>
      <c r="K229" s="751">
        <f>J229/$J$25</f>
        <v>1.1659546453532174E-4</v>
      </c>
    </row>
    <row r="230" spans="1:11" x14ac:dyDescent="0.2">
      <c r="A230" s="755">
        <v>2</v>
      </c>
      <c r="B230" s="744">
        <v>3</v>
      </c>
      <c r="C230" s="744">
        <v>2</v>
      </c>
      <c r="D230" s="744">
        <v>3</v>
      </c>
      <c r="E230" s="744"/>
      <c r="F230" s="743" t="s">
        <v>102</v>
      </c>
      <c r="G230" s="745">
        <f>+'[2]MARZO 2025'!G230+'[2]FEBRERO 2025'!G230+'[2]ENERO 2025'!G230+Hoja5!G227</f>
        <v>0</v>
      </c>
      <c r="H230" s="745">
        <f>+'[2]MARZO 2025'!H230+'[2]FEBRERO 2025'!H230+'[2]ENERO 2025'!H230+Hoja5!H227</f>
        <v>0</v>
      </c>
      <c r="I230" s="745">
        <v>0</v>
      </c>
      <c r="J230" s="745">
        <f t="shared" si="9"/>
        <v>0</v>
      </c>
      <c r="K230" s="752"/>
    </row>
    <row r="231" spans="1:11" x14ac:dyDescent="0.2">
      <c r="A231" s="756">
        <v>2</v>
      </c>
      <c r="B231" s="748">
        <v>3</v>
      </c>
      <c r="C231" s="748">
        <v>2</v>
      </c>
      <c r="D231" s="748">
        <v>3</v>
      </c>
      <c r="E231" s="749" t="s">
        <v>2221</v>
      </c>
      <c r="F231" s="747" t="s">
        <v>102</v>
      </c>
      <c r="G231" s="875">
        <f>+'[2]MARZO 2025'!G231+'[2]FEBRERO 2025'!G231+'[2]ENERO 2025'!G231+Hoja5!G228</f>
        <v>1562980.47</v>
      </c>
      <c r="H231" s="875">
        <f>+'[2]MARZO 2025'!H231+'[2]FEBRERO 2025'!H231+'[2]ENERO 2025'!H231+Hoja5!H228</f>
        <v>0</v>
      </c>
      <c r="I231" s="875">
        <v>0</v>
      </c>
      <c r="J231" s="875">
        <f t="shared" si="9"/>
        <v>1562980.47</v>
      </c>
      <c r="K231" s="751">
        <f>J231/$J$25</f>
        <v>2.9569085740065951E-3</v>
      </c>
    </row>
    <row r="232" spans="1:11" x14ac:dyDescent="0.2">
      <c r="A232" s="754">
        <v>2</v>
      </c>
      <c r="B232" s="742">
        <v>3</v>
      </c>
      <c r="C232" s="742">
        <v>3</v>
      </c>
      <c r="D232" s="742"/>
      <c r="E232" s="759"/>
      <c r="F232" s="741" t="s">
        <v>3967</v>
      </c>
      <c r="G232" s="874">
        <f>+'[2]MARZO 2025'!G232+'[2]FEBRERO 2025'!G232+'[2]ENERO 2025'!G232+Hoja5!G229</f>
        <v>3389892.3099999996</v>
      </c>
      <c r="H232" s="874">
        <f>+'[2]MARZO 2025'!H232+'[2]FEBRERO 2025'!H232+'[2]ENERO 2025'!H232+Hoja5!H229</f>
        <v>251163</v>
      </c>
      <c r="I232" s="874">
        <v>0</v>
      </c>
      <c r="J232" s="874">
        <f t="shared" si="9"/>
        <v>3641055.3099999996</v>
      </c>
      <c r="K232" s="740"/>
    </row>
    <row r="233" spans="1:11" x14ac:dyDescent="0.2">
      <c r="A233" s="755">
        <v>2</v>
      </c>
      <c r="B233" s="744">
        <v>3</v>
      </c>
      <c r="C233" s="744">
        <v>3</v>
      </c>
      <c r="D233" s="744">
        <v>1</v>
      </c>
      <c r="E233" s="744"/>
      <c r="F233" s="743" t="s">
        <v>104</v>
      </c>
      <c r="G233" s="745">
        <f>+'[2]MARZO 2025'!G233+'[2]FEBRERO 2025'!G233+'[2]ENERO 2025'!G233+Hoja5!G230</f>
        <v>0</v>
      </c>
      <c r="H233" s="745">
        <f>+'[2]MARZO 2025'!H233+'[2]FEBRERO 2025'!H233+'[2]ENERO 2025'!H233+Hoja5!H230</f>
        <v>0</v>
      </c>
      <c r="I233" s="745">
        <v>0</v>
      </c>
      <c r="J233" s="745">
        <f t="shared" si="9"/>
        <v>0</v>
      </c>
      <c r="K233" s="752"/>
    </row>
    <row r="234" spans="1:11" x14ac:dyDescent="0.2">
      <c r="A234" s="756">
        <v>2</v>
      </c>
      <c r="B234" s="748">
        <v>3</v>
      </c>
      <c r="C234" s="748">
        <v>3</v>
      </c>
      <c r="D234" s="748">
        <v>1</v>
      </c>
      <c r="E234" s="749" t="s">
        <v>2221</v>
      </c>
      <c r="F234" s="747" t="s">
        <v>104</v>
      </c>
      <c r="G234" s="875">
        <f>+'[2]MARZO 2025'!G234+'[2]FEBRERO 2025'!G234+'[2]ENERO 2025'!G234+Hoja5!G231</f>
        <v>0</v>
      </c>
      <c r="H234" s="875">
        <f>+'[2]MARZO 2025'!H234+'[2]FEBRERO 2025'!H234+'[2]ENERO 2025'!H234+Hoja5!H231</f>
        <v>0</v>
      </c>
      <c r="I234" s="875">
        <v>0</v>
      </c>
      <c r="J234" s="875">
        <f t="shared" si="9"/>
        <v>0</v>
      </c>
      <c r="K234" s="751">
        <f>J234/$J$25</f>
        <v>0</v>
      </c>
    </row>
    <row r="235" spans="1:11" x14ac:dyDescent="0.2">
      <c r="A235" s="755">
        <v>2</v>
      </c>
      <c r="B235" s="744">
        <v>3</v>
      </c>
      <c r="C235" s="744">
        <v>3</v>
      </c>
      <c r="D235" s="744">
        <v>2</v>
      </c>
      <c r="E235" s="744"/>
      <c r="F235" s="743" t="s">
        <v>2535</v>
      </c>
      <c r="G235" s="745">
        <f>+'[2]MARZO 2025'!G235+'[2]FEBRERO 2025'!G235+'[2]ENERO 2025'!G235+Hoja5!G232</f>
        <v>2033482.0499999998</v>
      </c>
      <c r="H235" s="745">
        <f>+'[2]MARZO 2025'!H235+'[2]FEBRERO 2025'!H235+'[2]ENERO 2025'!H235+Hoja5!H232</f>
        <v>196824</v>
      </c>
      <c r="I235" s="745">
        <v>0</v>
      </c>
      <c r="J235" s="745">
        <f t="shared" si="9"/>
        <v>2230306.0499999998</v>
      </c>
      <c r="K235" s="752"/>
    </row>
    <row r="236" spans="1:11" x14ac:dyDescent="0.2">
      <c r="A236" s="756">
        <v>2</v>
      </c>
      <c r="B236" s="748">
        <v>3</v>
      </c>
      <c r="C236" s="748">
        <v>3</v>
      </c>
      <c r="D236" s="748">
        <v>2</v>
      </c>
      <c r="E236" s="749" t="s">
        <v>2221</v>
      </c>
      <c r="F236" s="747" t="s">
        <v>2535</v>
      </c>
      <c r="G236" s="875">
        <f>+'[2]MARZO 2025'!G236+'[2]FEBRERO 2025'!G236+'[2]ENERO 2025'!G236+Hoja5!G233</f>
        <v>522539.83999999997</v>
      </c>
      <c r="H236" s="875">
        <f>+'[2]MARZO 2025'!H236+'[2]FEBRERO 2025'!H236+'[2]ENERO 2025'!H236+Hoja5!H233</f>
        <v>0</v>
      </c>
      <c r="I236" s="875">
        <v>0</v>
      </c>
      <c r="J236" s="875">
        <f t="shared" si="9"/>
        <v>522539.83999999997</v>
      </c>
      <c r="K236" s="751">
        <f>J236/$J$25</f>
        <v>9.8856163772541219E-4</v>
      </c>
    </row>
    <row r="237" spans="1:11" x14ac:dyDescent="0.2">
      <c r="A237" s="755">
        <v>2</v>
      </c>
      <c r="B237" s="744">
        <v>3</v>
      </c>
      <c r="C237" s="744">
        <v>3</v>
      </c>
      <c r="D237" s="744">
        <v>3</v>
      </c>
      <c r="E237" s="744"/>
      <c r="F237" s="743" t="s">
        <v>2525</v>
      </c>
      <c r="G237" s="745">
        <f>+'[2]MARZO 2025'!G237+'[2]FEBRERO 2025'!G237+'[2]ENERO 2025'!G237+Hoja5!G234</f>
        <v>1304372</v>
      </c>
      <c r="H237" s="745">
        <f>+'[2]MARZO 2025'!H237+'[2]FEBRERO 2025'!H237+'[2]ENERO 2025'!H237+Hoja5!H234</f>
        <v>251163</v>
      </c>
      <c r="I237" s="745">
        <v>0</v>
      </c>
      <c r="J237" s="745">
        <f t="shared" si="9"/>
        <v>1555535</v>
      </c>
      <c r="K237" s="752"/>
    </row>
    <row r="238" spans="1:11" x14ac:dyDescent="0.2">
      <c r="A238" s="756">
        <v>2</v>
      </c>
      <c r="B238" s="748">
        <v>3</v>
      </c>
      <c r="C238" s="748">
        <v>3</v>
      </c>
      <c r="D238" s="748">
        <v>3</v>
      </c>
      <c r="E238" s="749" t="s">
        <v>2221</v>
      </c>
      <c r="F238" s="747" t="s">
        <v>2525</v>
      </c>
      <c r="G238" s="875">
        <f>+'[2]MARZO 2025'!G238+'[2]FEBRERO 2025'!G238+'[2]ENERO 2025'!G238+Hoja5!G235</f>
        <v>2012619.21</v>
      </c>
      <c r="H238" s="875">
        <f>+'[2]MARZO 2025'!H238+'[2]FEBRERO 2025'!H238+'[2]ENERO 2025'!H238+Hoja5!H235</f>
        <v>251163</v>
      </c>
      <c r="I238" s="875">
        <v>0</v>
      </c>
      <c r="J238" s="875">
        <f t="shared" si="9"/>
        <v>2263782.21</v>
      </c>
      <c r="K238" s="751">
        <f>J238/$J$25</f>
        <v>4.2827131591942407E-3</v>
      </c>
    </row>
    <row r="239" spans="1:11" x14ac:dyDescent="0.2">
      <c r="A239" s="755">
        <v>2</v>
      </c>
      <c r="B239" s="744">
        <v>3</v>
      </c>
      <c r="C239" s="744">
        <v>3</v>
      </c>
      <c r="D239" s="744">
        <v>4</v>
      </c>
      <c r="E239" s="744"/>
      <c r="F239" s="743" t="s">
        <v>3968</v>
      </c>
      <c r="G239" s="745">
        <f>+'[2]MARZO 2025'!G239+'[2]FEBRERO 2025'!G239+'[2]ENERO 2025'!G239+Hoja5!G236</f>
        <v>708247.21</v>
      </c>
      <c r="H239" s="745">
        <f>+'[2]MARZO 2025'!H239+'[2]FEBRERO 2025'!H239+'[2]ENERO 2025'!H239+Hoja5!H236</f>
        <v>0</v>
      </c>
      <c r="I239" s="745">
        <v>0</v>
      </c>
      <c r="J239" s="745">
        <f t="shared" si="9"/>
        <v>708247.21</v>
      </c>
      <c r="K239" s="752"/>
    </row>
    <row r="240" spans="1:11" x14ac:dyDescent="0.2">
      <c r="A240" s="756">
        <v>2</v>
      </c>
      <c r="B240" s="748">
        <v>3</v>
      </c>
      <c r="C240" s="748">
        <v>3</v>
      </c>
      <c r="D240" s="748">
        <v>4</v>
      </c>
      <c r="E240" s="749" t="s">
        <v>2221</v>
      </c>
      <c r="F240" s="747" t="s">
        <v>3968</v>
      </c>
      <c r="G240" s="875">
        <f>+'[2]MARZO 2025'!G240+'[2]FEBRERO 2025'!G240+'[2]ENERO 2025'!G240+Hoja5!G237</f>
        <v>802695</v>
      </c>
      <c r="H240" s="875">
        <f>+'[2]MARZO 2025'!H240+'[2]FEBRERO 2025'!H240+'[2]ENERO 2025'!H240+Hoja5!H237</f>
        <v>196824</v>
      </c>
      <c r="I240" s="875">
        <v>0</v>
      </c>
      <c r="J240" s="875">
        <f t="shared" si="9"/>
        <v>999519</v>
      </c>
      <c r="K240" s="751">
        <f>J240/$J$25</f>
        <v>1.8909297702117149E-3</v>
      </c>
    </row>
    <row r="241" spans="1:11" x14ac:dyDescent="0.2">
      <c r="A241" s="755">
        <v>2</v>
      </c>
      <c r="B241" s="744">
        <v>3</v>
      </c>
      <c r="C241" s="744">
        <v>3</v>
      </c>
      <c r="D241" s="744">
        <v>5</v>
      </c>
      <c r="E241" s="744"/>
      <c r="F241" s="743" t="s">
        <v>3969</v>
      </c>
      <c r="G241" s="745">
        <f>+'[2]MARZO 2025'!G241+'[2]FEBRERO 2025'!G241+'[2]ENERO 2025'!G241+Hoja5!G238</f>
        <v>802695</v>
      </c>
      <c r="H241" s="745">
        <f>+'[2]MARZO 2025'!H241+'[2]FEBRERO 2025'!H241+'[2]ENERO 2025'!H241+Hoja5!H238</f>
        <v>196824</v>
      </c>
      <c r="I241" s="745">
        <v>0</v>
      </c>
      <c r="J241" s="745">
        <f t="shared" si="9"/>
        <v>999519</v>
      </c>
      <c r="K241" s="752"/>
    </row>
    <row r="242" spans="1:11" x14ac:dyDescent="0.2">
      <c r="A242" s="756">
        <v>2</v>
      </c>
      <c r="B242" s="748">
        <v>3</v>
      </c>
      <c r="C242" s="748">
        <v>3</v>
      </c>
      <c r="D242" s="748">
        <v>5</v>
      </c>
      <c r="E242" s="749" t="s">
        <v>2221</v>
      </c>
      <c r="F242" s="747" t="s">
        <v>3969</v>
      </c>
      <c r="G242" s="875">
        <f>+'[2]MARZO 2025'!G242+'[2]FEBRERO 2025'!G242+'[2]ENERO 2025'!G242+Hoja5!G239</f>
        <v>0</v>
      </c>
      <c r="H242" s="875">
        <f>+'[2]MARZO 2025'!H242+'[2]FEBRERO 2025'!H242+'[2]ENERO 2025'!H242+Hoja5!H239</f>
        <v>0</v>
      </c>
      <c r="I242" s="875">
        <v>0</v>
      </c>
      <c r="J242" s="875">
        <f t="shared" si="9"/>
        <v>0</v>
      </c>
      <c r="K242" s="751">
        <f>J242/$J$25</f>
        <v>0</v>
      </c>
    </row>
    <row r="243" spans="1:11" x14ac:dyDescent="0.2">
      <c r="A243" s="755">
        <v>2</v>
      </c>
      <c r="B243" s="744">
        <v>3</v>
      </c>
      <c r="C243" s="744">
        <v>3</v>
      </c>
      <c r="D243" s="744">
        <v>6</v>
      </c>
      <c r="E243" s="744"/>
      <c r="F243" s="743" t="s">
        <v>3970</v>
      </c>
      <c r="G243" s="745">
        <f>+'[2]MARZO 2025'!G243+'[2]FEBRERO 2025'!G243+'[2]ENERO 2025'!G243+Hoja5!G240</f>
        <v>0</v>
      </c>
      <c r="H243" s="745">
        <f>+'[2]MARZO 2025'!H243+'[2]FEBRERO 2025'!H243+'[2]ENERO 2025'!H243+Hoja5!H240</f>
        <v>0</v>
      </c>
      <c r="I243" s="745">
        <v>0</v>
      </c>
      <c r="J243" s="745">
        <f t="shared" si="9"/>
        <v>0</v>
      </c>
      <c r="K243" s="752"/>
    </row>
    <row r="244" spans="1:11" x14ac:dyDescent="0.2">
      <c r="A244" s="756">
        <v>2</v>
      </c>
      <c r="B244" s="748">
        <v>3</v>
      </c>
      <c r="C244" s="748">
        <v>3</v>
      </c>
      <c r="D244" s="748">
        <v>6</v>
      </c>
      <c r="E244" s="749" t="s">
        <v>2221</v>
      </c>
      <c r="F244" s="747" t="s">
        <v>3970</v>
      </c>
      <c r="G244" s="875">
        <f>+'[2]MARZO 2025'!G244+'[2]FEBRERO 2025'!G244+'[2]ENERO 2025'!G244+Hoja5!G241</f>
        <v>0</v>
      </c>
      <c r="H244" s="875">
        <f>+'[2]MARZO 2025'!H244+'[2]FEBRERO 2025'!H244+'[2]ENERO 2025'!H244+Hoja5!H241</f>
        <v>0</v>
      </c>
      <c r="I244" s="875">
        <v>0</v>
      </c>
      <c r="J244" s="875">
        <f t="shared" si="9"/>
        <v>0</v>
      </c>
      <c r="K244" s="751">
        <f>J244/$J$25</f>
        <v>0</v>
      </c>
    </row>
    <row r="245" spans="1:11" x14ac:dyDescent="0.2">
      <c r="A245" s="754">
        <v>2</v>
      </c>
      <c r="B245" s="742">
        <v>3</v>
      </c>
      <c r="C245" s="742">
        <v>4</v>
      </c>
      <c r="D245" s="742"/>
      <c r="E245" s="759"/>
      <c r="F245" s="741" t="s">
        <v>3971</v>
      </c>
      <c r="G245" s="874">
        <f>+'[2]MARZO 2025'!G245+'[2]FEBRERO 2025'!G245+'[2]ENERO 2025'!G245+Hoja5!G242</f>
        <v>10797336.600000001</v>
      </c>
      <c r="H245" s="874">
        <f>+'[2]MARZO 2025'!H245+'[2]FEBRERO 2025'!H245+'[2]ENERO 2025'!H245+Hoja5!H242</f>
        <v>558000</v>
      </c>
      <c r="I245" s="874">
        <v>0</v>
      </c>
      <c r="J245" s="874">
        <f t="shared" si="9"/>
        <v>11355336.600000001</v>
      </c>
      <c r="K245" s="740"/>
    </row>
    <row r="246" spans="1:11" x14ac:dyDescent="0.2">
      <c r="A246" s="755">
        <v>2</v>
      </c>
      <c r="B246" s="744">
        <v>3</v>
      </c>
      <c r="C246" s="744">
        <v>4</v>
      </c>
      <c r="D246" s="744">
        <v>1</v>
      </c>
      <c r="E246" s="744"/>
      <c r="F246" s="743" t="s">
        <v>2299</v>
      </c>
      <c r="G246" s="745">
        <f>+'[2]MARZO 2025'!G246+'[2]FEBRERO 2025'!G246+'[2]ENERO 2025'!G246+Hoja5!G243</f>
        <v>10797336.600000001</v>
      </c>
      <c r="H246" s="745">
        <f>+'[2]MARZO 2025'!H246+'[2]FEBRERO 2025'!H246+'[2]ENERO 2025'!H246+Hoja5!H243</f>
        <v>558000</v>
      </c>
      <c r="I246" s="745">
        <v>0</v>
      </c>
      <c r="J246" s="745">
        <f t="shared" si="9"/>
        <v>11355336.600000001</v>
      </c>
      <c r="K246" s="752"/>
    </row>
    <row r="247" spans="1:11" x14ac:dyDescent="0.2">
      <c r="A247" s="756">
        <v>2</v>
      </c>
      <c r="B247" s="748">
        <v>3</v>
      </c>
      <c r="C247" s="748">
        <v>4</v>
      </c>
      <c r="D247" s="748">
        <v>1</v>
      </c>
      <c r="E247" s="749" t="s">
        <v>2221</v>
      </c>
      <c r="F247" s="747" t="s">
        <v>2299</v>
      </c>
      <c r="G247" s="875">
        <f>+'[2]MARZO 2025'!G247+'[2]FEBRERO 2025'!G247+'[2]ENERO 2025'!G247+Hoja5!G244</f>
        <v>10797336.600000001</v>
      </c>
      <c r="H247" s="875">
        <f>+'[2]MARZO 2025'!H247+'[2]FEBRERO 2025'!H247+'[2]ENERO 2025'!H247+Hoja5!H244</f>
        <v>558000</v>
      </c>
      <c r="I247" s="875">
        <v>0</v>
      </c>
      <c r="J247" s="875">
        <f t="shared" si="9"/>
        <v>11355336.600000001</v>
      </c>
      <c r="K247" s="751">
        <f>J247/$J$25</f>
        <v>2.1482477099199392E-2</v>
      </c>
    </row>
    <row r="248" spans="1:11" x14ac:dyDescent="0.2">
      <c r="A248" s="755">
        <v>2</v>
      </c>
      <c r="B248" s="744">
        <v>3</v>
      </c>
      <c r="C248" s="744">
        <v>4</v>
      </c>
      <c r="D248" s="744">
        <v>2</v>
      </c>
      <c r="E248" s="744"/>
      <c r="F248" s="743" t="s">
        <v>3972</v>
      </c>
      <c r="G248" s="745">
        <f>+'[2]MARZO 2025'!G248+'[2]FEBRERO 2025'!G248+'[2]ENERO 2025'!G248+Hoja5!G245</f>
        <v>6349109</v>
      </c>
      <c r="H248" s="745">
        <f>+'[2]MARZO 2025'!H248+'[2]FEBRERO 2025'!H248+'[2]ENERO 2025'!H248+Hoja5!H245</f>
        <v>92000</v>
      </c>
      <c r="I248" s="745">
        <v>0</v>
      </c>
      <c r="J248" s="745">
        <f t="shared" si="9"/>
        <v>6441109</v>
      </c>
      <c r="K248" s="752"/>
    </row>
    <row r="249" spans="1:11" x14ac:dyDescent="0.2">
      <c r="A249" s="756">
        <v>2</v>
      </c>
      <c r="B249" s="748">
        <v>3</v>
      </c>
      <c r="C249" s="748">
        <v>4</v>
      </c>
      <c r="D249" s="748">
        <v>2</v>
      </c>
      <c r="E249" s="749" t="s">
        <v>2221</v>
      </c>
      <c r="F249" s="747" t="s">
        <v>3972</v>
      </c>
      <c r="G249" s="875">
        <f>+'[2]MARZO 2025'!G249+'[2]FEBRERO 2025'!G249+'[2]ENERO 2025'!G249+Hoja5!G246</f>
        <v>6349109</v>
      </c>
      <c r="H249" s="875">
        <f>+'[2]MARZO 2025'!H249+'[2]FEBRERO 2025'!H249+'[2]ENERO 2025'!H249+Hoja5!H246</f>
        <v>92000</v>
      </c>
      <c r="I249" s="875">
        <v>0</v>
      </c>
      <c r="J249" s="875">
        <f t="shared" si="9"/>
        <v>6441109</v>
      </c>
      <c r="K249" s="751">
        <f>J249/$J$25</f>
        <v>1.2185546008908893E-2</v>
      </c>
    </row>
    <row r="250" spans="1:11" x14ac:dyDescent="0.2">
      <c r="A250" s="754">
        <v>2</v>
      </c>
      <c r="B250" s="742">
        <v>3</v>
      </c>
      <c r="C250" s="742">
        <v>5</v>
      </c>
      <c r="D250" s="742"/>
      <c r="E250" s="759"/>
      <c r="F250" s="741" t="s">
        <v>3973</v>
      </c>
      <c r="G250" s="874">
        <f>+'[2]MARZO 2025'!G250+'[2]FEBRERO 2025'!G250+'[2]ENERO 2025'!G250+Hoja5!G247</f>
        <v>6683817.9500000002</v>
      </c>
      <c r="H250" s="874">
        <f>+'[2]MARZO 2025'!H250+'[2]FEBRERO 2025'!H250+'[2]ENERO 2025'!H250+Hoja5!H247</f>
        <v>659494.87000000011</v>
      </c>
      <c r="I250" s="874">
        <v>0</v>
      </c>
      <c r="J250" s="874">
        <f t="shared" si="9"/>
        <v>7343312.8200000003</v>
      </c>
      <c r="K250" s="740"/>
    </row>
    <row r="251" spans="1:11" x14ac:dyDescent="0.2">
      <c r="A251" s="755">
        <v>2</v>
      </c>
      <c r="B251" s="744">
        <v>3</v>
      </c>
      <c r="C251" s="744">
        <v>5</v>
      </c>
      <c r="D251" s="744">
        <v>1</v>
      </c>
      <c r="E251" s="744"/>
      <c r="F251" s="743" t="s">
        <v>3974</v>
      </c>
      <c r="G251" s="745">
        <f>+'[2]MARZO 2025'!G251+'[2]FEBRERO 2025'!G251+'[2]ENERO 2025'!G251+Hoja5!G248</f>
        <v>0</v>
      </c>
      <c r="H251" s="745">
        <f>+'[2]MARZO 2025'!H251+'[2]FEBRERO 2025'!H251+'[2]ENERO 2025'!H251+Hoja5!H248</f>
        <v>0</v>
      </c>
      <c r="I251" s="745">
        <v>0</v>
      </c>
      <c r="J251" s="745">
        <f t="shared" si="9"/>
        <v>0</v>
      </c>
      <c r="K251" s="752"/>
    </row>
    <row r="252" spans="1:11" x14ac:dyDescent="0.2">
      <c r="A252" s="756">
        <v>2</v>
      </c>
      <c r="B252" s="748">
        <v>3</v>
      </c>
      <c r="C252" s="748">
        <v>5</v>
      </c>
      <c r="D252" s="748">
        <v>1</v>
      </c>
      <c r="E252" s="749" t="s">
        <v>2221</v>
      </c>
      <c r="F252" s="747" t="s">
        <v>3974</v>
      </c>
      <c r="G252" s="875">
        <f>+'[2]MARZO 2025'!G252+'[2]FEBRERO 2025'!G252+'[2]ENERO 2025'!G252+Hoja5!G249</f>
        <v>0</v>
      </c>
      <c r="H252" s="875">
        <f>+'[2]MARZO 2025'!H252+'[2]FEBRERO 2025'!H252+'[2]ENERO 2025'!H252+Hoja5!H249</f>
        <v>0</v>
      </c>
      <c r="I252" s="875">
        <v>0</v>
      </c>
      <c r="J252" s="875">
        <f t="shared" si="9"/>
        <v>0</v>
      </c>
      <c r="K252" s="751">
        <f>J252/$J$25</f>
        <v>0</v>
      </c>
    </row>
    <row r="253" spans="1:11" x14ac:dyDescent="0.2">
      <c r="A253" s="755">
        <v>2</v>
      </c>
      <c r="B253" s="744">
        <v>3</v>
      </c>
      <c r="C253" s="744">
        <v>5</v>
      </c>
      <c r="D253" s="744">
        <v>2</v>
      </c>
      <c r="E253" s="744"/>
      <c r="F253" s="743" t="s">
        <v>3975</v>
      </c>
      <c r="G253" s="745">
        <f>+'[2]MARZO 2025'!G253+'[2]FEBRERO 2025'!G253+'[2]ENERO 2025'!G253+Hoja5!G250</f>
        <v>506546.35000000003</v>
      </c>
      <c r="H253" s="745">
        <f>+'[2]MARZO 2025'!H253+'[2]FEBRERO 2025'!H253+'[2]ENERO 2025'!H253+Hoja5!H250</f>
        <v>0</v>
      </c>
      <c r="I253" s="745">
        <v>0</v>
      </c>
      <c r="J253" s="745">
        <f t="shared" si="9"/>
        <v>506546.35000000003</v>
      </c>
      <c r="K253" s="752"/>
    </row>
    <row r="254" spans="1:11" x14ac:dyDescent="0.2">
      <c r="A254" s="756">
        <v>2</v>
      </c>
      <c r="B254" s="748">
        <v>3</v>
      </c>
      <c r="C254" s="748">
        <v>5</v>
      </c>
      <c r="D254" s="748">
        <v>2</v>
      </c>
      <c r="E254" s="749" t="s">
        <v>2221</v>
      </c>
      <c r="F254" s="747" t="s">
        <v>3975</v>
      </c>
      <c r="G254" s="875">
        <f>+'[2]MARZO 2025'!G254+'[2]FEBRERO 2025'!G254+'[2]ENERO 2025'!G254+Hoja5!G251</f>
        <v>0</v>
      </c>
      <c r="H254" s="875">
        <f>+'[2]MARZO 2025'!H254+'[2]FEBRERO 2025'!H254+'[2]ENERO 2025'!H254+Hoja5!H251</f>
        <v>0</v>
      </c>
      <c r="I254" s="875">
        <v>0</v>
      </c>
      <c r="J254" s="875">
        <f t="shared" si="9"/>
        <v>0</v>
      </c>
      <c r="K254" s="751">
        <f>J254/$J$25</f>
        <v>0</v>
      </c>
    </row>
    <row r="255" spans="1:11" x14ac:dyDescent="0.2">
      <c r="A255" s="755">
        <v>2</v>
      </c>
      <c r="B255" s="744">
        <v>3</v>
      </c>
      <c r="C255" s="744">
        <v>5</v>
      </c>
      <c r="D255" s="744">
        <v>3</v>
      </c>
      <c r="E255" s="744"/>
      <c r="F255" s="743" t="s">
        <v>3976</v>
      </c>
      <c r="G255" s="745">
        <f>+'[2]MARZO 2025'!G255+'[2]FEBRERO 2025'!G255+'[2]ENERO 2025'!G255+Hoja5!G252</f>
        <v>0</v>
      </c>
      <c r="H255" s="745">
        <f>+'[2]MARZO 2025'!H255+'[2]FEBRERO 2025'!H255+'[2]ENERO 2025'!H255+Hoja5!H252</f>
        <v>282823.65000000002</v>
      </c>
      <c r="I255" s="745">
        <v>0</v>
      </c>
      <c r="J255" s="745">
        <f t="shared" si="9"/>
        <v>282823.65000000002</v>
      </c>
      <c r="K255" s="752"/>
    </row>
    <row r="256" spans="1:11" x14ac:dyDescent="0.2">
      <c r="A256" s="756">
        <v>2</v>
      </c>
      <c r="B256" s="748">
        <v>3</v>
      </c>
      <c r="C256" s="748">
        <v>5</v>
      </c>
      <c r="D256" s="748">
        <v>3</v>
      </c>
      <c r="E256" s="749" t="s">
        <v>2221</v>
      </c>
      <c r="F256" s="747" t="s">
        <v>3976</v>
      </c>
      <c r="G256" s="875">
        <f>+'[2]MARZO 2025'!G256+'[2]FEBRERO 2025'!G256+'[2]ENERO 2025'!G256+Hoja5!G253</f>
        <v>0</v>
      </c>
      <c r="H256" s="875">
        <f>+'[2]MARZO 2025'!H256+'[2]FEBRERO 2025'!H256+'[2]ENERO 2025'!H256+Hoja5!H253</f>
        <v>282823.65000000002</v>
      </c>
      <c r="I256" s="875">
        <v>0</v>
      </c>
      <c r="J256" s="875">
        <f t="shared" si="9"/>
        <v>282823.65000000002</v>
      </c>
      <c r="K256" s="751">
        <f>J256/$J$25</f>
        <v>5.3505702193248808E-4</v>
      </c>
    </row>
    <row r="257" spans="1:11" x14ac:dyDescent="0.2">
      <c r="A257" s="755">
        <v>2</v>
      </c>
      <c r="B257" s="744">
        <v>3</v>
      </c>
      <c r="C257" s="744">
        <v>5</v>
      </c>
      <c r="D257" s="744">
        <v>4</v>
      </c>
      <c r="E257" s="744"/>
      <c r="F257" s="743" t="s">
        <v>2975</v>
      </c>
      <c r="G257" s="745">
        <f>+'[2]MARZO 2025'!G257+'[2]FEBRERO 2025'!G257+'[2]ENERO 2025'!G257+Hoja5!G254</f>
        <v>0</v>
      </c>
      <c r="H257" s="745">
        <f>+'[2]MARZO 2025'!H257+'[2]FEBRERO 2025'!H257+'[2]ENERO 2025'!H257+Hoja5!H254</f>
        <v>0</v>
      </c>
      <c r="I257" s="745">
        <v>0</v>
      </c>
      <c r="J257" s="745">
        <f t="shared" si="9"/>
        <v>0</v>
      </c>
      <c r="K257" s="752"/>
    </row>
    <row r="258" spans="1:11" x14ac:dyDescent="0.2">
      <c r="A258" s="756">
        <v>2</v>
      </c>
      <c r="B258" s="748">
        <v>3</v>
      </c>
      <c r="C258" s="748">
        <v>5</v>
      </c>
      <c r="D258" s="748">
        <v>4</v>
      </c>
      <c r="E258" s="749" t="s">
        <v>2221</v>
      </c>
      <c r="F258" s="747" t="s">
        <v>2975</v>
      </c>
      <c r="G258" s="875">
        <f>+'[2]MARZO 2025'!G258+'[2]FEBRERO 2025'!G258+'[2]ENERO 2025'!G258+Hoja5!G255</f>
        <v>0</v>
      </c>
      <c r="H258" s="875">
        <f>+'[2]MARZO 2025'!H258+'[2]FEBRERO 2025'!H258+'[2]ENERO 2025'!H258+Hoja5!H255</f>
        <v>0</v>
      </c>
      <c r="I258" s="875">
        <v>0</v>
      </c>
      <c r="J258" s="875">
        <f t="shared" si="9"/>
        <v>0</v>
      </c>
      <c r="K258" s="751">
        <f>J258/$J$25</f>
        <v>0</v>
      </c>
    </row>
    <row r="259" spans="1:11" x14ac:dyDescent="0.2">
      <c r="A259" s="755">
        <v>2</v>
      </c>
      <c r="B259" s="744">
        <v>3</v>
      </c>
      <c r="C259" s="744">
        <v>5</v>
      </c>
      <c r="D259" s="744">
        <v>5</v>
      </c>
      <c r="E259" s="744"/>
      <c r="F259" s="743" t="s">
        <v>3977</v>
      </c>
      <c r="G259" s="745">
        <f>+'[2]MARZO 2025'!G259+'[2]FEBRERO 2025'!G259+'[2]ENERO 2025'!G259+Hoja5!G256</f>
        <v>334708.95</v>
      </c>
      <c r="H259" s="745">
        <f>+'[2]MARZO 2025'!H259+'[2]FEBRERO 2025'!H259+'[2]ENERO 2025'!H259+Hoja5!H256</f>
        <v>284671.22000000003</v>
      </c>
      <c r="I259" s="745">
        <v>0</v>
      </c>
      <c r="J259" s="745">
        <f t="shared" si="9"/>
        <v>619380.17000000004</v>
      </c>
      <c r="K259" s="752"/>
    </row>
    <row r="260" spans="1:11" x14ac:dyDescent="0.2">
      <c r="A260" s="756">
        <v>2</v>
      </c>
      <c r="B260" s="748">
        <v>3</v>
      </c>
      <c r="C260" s="748">
        <v>5</v>
      </c>
      <c r="D260" s="748">
        <v>5</v>
      </c>
      <c r="E260" s="749" t="s">
        <v>2221</v>
      </c>
      <c r="F260" s="747" t="s">
        <v>3977</v>
      </c>
      <c r="G260" s="875">
        <f>+'[2]MARZO 2025'!G260+'[2]FEBRERO 2025'!G260+'[2]ENERO 2025'!G260+Hoja5!G257</f>
        <v>348058.64</v>
      </c>
      <c r="H260" s="875">
        <f>+'[2]MARZO 2025'!H260+'[2]FEBRERO 2025'!H260+'[2]ENERO 2025'!H260+Hoja5!H257</f>
        <v>284671.22000000003</v>
      </c>
      <c r="I260" s="875">
        <v>0</v>
      </c>
      <c r="J260" s="875">
        <f t="shared" si="9"/>
        <v>632729.8600000001</v>
      </c>
      <c r="K260" s="751">
        <f>J260/$J$25</f>
        <v>1.1970234970779853E-3</v>
      </c>
    </row>
    <row r="261" spans="1:11" x14ac:dyDescent="0.2">
      <c r="A261" s="754">
        <v>2</v>
      </c>
      <c r="B261" s="742">
        <v>3</v>
      </c>
      <c r="C261" s="742">
        <v>6</v>
      </c>
      <c r="D261" s="742"/>
      <c r="E261" s="742"/>
      <c r="F261" s="741" t="s">
        <v>3978</v>
      </c>
      <c r="G261" s="874">
        <f>+'[2]MARZO 2025'!G261+'[2]FEBRERO 2025'!G261+'[2]ENERO 2025'!G261+Hoja5!G258</f>
        <v>24980.67</v>
      </c>
      <c r="H261" s="874">
        <f>+'[2]MARZO 2025'!H261+'[2]FEBRERO 2025'!H261+'[2]ENERO 2025'!H261+Hoja5!H258</f>
        <v>293957.30000000005</v>
      </c>
      <c r="I261" s="874">
        <v>0</v>
      </c>
      <c r="J261" s="874">
        <f t="shared" si="9"/>
        <v>318937.97000000003</v>
      </c>
      <c r="K261" s="740"/>
    </row>
    <row r="262" spans="1:11" x14ac:dyDescent="0.2">
      <c r="A262" s="755">
        <v>2</v>
      </c>
      <c r="B262" s="744">
        <v>3</v>
      </c>
      <c r="C262" s="744">
        <v>6</v>
      </c>
      <c r="D262" s="744">
        <v>1</v>
      </c>
      <c r="E262" s="744"/>
      <c r="F262" s="743" t="s">
        <v>3979</v>
      </c>
      <c r="G262" s="745">
        <f>+'[2]MARZO 2025'!G262+'[2]FEBRERO 2025'!G262+'[2]ENERO 2025'!G262+Hoja5!G259</f>
        <v>493196.66000000003</v>
      </c>
      <c r="H262" s="745">
        <f>+'[2]MARZO 2025'!H262+'[2]FEBRERO 2025'!H262+'[2]ENERO 2025'!H262+Hoja5!H259</f>
        <v>989.98</v>
      </c>
      <c r="I262" s="745">
        <v>0</v>
      </c>
      <c r="J262" s="745">
        <f t="shared" si="9"/>
        <v>494186.64</v>
      </c>
      <c r="K262" s="752"/>
    </row>
    <row r="263" spans="1:11" x14ac:dyDescent="0.2">
      <c r="A263" s="756">
        <v>2</v>
      </c>
      <c r="B263" s="748">
        <v>3</v>
      </c>
      <c r="C263" s="748">
        <v>6</v>
      </c>
      <c r="D263" s="748">
        <v>1</v>
      </c>
      <c r="E263" s="749" t="s">
        <v>2221</v>
      </c>
      <c r="F263" s="747" t="s">
        <v>3980</v>
      </c>
      <c r="G263" s="875">
        <f>+'[2]MARZO 2025'!G263+'[2]FEBRERO 2025'!G263+'[2]ENERO 2025'!G263+Hoja5!G260</f>
        <v>493196.66000000003</v>
      </c>
      <c r="H263" s="875">
        <f>+'[2]MARZO 2025'!H263+'[2]FEBRERO 2025'!H263+'[2]ENERO 2025'!H263+Hoja5!H260</f>
        <v>989.98</v>
      </c>
      <c r="I263" s="875">
        <v>0</v>
      </c>
      <c r="J263" s="875">
        <f t="shared" si="9"/>
        <v>494186.64</v>
      </c>
      <c r="K263" s="751">
        <f>J263/$J$25</f>
        <v>9.3492192706381722E-4</v>
      </c>
    </row>
    <row r="264" spans="1:11" x14ac:dyDescent="0.2">
      <c r="A264" s="756">
        <v>2</v>
      </c>
      <c r="B264" s="748">
        <v>3</v>
      </c>
      <c r="C264" s="748">
        <v>6</v>
      </c>
      <c r="D264" s="748">
        <v>1</v>
      </c>
      <c r="E264" s="749" t="s">
        <v>1733</v>
      </c>
      <c r="F264" s="747" t="s">
        <v>111</v>
      </c>
      <c r="G264" s="875">
        <f>+'[2]MARZO 2025'!G264+'[2]FEBRERO 2025'!G264+'[2]ENERO 2025'!G264+Hoja5!G261</f>
        <v>351015.88</v>
      </c>
      <c r="H264" s="875">
        <f>+'[2]MARZO 2025'!H264+'[2]FEBRERO 2025'!H264+'[2]ENERO 2025'!H264+Hoja5!H261</f>
        <v>0</v>
      </c>
      <c r="I264" s="875">
        <v>0</v>
      </c>
      <c r="J264" s="875">
        <f t="shared" si="9"/>
        <v>351015.88</v>
      </c>
      <c r="K264" s="751">
        <f>J264/$J$25</f>
        <v>6.6406579295547443E-4</v>
      </c>
    </row>
    <row r="265" spans="1:11" x14ac:dyDescent="0.2">
      <c r="A265" s="756">
        <v>2</v>
      </c>
      <c r="B265" s="748">
        <v>3</v>
      </c>
      <c r="C265" s="748">
        <v>6</v>
      </c>
      <c r="D265" s="748">
        <v>1</v>
      </c>
      <c r="E265" s="749" t="s">
        <v>3839</v>
      </c>
      <c r="F265" s="747" t="s">
        <v>3981</v>
      </c>
      <c r="G265" s="875">
        <f>+'[2]MARZO 2025'!G265+'[2]FEBRERO 2025'!G265+'[2]ENERO 2025'!G265+Hoja5!G262</f>
        <v>26668</v>
      </c>
      <c r="H265" s="875">
        <f>+'[2]MARZO 2025'!H265+'[2]FEBRERO 2025'!H265+'[2]ENERO 2025'!H265+Hoja5!H262</f>
        <v>0</v>
      </c>
      <c r="I265" s="875">
        <v>0</v>
      </c>
      <c r="J265" s="875">
        <f t="shared" si="9"/>
        <v>26668</v>
      </c>
      <c r="K265" s="751">
        <f>J265/$J$25</f>
        <v>5.0451582323103422E-5</v>
      </c>
    </row>
    <row r="266" spans="1:11" x14ac:dyDescent="0.2">
      <c r="A266" s="756">
        <v>2</v>
      </c>
      <c r="B266" s="748">
        <v>3</v>
      </c>
      <c r="C266" s="748">
        <v>6</v>
      </c>
      <c r="D266" s="748">
        <v>1</v>
      </c>
      <c r="E266" s="749" t="s">
        <v>625</v>
      </c>
      <c r="F266" s="747" t="s">
        <v>3982</v>
      </c>
      <c r="G266" s="875">
        <f>+'[2]MARZO 2025'!G266+'[2]FEBRERO 2025'!G266+'[2]ENERO 2025'!G266+Hoja5!G263</f>
        <v>0</v>
      </c>
      <c r="H266" s="875">
        <f>+'[2]MARZO 2025'!H266+'[2]FEBRERO 2025'!H266+'[2]ENERO 2025'!H266+Hoja5!H263</f>
        <v>0</v>
      </c>
      <c r="I266" s="875">
        <v>0</v>
      </c>
      <c r="J266" s="875">
        <f t="shared" si="9"/>
        <v>0</v>
      </c>
      <c r="K266" s="751">
        <f>J266/$J$25</f>
        <v>0</v>
      </c>
    </row>
    <row r="267" spans="1:11" x14ac:dyDescent="0.2">
      <c r="A267" s="756">
        <v>2</v>
      </c>
      <c r="B267" s="748">
        <v>3</v>
      </c>
      <c r="C267" s="748">
        <v>6</v>
      </c>
      <c r="D267" s="748">
        <v>1</v>
      </c>
      <c r="E267" s="749" t="s">
        <v>3842</v>
      </c>
      <c r="F267" s="747" t="s">
        <v>3983</v>
      </c>
      <c r="G267" s="875">
        <f>+'[2]MARZO 2025'!G267+'[2]FEBRERO 2025'!G267+'[2]ENERO 2025'!G267+Hoja5!G264</f>
        <v>0</v>
      </c>
      <c r="H267" s="875">
        <f>+'[2]MARZO 2025'!H267+'[2]FEBRERO 2025'!H267+'[2]ENERO 2025'!H267+Hoja5!H264</f>
        <v>0</v>
      </c>
      <c r="I267" s="875">
        <v>0</v>
      </c>
      <c r="J267" s="875">
        <f t="shared" si="9"/>
        <v>0</v>
      </c>
      <c r="K267" s="751">
        <f>J267/$J$25</f>
        <v>0</v>
      </c>
    </row>
    <row r="268" spans="1:11" x14ac:dyDescent="0.2">
      <c r="A268" s="755">
        <v>2</v>
      </c>
      <c r="B268" s="744">
        <v>3</v>
      </c>
      <c r="C268" s="744">
        <v>6</v>
      </c>
      <c r="D268" s="744">
        <v>2</v>
      </c>
      <c r="E268" s="744"/>
      <c r="F268" s="743" t="s">
        <v>2984</v>
      </c>
      <c r="G268" s="745">
        <f>+'[2]MARZO 2025'!G268+'[2]FEBRERO 2025'!G268+'[2]ENERO 2025'!G268+Hoja5!G265</f>
        <v>0</v>
      </c>
      <c r="H268" s="745">
        <f>+'[2]MARZO 2025'!H268+'[2]FEBRERO 2025'!H268+'[2]ENERO 2025'!H268+Hoja5!H265</f>
        <v>138195.21</v>
      </c>
      <c r="I268" s="745">
        <v>0</v>
      </c>
      <c r="J268" s="745">
        <f t="shared" si="9"/>
        <v>138195.21</v>
      </c>
      <c r="K268" s="752"/>
    </row>
    <row r="269" spans="1:11" x14ac:dyDescent="0.2">
      <c r="A269" s="756">
        <v>2</v>
      </c>
      <c r="B269" s="748">
        <v>3</v>
      </c>
      <c r="C269" s="748">
        <v>6</v>
      </c>
      <c r="D269" s="748">
        <v>2</v>
      </c>
      <c r="E269" s="749" t="s">
        <v>2221</v>
      </c>
      <c r="F269" s="747" t="s">
        <v>3984</v>
      </c>
      <c r="G269" s="875">
        <f>+'[2]MARZO 2025'!G269+'[2]FEBRERO 2025'!G269+'[2]ENERO 2025'!G269+Hoja5!G266</f>
        <v>26668</v>
      </c>
      <c r="H269" s="875">
        <f>+'[2]MARZO 2025'!H269+'[2]FEBRERO 2025'!H269+'[2]ENERO 2025'!H269+Hoja5!H266</f>
        <v>15149.94</v>
      </c>
      <c r="I269" s="875">
        <v>0</v>
      </c>
      <c r="J269" s="875">
        <f t="shared" si="9"/>
        <v>41817.94</v>
      </c>
      <c r="K269" s="751">
        <f>J269/$J$25</f>
        <v>7.9112840951424922E-5</v>
      </c>
    </row>
    <row r="270" spans="1:11" x14ac:dyDescent="0.2">
      <c r="A270" s="756">
        <v>2</v>
      </c>
      <c r="B270" s="748">
        <v>3</v>
      </c>
      <c r="C270" s="748">
        <v>6</v>
      </c>
      <c r="D270" s="748">
        <v>2</v>
      </c>
      <c r="E270" s="749" t="s">
        <v>1733</v>
      </c>
      <c r="F270" s="747" t="s">
        <v>3985</v>
      </c>
      <c r="G270" s="875">
        <f>+'[2]MARZO 2025'!G270+'[2]FEBRERO 2025'!G270+'[2]ENERO 2025'!G270+Hoja5!G267</f>
        <v>0</v>
      </c>
      <c r="H270" s="875">
        <f>+'[2]MARZO 2025'!H270+'[2]FEBRERO 2025'!H270+'[2]ENERO 2025'!H270+Hoja5!H267</f>
        <v>0</v>
      </c>
      <c r="I270" s="875">
        <v>0</v>
      </c>
      <c r="J270" s="875">
        <f t="shared" si="9"/>
        <v>0</v>
      </c>
      <c r="K270" s="751">
        <f>J270/$J$25</f>
        <v>0</v>
      </c>
    </row>
    <row r="271" spans="1:11" x14ac:dyDescent="0.2">
      <c r="A271" s="756">
        <v>2</v>
      </c>
      <c r="B271" s="748">
        <v>3</v>
      </c>
      <c r="C271" s="748">
        <v>6</v>
      </c>
      <c r="D271" s="748">
        <v>2</v>
      </c>
      <c r="E271" s="749" t="s">
        <v>3839</v>
      </c>
      <c r="F271" s="747" t="s">
        <v>2986</v>
      </c>
      <c r="G271" s="875">
        <f>+'[2]MARZO 2025'!G271+'[2]FEBRERO 2025'!G271+'[2]ENERO 2025'!G271+Hoja5!G268</f>
        <v>245706.09</v>
      </c>
      <c r="H271" s="875">
        <f>+'[2]MARZO 2025'!H271+'[2]FEBRERO 2025'!H271+'[2]ENERO 2025'!H271+Hoja5!H268</f>
        <v>123045.27</v>
      </c>
      <c r="I271" s="875">
        <v>0</v>
      </c>
      <c r="J271" s="875">
        <f t="shared" si="9"/>
        <v>368751.35999999999</v>
      </c>
      <c r="K271" s="751">
        <f>J271/$J$25</f>
        <v>6.9761847891841708E-4</v>
      </c>
    </row>
    <row r="272" spans="1:11" x14ac:dyDescent="0.2">
      <c r="A272" s="755">
        <v>2</v>
      </c>
      <c r="B272" s="744">
        <v>3</v>
      </c>
      <c r="C272" s="744">
        <v>6</v>
      </c>
      <c r="D272" s="744">
        <v>3</v>
      </c>
      <c r="E272" s="744"/>
      <c r="F272" s="743" t="s">
        <v>2957</v>
      </c>
      <c r="G272" s="745">
        <f>+'[2]MARZO 2025'!G272+'[2]FEBRERO 2025'!G272+'[2]ENERO 2025'!G272+Hoja5!G269</f>
        <v>51986.979999999996</v>
      </c>
      <c r="H272" s="745">
        <f>+'[2]MARZO 2025'!H272+'[2]FEBRERO 2025'!H272+'[2]ENERO 2025'!H272+Hoja5!H269</f>
        <v>154772.10999999999</v>
      </c>
      <c r="I272" s="745">
        <v>0</v>
      </c>
      <c r="J272" s="745">
        <f t="shared" si="9"/>
        <v>206759.08999999997</v>
      </c>
      <c r="K272" s="752"/>
    </row>
    <row r="273" spans="1:11" x14ac:dyDescent="0.2">
      <c r="A273" s="756">
        <v>2</v>
      </c>
      <c r="B273" s="748">
        <v>3</v>
      </c>
      <c r="C273" s="748">
        <v>6</v>
      </c>
      <c r="D273" s="748">
        <v>3</v>
      </c>
      <c r="E273" s="749" t="s">
        <v>625</v>
      </c>
      <c r="F273" s="753" t="s">
        <v>113</v>
      </c>
      <c r="G273" s="875">
        <f>+'[2]MARZO 2025'!G273+'[2]FEBRERO 2025'!G273+'[2]ENERO 2025'!G273+Hoja5!G270</f>
        <v>1261.1300000000001</v>
      </c>
      <c r="H273" s="875">
        <f>+'[2]MARZO 2025'!H273+'[2]FEBRERO 2025'!H273+'[2]ENERO 2025'!H273+Hoja5!H270</f>
        <v>87250.03</v>
      </c>
      <c r="I273" s="875">
        <v>0</v>
      </c>
      <c r="J273" s="875">
        <f t="shared" si="9"/>
        <v>88511.16</v>
      </c>
      <c r="K273" s="751">
        <f>J273/$J$25</f>
        <v>1.6744893037548295E-4</v>
      </c>
    </row>
    <row r="274" spans="1:11" x14ac:dyDescent="0.2">
      <c r="A274" s="756">
        <v>2</v>
      </c>
      <c r="B274" s="748">
        <v>3</v>
      </c>
      <c r="C274" s="748">
        <v>6</v>
      </c>
      <c r="D274" s="748">
        <v>3</v>
      </c>
      <c r="E274" s="749" t="s">
        <v>3842</v>
      </c>
      <c r="F274" s="747" t="s">
        <v>114</v>
      </c>
      <c r="G274" s="875">
        <f>+'[2]MARZO 2025'!G274+'[2]FEBRERO 2025'!G274+'[2]ENERO 2025'!G274+Hoja5!G271</f>
        <v>205350.09</v>
      </c>
      <c r="H274" s="875">
        <f>+'[2]MARZO 2025'!H274+'[2]FEBRERO 2025'!H274+'[2]ENERO 2025'!H274+Hoja5!H271</f>
        <v>0</v>
      </c>
      <c r="I274" s="875">
        <v>0</v>
      </c>
      <c r="J274" s="875">
        <f t="shared" si="9"/>
        <v>205350.09</v>
      </c>
      <c r="K274" s="751">
        <f>J274/$J$25</f>
        <v>3.8848946192784228E-4</v>
      </c>
    </row>
    <row r="275" spans="1:11" x14ac:dyDescent="0.2">
      <c r="A275" s="756">
        <v>2</v>
      </c>
      <c r="B275" s="748">
        <v>3</v>
      </c>
      <c r="C275" s="748">
        <v>6</v>
      </c>
      <c r="D275" s="748">
        <v>3</v>
      </c>
      <c r="E275" s="749" t="s">
        <v>3844</v>
      </c>
      <c r="F275" s="747" t="s">
        <v>3986</v>
      </c>
      <c r="G275" s="875">
        <f>+'[2]MARZO 2025'!G275+'[2]FEBRERO 2025'!G275+'[2]ENERO 2025'!G275+Hoja5!G272</f>
        <v>89011.640000000014</v>
      </c>
      <c r="H275" s="875">
        <f>+'[2]MARZO 2025'!H275+'[2]FEBRERO 2025'!H275+'[2]ENERO 2025'!H275+Hoja5!H272</f>
        <v>67522.080000000002</v>
      </c>
      <c r="I275" s="875">
        <v>0</v>
      </c>
      <c r="J275" s="875">
        <f t="shared" si="9"/>
        <v>156533.72000000003</v>
      </c>
      <c r="K275" s="751">
        <f>J275/$J$25</f>
        <v>2.9613671294891341E-4</v>
      </c>
    </row>
    <row r="276" spans="1:11" x14ac:dyDescent="0.2">
      <c r="A276" s="755">
        <v>2</v>
      </c>
      <c r="B276" s="744">
        <v>3</v>
      </c>
      <c r="C276" s="744">
        <v>6</v>
      </c>
      <c r="D276" s="744">
        <v>4</v>
      </c>
      <c r="E276" s="744"/>
      <c r="F276" s="743" t="s">
        <v>3987</v>
      </c>
      <c r="G276" s="745">
        <f>+'[2]MARZO 2025'!G276+'[2]FEBRERO 2025'!G276+'[2]ENERO 2025'!G276+Hoja5!G273</f>
        <v>12331</v>
      </c>
      <c r="H276" s="745">
        <f>+'[2]MARZO 2025'!H276+'[2]FEBRERO 2025'!H276+'[2]ENERO 2025'!H276+Hoja5!H273</f>
        <v>0</v>
      </c>
      <c r="I276" s="745">
        <v>0</v>
      </c>
      <c r="J276" s="745">
        <f t="shared" si="9"/>
        <v>12331</v>
      </c>
      <c r="K276" s="752"/>
    </row>
    <row r="277" spans="1:11" x14ac:dyDescent="0.2">
      <c r="A277" s="756">
        <v>2</v>
      </c>
      <c r="B277" s="748">
        <v>3</v>
      </c>
      <c r="C277" s="748">
        <v>6</v>
      </c>
      <c r="D277" s="748">
        <v>4</v>
      </c>
      <c r="E277" s="749" t="s">
        <v>2221</v>
      </c>
      <c r="F277" s="747" t="s">
        <v>3988</v>
      </c>
      <c r="G277" s="875">
        <f>+'[2]MARZO 2025'!G277+'[2]FEBRERO 2025'!G277+'[2]ENERO 2025'!G277+Hoja5!G274</f>
        <v>0</v>
      </c>
      <c r="H277" s="875">
        <f>+'[2]MARZO 2025'!H277+'[2]FEBRERO 2025'!H277+'[2]ENERO 2025'!H277+Hoja5!H274</f>
        <v>0</v>
      </c>
      <c r="I277" s="875">
        <v>0</v>
      </c>
      <c r="J277" s="875">
        <f t="shared" si="9"/>
        <v>0</v>
      </c>
      <c r="K277" s="751">
        <f t="shared" ref="K277:K283" si="10">J277/$J$25</f>
        <v>0</v>
      </c>
    </row>
    <row r="278" spans="1:11" x14ac:dyDescent="0.2">
      <c r="A278" s="756">
        <v>2</v>
      </c>
      <c r="B278" s="748">
        <v>3</v>
      </c>
      <c r="C278" s="748">
        <v>6</v>
      </c>
      <c r="D278" s="748">
        <v>4</v>
      </c>
      <c r="E278" s="749" t="s">
        <v>1733</v>
      </c>
      <c r="F278" s="747" t="s">
        <v>3989</v>
      </c>
      <c r="G278" s="875">
        <f>+'[2]MARZO 2025'!G278+'[2]FEBRERO 2025'!G278+'[2]ENERO 2025'!G278+Hoja5!G275</f>
        <v>66310.790000000008</v>
      </c>
      <c r="H278" s="875">
        <f>+'[2]MARZO 2025'!H278+'[2]FEBRERO 2025'!H278+'[2]ENERO 2025'!H278+Hoja5!H275</f>
        <v>0</v>
      </c>
      <c r="I278" s="875">
        <v>0</v>
      </c>
      <c r="J278" s="875">
        <f t="shared" si="9"/>
        <v>66310.790000000008</v>
      </c>
      <c r="K278" s="751">
        <f t="shared" si="10"/>
        <v>1.2544938805291074E-4</v>
      </c>
    </row>
    <row r="279" spans="1:11" x14ac:dyDescent="0.2">
      <c r="A279" s="756">
        <v>2</v>
      </c>
      <c r="B279" s="748">
        <v>3</v>
      </c>
      <c r="C279" s="748">
        <v>6</v>
      </c>
      <c r="D279" s="748">
        <v>4</v>
      </c>
      <c r="E279" s="749" t="s">
        <v>3839</v>
      </c>
      <c r="F279" s="747" t="s">
        <v>3990</v>
      </c>
      <c r="G279" s="875">
        <f>+'[2]MARZO 2025'!G279+'[2]FEBRERO 2025'!G279+'[2]ENERO 2025'!G279+Hoja5!G276</f>
        <v>0</v>
      </c>
      <c r="H279" s="875">
        <f>+'[2]MARZO 2025'!H279+'[2]FEBRERO 2025'!H279+'[2]ENERO 2025'!H279+Hoja5!H276</f>
        <v>0</v>
      </c>
      <c r="I279" s="875">
        <v>0</v>
      </c>
      <c r="J279" s="875">
        <f t="shared" si="9"/>
        <v>0</v>
      </c>
      <c r="K279" s="751">
        <f t="shared" si="10"/>
        <v>0</v>
      </c>
    </row>
    <row r="280" spans="1:11" x14ac:dyDescent="0.2">
      <c r="A280" s="756">
        <v>2</v>
      </c>
      <c r="B280" s="748">
        <v>3</v>
      </c>
      <c r="C280" s="748">
        <v>6</v>
      </c>
      <c r="D280" s="748">
        <v>4</v>
      </c>
      <c r="E280" s="749" t="s">
        <v>625</v>
      </c>
      <c r="F280" s="747" t="s">
        <v>3991</v>
      </c>
      <c r="G280" s="875">
        <f>+'[2]MARZO 2025'!G280+'[2]FEBRERO 2025'!G280+'[2]ENERO 2025'!G280+Hoja5!G277</f>
        <v>0</v>
      </c>
      <c r="H280" s="875">
        <f>+'[2]MARZO 2025'!H280+'[2]FEBRERO 2025'!H280+'[2]ENERO 2025'!H280+Hoja5!H277</f>
        <v>0</v>
      </c>
      <c r="I280" s="875">
        <v>0</v>
      </c>
      <c r="J280" s="875">
        <f t="shared" si="9"/>
        <v>0</v>
      </c>
      <c r="K280" s="751">
        <f t="shared" si="10"/>
        <v>0</v>
      </c>
    </row>
    <row r="281" spans="1:11" x14ac:dyDescent="0.2">
      <c r="A281" s="756">
        <v>2</v>
      </c>
      <c r="B281" s="748">
        <v>3</v>
      </c>
      <c r="C281" s="748">
        <v>6</v>
      </c>
      <c r="D281" s="748">
        <v>4</v>
      </c>
      <c r="E281" s="749" t="s">
        <v>3842</v>
      </c>
      <c r="F281" s="747" t="s">
        <v>3992</v>
      </c>
      <c r="G281" s="875">
        <f>+'[2]MARZO 2025'!G281+'[2]FEBRERO 2025'!G281+'[2]ENERO 2025'!G281+Hoja5!G278</f>
        <v>0</v>
      </c>
      <c r="H281" s="875">
        <f>+'[2]MARZO 2025'!H281+'[2]FEBRERO 2025'!H281+'[2]ENERO 2025'!H281+Hoja5!H278</f>
        <v>0</v>
      </c>
      <c r="I281" s="875">
        <v>0</v>
      </c>
      <c r="J281" s="875">
        <f t="shared" si="9"/>
        <v>0</v>
      </c>
      <c r="K281" s="751">
        <f t="shared" si="10"/>
        <v>0</v>
      </c>
    </row>
    <row r="282" spans="1:11" x14ac:dyDescent="0.2">
      <c r="A282" s="756">
        <v>2</v>
      </c>
      <c r="B282" s="748">
        <v>3</v>
      </c>
      <c r="C282" s="748">
        <v>6</v>
      </c>
      <c r="D282" s="748">
        <v>4</v>
      </c>
      <c r="E282" s="749" t="s">
        <v>3844</v>
      </c>
      <c r="F282" s="747" t="s">
        <v>3993</v>
      </c>
      <c r="G282" s="875">
        <f>+'[2]MARZO 2025'!G282+'[2]FEBRERO 2025'!G282+'[2]ENERO 2025'!G282+Hoja5!G279</f>
        <v>0</v>
      </c>
      <c r="H282" s="875">
        <f>+'[2]MARZO 2025'!H282+'[2]FEBRERO 2025'!H282+'[2]ENERO 2025'!H282+Hoja5!H279</f>
        <v>0</v>
      </c>
      <c r="I282" s="875">
        <v>0</v>
      </c>
      <c r="J282" s="875">
        <f t="shared" si="9"/>
        <v>0</v>
      </c>
      <c r="K282" s="751">
        <f t="shared" si="10"/>
        <v>0</v>
      </c>
    </row>
    <row r="283" spans="1:11" x14ac:dyDescent="0.2">
      <c r="A283" s="756">
        <v>2</v>
      </c>
      <c r="B283" s="748">
        <v>3</v>
      </c>
      <c r="C283" s="748">
        <v>6</v>
      </c>
      <c r="D283" s="748">
        <v>4</v>
      </c>
      <c r="E283" s="749" t="s">
        <v>3863</v>
      </c>
      <c r="F283" s="747" t="s">
        <v>3994</v>
      </c>
      <c r="G283" s="875">
        <f>+'[2]MARZO 2025'!G283+'[2]FEBRERO 2025'!G283+'[2]ENERO 2025'!G283+Hoja5!G280</f>
        <v>0</v>
      </c>
      <c r="H283" s="875">
        <f>+'[2]MARZO 2025'!H283+'[2]FEBRERO 2025'!H283+'[2]ENERO 2025'!H283+Hoja5!H280</f>
        <v>0</v>
      </c>
      <c r="I283" s="875">
        <v>0</v>
      </c>
      <c r="J283" s="875">
        <f t="shared" ref="J283:J348" si="11">SUM(G283:I283)</f>
        <v>0</v>
      </c>
      <c r="K283" s="751">
        <f t="shared" si="10"/>
        <v>0</v>
      </c>
    </row>
    <row r="284" spans="1:11" x14ac:dyDescent="0.2">
      <c r="A284" s="755">
        <v>2</v>
      </c>
      <c r="B284" s="744">
        <v>3</v>
      </c>
      <c r="C284" s="744">
        <v>6</v>
      </c>
      <c r="D284" s="744">
        <v>9</v>
      </c>
      <c r="E284" s="744"/>
      <c r="F284" s="743" t="s">
        <v>3995</v>
      </c>
      <c r="G284" s="745">
        <f>+'[2]MARZO 2025'!G284+'[2]FEBRERO 2025'!G284+'[2]ENERO 2025'!G284+Hoja5!G281</f>
        <v>0</v>
      </c>
      <c r="H284" s="745">
        <f>+'[2]MARZO 2025'!H284+'[2]FEBRERO 2025'!H284+'[2]ENERO 2025'!H284+Hoja5!H281</f>
        <v>0</v>
      </c>
      <c r="I284" s="745">
        <v>0</v>
      </c>
      <c r="J284" s="745">
        <f t="shared" si="11"/>
        <v>0</v>
      </c>
      <c r="K284" s="752"/>
    </row>
    <row r="285" spans="1:11" x14ac:dyDescent="0.2">
      <c r="A285" s="756">
        <v>2</v>
      </c>
      <c r="B285" s="748">
        <v>3</v>
      </c>
      <c r="C285" s="748">
        <v>6</v>
      </c>
      <c r="D285" s="748">
        <v>9</v>
      </c>
      <c r="E285" s="749" t="s">
        <v>2221</v>
      </c>
      <c r="F285" s="747" t="s">
        <v>3996</v>
      </c>
      <c r="G285" s="875">
        <f>+'[2]MARZO 2025'!G285+'[2]FEBRERO 2025'!G285+'[2]ENERO 2025'!G285+Hoja5!G282</f>
        <v>0</v>
      </c>
      <c r="H285" s="875">
        <f>+'[2]MARZO 2025'!H285+'[2]FEBRERO 2025'!H285+'[2]ENERO 2025'!H285+Hoja5!H282</f>
        <v>0</v>
      </c>
      <c r="I285" s="875">
        <v>0</v>
      </c>
      <c r="J285" s="875">
        <f t="shared" si="11"/>
        <v>0</v>
      </c>
      <c r="K285" s="751">
        <f>J285/$J$25</f>
        <v>0</v>
      </c>
    </row>
    <row r="286" spans="1:11" ht="25.5" x14ac:dyDescent="0.2">
      <c r="A286" s="741">
        <v>2</v>
      </c>
      <c r="B286" s="742">
        <v>3</v>
      </c>
      <c r="C286" s="742">
        <v>7</v>
      </c>
      <c r="D286" s="742"/>
      <c r="E286" s="742"/>
      <c r="F286" s="763" t="s">
        <v>3997</v>
      </c>
      <c r="G286" s="874">
        <f>+'[2]MARZO 2025'!G286+'[2]FEBRERO 2025'!G286+'[2]ENERO 2025'!G286+Hoja5!G283</f>
        <v>8910101.959999999</v>
      </c>
      <c r="H286" s="874">
        <f>+'[2]MARZO 2025'!H286+'[2]FEBRERO 2025'!H286+'[2]ENERO 2025'!H286+Hoja5!H283</f>
        <v>1660334.56</v>
      </c>
      <c r="I286" s="874">
        <v>0</v>
      </c>
      <c r="J286" s="874">
        <f t="shared" si="11"/>
        <v>10570436.52</v>
      </c>
      <c r="K286" s="740"/>
    </row>
    <row r="287" spans="1:11" x14ac:dyDescent="0.2">
      <c r="A287" s="755">
        <v>2</v>
      </c>
      <c r="B287" s="744">
        <v>3</v>
      </c>
      <c r="C287" s="744">
        <v>7</v>
      </c>
      <c r="D287" s="744">
        <v>1</v>
      </c>
      <c r="E287" s="744"/>
      <c r="F287" s="743" t="s">
        <v>2368</v>
      </c>
      <c r="G287" s="745">
        <f>+'[2]MARZO 2025'!G287+'[2]FEBRERO 2025'!G287+'[2]ENERO 2025'!G287+Hoja5!G284</f>
        <v>555829</v>
      </c>
      <c r="H287" s="745">
        <f>+'[2]MARZO 2025'!H287+'[2]FEBRERO 2025'!H287+'[2]ENERO 2025'!H287+Hoja5!H284</f>
        <v>690795.97</v>
      </c>
      <c r="I287" s="745">
        <v>0</v>
      </c>
      <c r="J287" s="745">
        <f t="shared" si="11"/>
        <v>1246624.97</v>
      </c>
      <c r="K287" s="752"/>
    </row>
    <row r="288" spans="1:11" x14ac:dyDescent="0.2">
      <c r="A288" s="756">
        <v>2</v>
      </c>
      <c r="B288" s="748">
        <v>3</v>
      </c>
      <c r="C288" s="748">
        <v>7</v>
      </c>
      <c r="D288" s="748">
        <v>1</v>
      </c>
      <c r="E288" s="749" t="s">
        <v>2221</v>
      </c>
      <c r="F288" s="747" t="s">
        <v>116</v>
      </c>
      <c r="G288" s="875">
        <f>+'[2]MARZO 2025'!G288+'[2]FEBRERO 2025'!G288+'[2]ENERO 2025'!G288+Hoja5!G285</f>
        <v>555829</v>
      </c>
      <c r="H288" s="875">
        <f>+'[2]MARZO 2025'!H288+'[2]FEBRERO 2025'!H288+'[2]ENERO 2025'!H288+Hoja5!H285</f>
        <v>516000</v>
      </c>
      <c r="I288" s="875">
        <v>0</v>
      </c>
      <c r="J288" s="875">
        <f t="shared" si="11"/>
        <v>1071829</v>
      </c>
      <c r="K288" s="751">
        <f t="shared" ref="K288:K294" si="12">J288/$J$25</f>
        <v>2.0277287021820017E-3</v>
      </c>
    </row>
    <row r="289" spans="1:11" x14ac:dyDescent="0.2">
      <c r="A289" s="756">
        <v>2</v>
      </c>
      <c r="B289" s="748">
        <v>3</v>
      </c>
      <c r="C289" s="748">
        <v>7</v>
      </c>
      <c r="D289" s="748">
        <v>1</v>
      </c>
      <c r="E289" s="749" t="s">
        <v>1733</v>
      </c>
      <c r="F289" s="747" t="s">
        <v>117</v>
      </c>
      <c r="G289" s="875">
        <f>+'[2]MARZO 2025'!G289+'[2]FEBRERO 2025'!G289+'[2]ENERO 2025'!G289+Hoja5!G286</f>
        <v>2759191.89</v>
      </c>
      <c r="H289" s="875">
        <f>+'[2]MARZO 2025'!H289+'[2]FEBRERO 2025'!H289+'[2]ENERO 2025'!H289+Hoja5!H286</f>
        <v>226537</v>
      </c>
      <c r="I289" s="875">
        <v>0</v>
      </c>
      <c r="J289" s="875">
        <f t="shared" si="11"/>
        <v>2985728.89</v>
      </c>
      <c r="K289" s="751">
        <f t="shared" si="12"/>
        <v>5.6485205822822569E-3</v>
      </c>
    </row>
    <row r="290" spans="1:11" x14ac:dyDescent="0.2">
      <c r="A290" s="756">
        <v>2</v>
      </c>
      <c r="B290" s="748">
        <v>3</v>
      </c>
      <c r="C290" s="748">
        <v>7</v>
      </c>
      <c r="D290" s="748">
        <v>1</v>
      </c>
      <c r="E290" s="749" t="s">
        <v>3839</v>
      </c>
      <c r="F290" s="747" t="s">
        <v>3998</v>
      </c>
      <c r="G290" s="875">
        <f>+'[2]MARZO 2025'!G290+'[2]FEBRERO 2025'!G290+'[2]ENERO 2025'!G290+Hoja5!G287</f>
        <v>0</v>
      </c>
      <c r="H290" s="875">
        <f>+'[2]MARZO 2025'!H290+'[2]FEBRERO 2025'!H290+'[2]ENERO 2025'!H290+Hoja5!H287</f>
        <v>193879</v>
      </c>
      <c r="I290" s="875">
        <v>0</v>
      </c>
      <c r="J290" s="875">
        <f t="shared" si="11"/>
        <v>193879</v>
      </c>
      <c r="K290" s="751">
        <f t="shared" si="12"/>
        <v>3.6678799794588905E-4</v>
      </c>
    </row>
    <row r="291" spans="1:11" x14ac:dyDescent="0.2">
      <c r="A291" s="756">
        <v>2</v>
      </c>
      <c r="B291" s="748">
        <v>3</v>
      </c>
      <c r="C291" s="748">
        <v>7</v>
      </c>
      <c r="D291" s="748">
        <v>1</v>
      </c>
      <c r="E291" s="749" t="s">
        <v>625</v>
      </c>
      <c r="F291" s="747" t="s">
        <v>118</v>
      </c>
      <c r="G291" s="875">
        <f>+'[2]MARZO 2025'!G291+'[2]FEBRERO 2025'!G291+'[2]ENERO 2025'!G291+Hoja5!G288</f>
        <v>0</v>
      </c>
      <c r="H291" s="875">
        <f>+'[2]MARZO 2025'!H291+'[2]FEBRERO 2025'!H291+'[2]ENERO 2025'!H291+Hoja5!H288</f>
        <v>346795.97</v>
      </c>
      <c r="I291" s="875">
        <v>0</v>
      </c>
      <c r="J291" s="875">
        <f t="shared" si="11"/>
        <v>346795.97</v>
      </c>
      <c r="K291" s="751">
        <f t="shared" si="12"/>
        <v>6.5608239949660658E-4</v>
      </c>
    </row>
    <row r="292" spans="1:11" x14ac:dyDescent="0.2">
      <c r="A292" s="756">
        <v>2</v>
      </c>
      <c r="B292" s="748">
        <v>3</v>
      </c>
      <c r="C292" s="748">
        <v>7</v>
      </c>
      <c r="D292" s="748">
        <v>1</v>
      </c>
      <c r="E292" s="749" t="s">
        <v>3842</v>
      </c>
      <c r="F292" s="747" t="s">
        <v>3999</v>
      </c>
      <c r="G292" s="875">
        <f>+'[2]MARZO 2025'!G292+'[2]FEBRERO 2025'!G292+'[2]ENERO 2025'!G292+Hoja5!G289</f>
        <v>0</v>
      </c>
      <c r="H292" s="875">
        <f>+'[2]MARZO 2025'!H292+'[2]FEBRERO 2025'!H292+'[2]ENERO 2025'!H292+Hoja5!H289</f>
        <v>0</v>
      </c>
      <c r="I292" s="875">
        <v>0</v>
      </c>
      <c r="J292" s="875">
        <f t="shared" si="11"/>
        <v>0</v>
      </c>
      <c r="K292" s="751">
        <f t="shared" si="12"/>
        <v>0</v>
      </c>
    </row>
    <row r="293" spans="1:11" x14ac:dyDescent="0.2">
      <c r="A293" s="756">
        <v>2</v>
      </c>
      <c r="B293" s="748">
        <v>3</v>
      </c>
      <c r="C293" s="748">
        <v>7</v>
      </c>
      <c r="D293" s="748">
        <v>1</v>
      </c>
      <c r="E293" s="749" t="s">
        <v>3844</v>
      </c>
      <c r="F293" s="747" t="s">
        <v>4000</v>
      </c>
      <c r="G293" s="875">
        <f>+'[2]MARZO 2025'!G293+'[2]FEBRERO 2025'!G293+'[2]ENERO 2025'!G293+Hoja5!G290</f>
        <v>0</v>
      </c>
      <c r="H293" s="875">
        <f>+'[2]MARZO 2025'!H293+'[2]FEBRERO 2025'!H293+'[2]ENERO 2025'!H293+Hoja5!H290</f>
        <v>0</v>
      </c>
      <c r="I293" s="875">
        <v>0</v>
      </c>
      <c r="J293" s="875">
        <f t="shared" si="11"/>
        <v>0</v>
      </c>
      <c r="K293" s="751">
        <f t="shared" si="12"/>
        <v>0</v>
      </c>
    </row>
    <row r="294" spans="1:11" x14ac:dyDescent="0.2">
      <c r="A294" s="756">
        <v>2</v>
      </c>
      <c r="B294" s="748">
        <v>3</v>
      </c>
      <c r="C294" s="748">
        <v>7</v>
      </c>
      <c r="D294" s="748">
        <v>1</v>
      </c>
      <c r="E294" s="749" t="s">
        <v>3863</v>
      </c>
      <c r="F294" s="747" t="s">
        <v>4001</v>
      </c>
      <c r="G294" s="875">
        <f>+'[2]MARZO 2025'!G294+'[2]FEBRERO 2025'!G294+'[2]ENERO 2025'!G294+Hoja5!G291</f>
        <v>0</v>
      </c>
      <c r="H294" s="875">
        <f>+'[2]MARZO 2025'!H294+'[2]FEBRERO 2025'!H294+'[2]ENERO 2025'!H294+Hoja5!H291</f>
        <v>21879</v>
      </c>
      <c r="I294" s="875">
        <v>0</v>
      </c>
      <c r="J294" s="875">
        <f t="shared" si="11"/>
        <v>21879</v>
      </c>
      <c r="K294" s="751">
        <f t="shared" si="12"/>
        <v>4.1391561783680058E-5</v>
      </c>
    </row>
    <row r="295" spans="1:11" x14ac:dyDescent="0.2">
      <c r="A295" s="755">
        <v>2</v>
      </c>
      <c r="B295" s="744">
        <v>3</v>
      </c>
      <c r="C295" s="744">
        <v>7</v>
      </c>
      <c r="D295" s="744">
        <v>2</v>
      </c>
      <c r="E295" s="744"/>
      <c r="F295" s="743" t="s">
        <v>2309</v>
      </c>
      <c r="G295" s="745">
        <f>+'[2]MARZO 2025'!G295+'[2]FEBRERO 2025'!G295+'[2]ENERO 2025'!G295+Hoja5!G292</f>
        <v>8354272.96</v>
      </c>
      <c r="H295" s="745">
        <f>+'[2]MARZO 2025'!H295+'[2]FEBRERO 2025'!H295+'[2]ENERO 2025'!H295+Hoja5!H292</f>
        <v>969538.59</v>
      </c>
      <c r="I295" s="745">
        <v>0</v>
      </c>
      <c r="J295" s="745">
        <f t="shared" si="11"/>
        <v>9323811.5500000007</v>
      </c>
      <c r="K295" s="752"/>
    </row>
    <row r="296" spans="1:11" x14ac:dyDescent="0.2">
      <c r="A296" s="756">
        <v>2</v>
      </c>
      <c r="B296" s="748">
        <v>3</v>
      </c>
      <c r="C296" s="748">
        <v>7</v>
      </c>
      <c r="D296" s="748">
        <v>2</v>
      </c>
      <c r="E296" s="749" t="s">
        <v>2221</v>
      </c>
      <c r="F296" s="747" t="s">
        <v>4002</v>
      </c>
      <c r="G296" s="875">
        <f>+'[2]MARZO 2025'!G296+'[2]FEBRERO 2025'!G296+'[2]ENERO 2025'!G296+Hoja5!G293</f>
        <v>0</v>
      </c>
      <c r="H296" s="875">
        <f>+'[2]MARZO 2025'!H296+'[2]FEBRERO 2025'!H296+'[2]ENERO 2025'!H296+Hoja5!H293</f>
        <v>0</v>
      </c>
      <c r="I296" s="875">
        <v>0</v>
      </c>
      <c r="J296" s="875">
        <f t="shared" si="11"/>
        <v>0</v>
      </c>
      <c r="K296" s="751">
        <f t="shared" ref="K296:K302" si="13">J296/$J$25</f>
        <v>0</v>
      </c>
    </row>
    <row r="297" spans="1:11" x14ac:dyDescent="0.2">
      <c r="A297" s="756">
        <v>2</v>
      </c>
      <c r="B297" s="748">
        <v>3</v>
      </c>
      <c r="C297" s="748">
        <v>7</v>
      </c>
      <c r="D297" s="748">
        <v>2</v>
      </c>
      <c r="E297" s="749" t="s">
        <v>1733</v>
      </c>
      <c r="F297" s="747" t="s">
        <v>4003</v>
      </c>
      <c r="G297" s="875">
        <f>+'[2]MARZO 2025'!G297+'[2]FEBRERO 2025'!G297+'[2]ENERO 2025'!G297+Hoja5!G294</f>
        <v>0</v>
      </c>
      <c r="H297" s="875">
        <f>+'[2]MARZO 2025'!H297+'[2]FEBRERO 2025'!H297+'[2]ENERO 2025'!H297+Hoja5!H294</f>
        <v>0</v>
      </c>
      <c r="I297" s="875">
        <v>0</v>
      </c>
      <c r="J297" s="875">
        <f t="shared" si="11"/>
        <v>0</v>
      </c>
      <c r="K297" s="751">
        <f t="shared" si="13"/>
        <v>0</v>
      </c>
    </row>
    <row r="298" spans="1:11" x14ac:dyDescent="0.2">
      <c r="A298" s="756">
        <v>2</v>
      </c>
      <c r="B298" s="748">
        <v>3</v>
      </c>
      <c r="C298" s="748">
        <v>7</v>
      </c>
      <c r="D298" s="748">
        <v>2</v>
      </c>
      <c r="E298" s="749" t="s">
        <v>3839</v>
      </c>
      <c r="F298" s="747" t="s">
        <v>4004</v>
      </c>
      <c r="G298" s="875">
        <f>+'[2]MARZO 2025'!G298+'[2]FEBRERO 2025'!G298+'[2]ENERO 2025'!G298+Hoja5!G295</f>
        <v>10099812.84</v>
      </c>
      <c r="H298" s="875">
        <f>+'[2]MARZO 2025'!H298+'[2]FEBRERO 2025'!H298+'[2]ENERO 2025'!H298+Hoja5!H295</f>
        <v>58533</v>
      </c>
      <c r="I298" s="875">
        <v>0</v>
      </c>
      <c r="J298" s="875">
        <f t="shared" si="11"/>
        <v>10158345.84</v>
      </c>
      <c r="K298" s="751">
        <f t="shared" si="13"/>
        <v>1.9217962404879076E-2</v>
      </c>
    </row>
    <row r="299" spans="1:11" x14ac:dyDescent="0.2">
      <c r="A299" s="756">
        <v>2</v>
      </c>
      <c r="B299" s="748">
        <v>3</v>
      </c>
      <c r="C299" s="748">
        <v>7</v>
      </c>
      <c r="D299" s="748">
        <v>2</v>
      </c>
      <c r="E299" s="749" t="s">
        <v>625</v>
      </c>
      <c r="F299" s="747" t="s">
        <v>4005</v>
      </c>
      <c r="G299" s="875">
        <f>+'[2]MARZO 2025'!G299+'[2]FEBRERO 2025'!G299+'[2]ENERO 2025'!G299+Hoja5!G296</f>
        <v>2124</v>
      </c>
      <c r="H299" s="875">
        <f>+'[2]MARZO 2025'!H299+'[2]FEBRERO 2025'!H299+'[2]ENERO 2025'!H299+Hoja5!H296</f>
        <v>0</v>
      </c>
      <c r="I299" s="875">
        <v>0</v>
      </c>
      <c r="J299" s="875">
        <f t="shared" si="11"/>
        <v>2124</v>
      </c>
      <c r="K299" s="751">
        <f t="shared" si="13"/>
        <v>4.0182676186542552E-6</v>
      </c>
    </row>
    <row r="300" spans="1:11" x14ac:dyDescent="0.2">
      <c r="A300" s="756">
        <v>2</v>
      </c>
      <c r="B300" s="748">
        <v>3</v>
      </c>
      <c r="C300" s="748">
        <v>7</v>
      </c>
      <c r="D300" s="748">
        <v>2</v>
      </c>
      <c r="E300" s="749" t="s">
        <v>3842</v>
      </c>
      <c r="F300" s="747" t="s">
        <v>4006</v>
      </c>
      <c r="G300" s="875">
        <f>+'[2]MARZO 2025'!G300+'[2]FEBRERO 2025'!G300+'[2]ENERO 2025'!G300+Hoja5!G297</f>
        <v>0</v>
      </c>
      <c r="H300" s="875">
        <f>+'[2]MARZO 2025'!H300+'[2]FEBRERO 2025'!H300+'[2]ENERO 2025'!H300+Hoja5!H297</f>
        <v>0</v>
      </c>
      <c r="I300" s="875">
        <v>0</v>
      </c>
      <c r="J300" s="875">
        <f t="shared" si="11"/>
        <v>0</v>
      </c>
      <c r="K300" s="751">
        <f t="shared" si="13"/>
        <v>0</v>
      </c>
    </row>
    <row r="301" spans="1:11" ht="25.5" x14ac:dyDescent="0.2">
      <c r="A301" s="747">
        <v>2</v>
      </c>
      <c r="B301" s="748">
        <v>3</v>
      </c>
      <c r="C301" s="748">
        <v>7</v>
      </c>
      <c r="D301" s="748">
        <v>2</v>
      </c>
      <c r="E301" s="749" t="s">
        <v>3844</v>
      </c>
      <c r="F301" s="764" t="s">
        <v>4007</v>
      </c>
      <c r="G301" s="875">
        <f>+'[2]MARZO 2025'!G301+'[2]FEBRERO 2025'!G301+'[2]ENERO 2025'!G301+Hoja5!G298</f>
        <v>2475761.12</v>
      </c>
      <c r="H301" s="875">
        <f>+'[2]MARZO 2025'!H301+'[2]FEBRERO 2025'!H301+'[2]ENERO 2025'!H301+Hoja5!H298</f>
        <v>32658</v>
      </c>
      <c r="I301" s="875">
        <v>0</v>
      </c>
      <c r="J301" s="875">
        <f t="shared" si="11"/>
        <v>2508419.12</v>
      </c>
      <c r="K301" s="751">
        <f t="shared" si="13"/>
        <v>4.745526988657817E-3</v>
      </c>
    </row>
    <row r="302" spans="1:11" x14ac:dyDescent="0.2">
      <c r="A302" s="747">
        <v>2</v>
      </c>
      <c r="B302" s="748">
        <v>3</v>
      </c>
      <c r="C302" s="748">
        <v>7</v>
      </c>
      <c r="D302" s="748">
        <v>2</v>
      </c>
      <c r="E302" s="749">
        <v>99</v>
      </c>
      <c r="F302" s="764" t="s">
        <v>4008</v>
      </c>
      <c r="G302" s="875">
        <f>+'[2]MARZO 2025'!G302+'[2]FEBRERO 2025'!G302+'[2]ENERO 2025'!G302+Hoja5!G299</f>
        <v>809997.18</v>
      </c>
      <c r="H302" s="875">
        <f>+'[2]MARZO 2025'!H302+'[2]FEBRERO 2025'!H302+'[2]ENERO 2025'!H302+Hoja5!H299</f>
        <v>943663.59</v>
      </c>
      <c r="I302" s="875">
        <v>0</v>
      </c>
      <c r="J302" s="875">
        <f t="shared" si="11"/>
        <v>1753660.77</v>
      </c>
      <c r="K302" s="751">
        <f t="shared" si="13"/>
        <v>3.3176451441597398E-3</v>
      </c>
    </row>
    <row r="303" spans="1:11" ht="25.5" x14ac:dyDescent="0.2">
      <c r="A303" s="741">
        <v>2</v>
      </c>
      <c r="B303" s="742">
        <v>3</v>
      </c>
      <c r="C303" s="742">
        <v>8</v>
      </c>
      <c r="D303" s="742"/>
      <c r="E303" s="742"/>
      <c r="F303" s="763" t="s">
        <v>4009</v>
      </c>
      <c r="G303" s="874">
        <f>+'[2]MARZO 2025'!G303+'[2]FEBRERO 2025'!G303+'[2]ENERO 2025'!G303+Hoja5!G300</f>
        <v>0</v>
      </c>
      <c r="H303" s="874">
        <f>+'[2]MARZO 2025'!H303+'[2]FEBRERO 2025'!H303+'[2]ENERO 2025'!H303+Hoja5!H300</f>
        <v>0</v>
      </c>
      <c r="I303" s="874">
        <v>0</v>
      </c>
      <c r="J303" s="874">
        <f t="shared" si="11"/>
        <v>0</v>
      </c>
      <c r="K303" s="740"/>
    </row>
    <row r="304" spans="1:11" x14ac:dyDescent="0.2">
      <c r="A304" s="743">
        <v>2</v>
      </c>
      <c r="B304" s="744">
        <v>3</v>
      </c>
      <c r="C304" s="744">
        <v>8</v>
      </c>
      <c r="D304" s="744">
        <v>1</v>
      </c>
      <c r="E304" s="744"/>
      <c r="F304" s="743" t="s">
        <v>4010</v>
      </c>
      <c r="G304" s="745">
        <f>+'[2]MARZO 2025'!G304+'[2]FEBRERO 2025'!G304+'[2]ENERO 2025'!G304+Hoja5!G301</f>
        <v>0</v>
      </c>
      <c r="H304" s="745">
        <f>+'[2]MARZO 2025'!H304+'[2]FEBRERO 2025'!H304+'[2]ENERO 2025'!H304+Hoja5!H301</f>
        <v>0</v>
      </c>
      <c r="I304" s="745">
        <v>0</v>
      </c>
      <c r="J304" s="745">
        <f t="shared" si="11"/>
        <v>0</v>
      </c>
      <c r="K304" s="752"/>
    </row>
    <row r="305" spans="1:11" x14ac:dyDescent="0.2">
      <c r="A305" s="747">
        <v>2</v>
      </c>
      <c r="B305" s="748">
        <v>3</v>
      </c>
      <c r="C305" s="748">
        <v>8</v>
      </c>
      <c r="D305" s="748">
        <v>1</v>
      </c>
      <c r="E305" s="749" t="s">
        <v>2221</v>
      </c>
      <c r="F305" s="747" t="s">
        <v>4010</v>
      </c>
      <c r="G305" s="875">
        <f>+'[2]MARZO 2025'!G305+'[2]FEBRERO 2025'!G305+'[2]ENERO 2025'!G305+Hoja5!G302</f>
        <v>484961.6</v>
      </c>
      <c r="H305" s="875">
        <f>+'[2]MARZO 2025'!H305+'[2]FEBRERO 2025'!H305+'[2]ENERO 2025'!H305+Hoja5!H302</f>
        <v>0</v>
      </c>
      <c r="I305" s="875">
        <v>0</v>
      </c>
      <c r="J305" s="875">
        <f t="shared" si="11"/>
        <v>484961.6</v>
      </c>
      <c r="K305" s="751">
        <f>J305/$J$25</f>
        <v>9.1746962974141111E-4</v>
      </c>
    </row>
    <row r="306" spans="1:11" ht="25.5" x14ac:dyDescent="0.2">
      <c r="A306" s="743">
        <v>2</v>
      </c>
      <c r="B306" s="744">
        <v>3</v>
      </c>
      <c r="C306" s="744">
        <v>8</v>
      </c>
      <c r="D306" s="744">
        <v>2</v>
      </c>
      <c r="E306" s="744"/>
      <c r="F306" s="762" t="s">
        <v>4011</v>
      </c>
      <c r="G306" s="745">
        <f>+'[2]MARZO 2025'!G306+'[2]FEBRERO 2025'!G306+'[2]ENERO 2025'!G306+Hoja5!G303</f>
        <v>0</v>
      </c>
      <c r="H306" s="745">
        <f>+'[2]MARZO 2025'!H306+'[2]FEBRERO 2025'!H306+'[2]ENERO 2025'!H306+Hoja5!H303</f>
        <v>0</v>
      </c>
      <c r="I306" s="745">
        <v>0</v>
      </c>
      <c r="J306" s="745">
        <f t="shared" si="11"/>
        <v>0</v>
      </c>
      <c r="K306" s="752"/>
    </row>
    <row r="307" spans="1:11" ht="25.5" x14ac:dyDescent="0.2">
      <c r="A307" s="747">
        <v>2</v>
      </c>
      <c r="B307" s="748">
        <v>3</v>
      </c>
      <c r="C307" s="748">
        <v>8</v>
      </c>
      <c r="D307" s="748">
        <v>2</v>
      </c>
      <c r="E307" s="749" t="s">
        <v>2221</v>
      </c>
      <c r="F307" s="753" t="s">
        <v>4011</v>
      </c>
      <c r="G307" s="875">
        <f>+'[2]MARZO 2025'!G307+'[2]FEBRERO 2025'!G307+'[2]ENERO 2025'!G307+Hoja5!G304</f>
        <v>0</v>
      </c>
      <c r="H307" s="875">
        <f>+'[2]MARZO 2025'!H307+'[2]FEBRERO 2025'!H307+'[2]ENERO 2025'!H307+Hoja5!H304</f>
        <v>0</v>
      </c>
      <c r="I307" s="875">
        <v>0</v>
      </c>
      <c r="J307" s="875">
        <f t="shared" si="11"/>
        <v>0</v>
      </c>
      <c r="K307" s="751">
        <f>J307/$J$25</f>
        <v>0</v>
      </c>
    </row>
    <row r="308" spans="1:11" x14ac:dyDescent="0.2">
      <c r="A308" s="741">
        <v>2</v>
      </c>
      <c r="B308" s="742">
        <v>3</v>
      </c>
      <c r="C308" s="742">
        <v>9</v>
      </c>
      <c r="D308" s="742"/>
      <c r="E308" s="742"/>
      <c r="F308" s="741" t="s">
        <v>4012</v>
      </c>
      <c r="G308" s="874">
        <f>+'[2]MARZO 2025'!G308+'[2]FEBRERO 2025'!G308+'[2]ENERO 2025'!G308+Hoja5!G305</f>
        <v>20497065.890000001</v>
      </c>
      <c r="H308" s="874">
        <f>+'[2]MARZO 2025'!H308+'[2]FEBRERO 2025'!H308+'[2]ENERO 2025'!H308+Hoja5!H305</f>
        <v>2460841.75</v>
      </c>
      <c r="I308" s="874">
        <v>0</v>
      </c>
      <c r="J308" s="874">
        <f t="shared" si="11"/>
        <v>22957907.640000001</v>
      </c>
      <c r="K308" s="740"/>
    </row>
    <row r="309" spans="1:11" x14ac:dyDescent="0.2">
      <c r="A309" s="755">
        <v>2</v>
      </c>
      <c r="B309" s="744">
        <v>3</v>
      </c>
      <c r="C309" s="744">
        <v>9</v>
      </c>
      <c r="D309" s="744">
        <v>1</v>
      </c>
      <c r="E309" s="744"/>
      <c r="F309" s="743" t="s">
        <v>121</v>
      </c>
      <c r="G309" s="745">
        <f>+'[2]MARZO 2025'!G309+'[2]FEBRERO 2025'!G309+'[2]ENERO 2025'!G309+Hoja5!G306</f>
        <v>1476859.13</v>
      </c>
      <c r="H309" s="745">
        <f>+'[2]MARZO 2025'!H309+'[2]FEBRERO 2025'!H309+'[2]ENERO 2025'!H309+Hoja5!H306</f>
        <v>0</v>
      </c>
      <c r="I309" s="745">
        <v>0</v>
      </c>
      <c r="J309" s="745">
        <f>SUM(G309:I309)</f>
        <v>1476859.13</v>
      </c>
      <c r="K309" s="752"/>
    </row>
    <row r="310" spans="1:11" x14ac:dyDescent="0.2">
      <c r="A310" s="756">
        <v>2</v>
      </c>
      <c r="B310" s="748">
        <v>3</v>
      </c>
      <c r="C310" s="748">
        <v>9</v>
      </c>
      <c r="D310" s="748">
        <v>1</v>
      </c>
      <c r="E310" s="749" t="s">
        <v>2221</v>
      </c>
      <c r="F310" s="747" t="s">
        <v>2403</v>
      </c>
      <c r="G310" s="875">
        <f>+'[2]MARZO 2025'!G310+'[2]FEBRERO 2025'!G310+'[2]ENERO 2025'!G310+Hoja5!G307</f>
        <v>1476859.13</v>
      </c>
      <c r="H310" s="875">
        <f>+'[2]MARZO 2025'!H310+'[2]FEBRERO 2025'!H310+'[2]ENERO 2025'!H310+Hoja5!H307</f>
        <v>0</v>
      </c>
      <c r="I310" s="875">
        <v>0</v>
      </c>
      <c r="J310" s="875">
        <f t="shared" si="11"/>
        <v>1476859.13</v>
      </c>
      <c r="K310" s="751">
        <f>J310/$J$25</f>
        <v>2.7939808000908167E-3</v>
      </c>
    </row>
    <row r="311" spans="1:11" x14ac:dyDescent="0.2">
      <c r="A311" s="756">
        <v>2</v>
      </c>
      <c r="B311" s="748">
        <v>3</v>
      </c>
      <c r="C311" s="748">
        <v>9</v>
      </c>
      <c r="D311" s="748">
        <v>1</v>
      </c>
      <c r="E311" s="749" t="s">
        <v>1733</v>
      </c>
      <c r="F311" s="747" t="s">
        <v>4013</v>
      </c>
      <c r="G311" s="875">
        <f>+'[2]MARZO 2025'!G311+'[2]FEBRERO 2025'!G311+'[2]ENERO 2025'!G311+Hoja5!G308</f>
        <v>6516306.6299999999</v>
      </c>
      <c r="H311" s="875">
        <f>+'[2]MARZO 2025'!H311+'[2]FEBRERO 2025'!H311+'[2]ENERO 2025'!H311+Hoja5!H308</f>
        <v>2390054.1999999997</v>
      </c>
      <c r="I311" s="875">
        <v>0</v>
      </c>
      <c r="J311" s="875">
        <f t="shared" si="11"/>
        <v>8906360.8300000001</v>
      </c>
      <c r="K311" s="751">
        <f>J311/$J$25</f>
        <v>1.6849407402655194E-2</v>
      </c>
    </row>
    <row r="312" spans="1:11" x14ac:dyDescent="0.2">
      <c r="A312" s="755">
        <v>2</v>
      </c>
      <c r="B312" s="744">
        <v>3</v>
      </c>
      <c r="C312" s="744">
        <v>9</v>
      </c>
      <c r="D312" s="744">
        <v>2</v>
      </c>
      <c r="E312" s="744"/>
      <c r="F312" s="743" t="s">
        <v>4014</v>
      </c>
      <c r="G312" s="745">
        <f>+'[2]MARZO 2025'!G312+'[2]FEBRERO 2025'!G312+'[2]ENERO 2025'!G312+Hoja5!G309</f>
        <v>491390.1</v>
      </c>
      <c r="H312" s="745">
        <f>+'[2]MARZO 2025'!H312+'[2]FEBRERO 2025'!H312+'[2]ENERO 2025'!H312+Hoja5!H309</f>
        <v>1744571</v>
      </c>
      <c r="I312" s="745">
        <v>0</v>
      </c>
      <c r="J312" s="745">
        <f t="shared" si="11"/>
        <v>2235961.1</v>
      </c>
      <c r="K312" s="752"/>
    </row>
    <row r="313" spans="1:11" x14ac:dyDescent="0.2">
      <c r="A313" s="756">
        <v>2</v>
      </c>
      <c r="B313" s="748">
        <v>3</v>
      </c>
      <c r="C313" s="748">
        <v>9</v>
      </c>
      <c r="D313" s="748">
        <v>2</v>
      </c>
      <c r="E313" s="749" t="s">
        <v>2221</v>
      </c>
      <c r="F313" s="747" t="s">
        <v>4015</v>
      </c>
      <c r="G313" s="875">
        <f>+'[2]MARZO 2025'!G313+'[2]FEBRERO 2025'!G313+'[2]ENERO 2025'!G313+Hoja5!G310</f>
        <v>491390.1</v>
      </c>
      <c r="H313" s="875">
        <f>+'[2]MARZO 2025'!H313+'[2]FEBRERO 2025'!H313+'[2]ENERO 2025'!H313+Hoja5!H310</f>
        <v>1744571</v>
      </c>
      <c r="I313" s="875">
        <v>0</v>
      </c>
      <c r="J313" s="875">
        <f t="shared" si="11"/>
        <v>2235961.1</v>
      </c>
      <c r="K313" s="751">
        <f>J313/$J$25</f>
        <v>4.2300800775426309E-3</v>
      </c>
    </row>
    <row r="314" spans="1:11" x14ac:dyDescent="0.2">
      <c r="A314" s="755">
        <v>2</v>
      </c>
      <c r="B314" s="744">
        <v>3</v>
      </c>
      <c r="C314" s="744">
        <v>9</v>
      </c>
      <c r="D314" s="744">
        <v>3</v>
      </c>
      <c r="E314" s="744"/>
      <c r="F314" s="743" t="s">
        <v>4016</v>
      </c>
      <c r="G314" s="745">
        <f>+'[2]MARZO 2025'!G314+'[2]FEBRERO 2025'!G314+'[2]ENERO 2025'!G314+Hoja5!G311</f>
        <v>17421430.860000003</v>
      </c>
      <c r="H314" s="745">
        <f>+'[2]MARZO 2025'!H314+'[2]FEBRERO 2025'!H314+'[2]ENERO 2025'!H314+Hoja5!H311</f>
        <v>2253361.13</v>
      </c>
      <c r="I314" s="745">
        <v>0</v>
      </c>
      <c r="J314" s="745">
        <f t="shared" si="11"/>
        <v>19674791.990000002</v>
      </c>
      <c r="K314" s="752"/>
    </row>
    <row r="315" spans="1:11" x14ac:dyDescent="0.2">
      <c r="A315" s="756">
        <v>2</v>
      </c>
      <c r="B315" s="748">
        <v>3</v>
      </c>
      <c r="C315" s="748">
        <v>9</v>
      </c>
      <c r="D315" s="748">
        <v>3</v>
      </c>
      <c r="E315" s="749" t="s">
        <v>2221</v>
      </c>
      <c r="F315" s="747" t="s">
        <v>4016</v>
      </c>
      <c r="G315" s="875">
        <f>+'[2]MARZO 2025'!G315+'[2]FEBRERO 2025'!G315+'[2]ENERO 2025'!G315+Hoja5!G312</f>
        <v>17421430.860000003</v>
      </c>
      <c r="H315" s="875">
        <f>+'[2]MARZO 2025'!H315+'[2]FEBRERO 2025'!H315+'[2]ENERO 2025'!H315+Hoja5!H312</f>
        <v>2253361.13</v>
      </c>
      <c r="I315" s="875">
        <v>0</v>
      </c>
      <c r="J315" s="875">
        <f t="shared" si="11"/>
        <v>19674791.990000002</v>
      </c>
      <c r="K315" s="751">
        <f>J315/$J$25</f>
        <v>3.7221553463830097E-2</v>
      </c>
    </row>
    <row r="316" spans="1:11" x14ac:dyDescent="0.2">
      <c r="A316" s="755">
        <v>2</v>
      </c>
      <c r="B316" s="744">
        <v>3</v>
      </c>
      <c r="C316" s="744">
        <v>9</v>
      </c>
      <c r="D316" s="744">
        <v>4</v>
      </c>
      <c r="E316" s="744"/>
      <c r="F316" s="743" t="s">
        <v>4017</v>
      </c>
      <c r="G316" s="745">
        <f>+'[2]MARZO 2025'!G316+'[2]FEBRERO 2025'!G316+'[2]ENERO 2025'!G316+Hoja5!G313</f>
        <v>0</v>
      </c>
      <c r="H316" s="745">
        <f>+'[2]MARZO 2025'!H316+'[2]FEBRERO 2025'!H316+'[2]ENERO 2025'!H316+Hoja5!H313</f>
        <v>0</v>
      </c>
      <c r="I316" s="745">
        <v>0</v>
      </c>
      <c r="J316" s="745">
        <f t="shared" si="11"/>
        <v>0</v>
      </c>
      <c r="K316" s="752"/>
    </row>
    <row r="317" spans="1:11" x14ac:dyDescent="0.2">
      <c r="A317" s="756">
        <v>2</v>
      </c>
      <c r="B317" s="748">
        <v>3</v>
      </c>
      <c r="C317" s="748">
        <v>9</v>
      </c>
      <c r="D317" s="748">
        <v>4</v>
      </c>
      <c r="E317" s="749" t="s">
        <v>2221</v>
      </c>
      <c r="F317" s="747" t="s">
        <v>4017</v>
      </c>
      <c r="G317" s="875">
        <f>+'[2]MARZO 2025'!G317+'[2]FEBRERO 2025'!G317+'[2]ENERO 2025'!G317+Hoja5!G314</f>
        <v>6071252.1799999997</v>
      </c>
      <c r="H317" s="875">
        <f>+'[2]MARZO 2025'!H317+'[2]FEBRERO 2025'!H317+'[2]ENERO 2025'!H317+Hoja5!H314</f>
        <v>527418.59</v>
      </c>
      <c r="I317" s="875">
        <v>0</v>
      </c>
      <c r="J317" s="875">
        <f t="shared" si="11"/>
        <v>6598670.7699999996</v>
      </c>
      <c r="K317" s="751">
        <f>J317/$J$25</f>
        <v>1.2483627627707786E-2</v>
      </c>
    </row>
    <row r="318" spans="1:11" x14ac:dyDescent="0.2">
      <c r="A318" s="755">
        <v>2</v>
      </c>
      <c r="B318" s="744">
        <v>3</v>
      </c>
      <c r="C318" s="744">
        <v>9</v>
      </c>
      <c r="D318" s="744">
        <v>5</v>
      </c>
      <c r="E318" s="744"/>
      <c r="F318" s="743" t="s">
        <v>125</v>
      </c>
      <c r="G318" s="745">
        <f>+'[2]MARZO 2025'!G318+'[2]FEBRERO 2025'!G318+'[2]ENERO 2025'!G318+Hoja5!G315</f>
        <v>6071252.1799999997</v>
      </c>
      <c r="H318" s="745">
        <f>+'[2]MARZO 2025'!H318+'[2]FEBRERO 2025'!H318+'[2]ENERO 2025'!H318+Hoja5!H315</f>
        <v>527418.59</v>
      </c>
      <c r="I318" s="745">
        <v>0</v>
      </c>
      <c r="J318" s="745">
        <f t="shared" si="11"/>
        <v>6598670.7699999996</v>
      </c>
      <c r="K318" s="752"/>
    </row>
    <row r="319" spans="1:11" x14ac:dyDescent="0.2">
      <c r="A319" s="756">
        <v>2</v>
      </c>
      <c r="B319" s="748">
        <v>3</v>
      </c>
      <c r="C319" s="748">
        <v>9</v>
      </c>
      <c r="D319" s="748">
        <v>5</v>
      </c>
      <c r="E319" s="749" t="s">
        <v>2221</v>
      </c>
      <c r="F319" s="747" t="s">
        <v>125</v>
      </c>
      <c r="G319" s="875">
        <f>+'[2]MARZO 2025'!G319+'[2]FEBRERO 2025'!G319+'[2]ENERO 2025'!G319+Hoja5!G316</f>
        <v>0</v>
      </c>
      <c r="H319" s="875">
        <f>+'[2]MARZO 2025'!H319+'[2]FEBRERO 2025'!H319+'[2]ENERO 2025'!H319+Hoja5!H316</f>
        <v>0</v>
      </c>
      <c r="I319" s="875">
        <v>0</v>
      </c>
      <c r="J319" s="875">
        <f t="shared" si="11"/>
        <v>0</v>
      </c>
      <c r="K319" s="751">
        <f>J319/$J$25</f>
        <v>0</v>
      </c>
    </row>
    <row r="320" spans="1:11" x14ac:dyDescent="0.2">
      <c r="A320" s="755">
        <v>2</v>
      </c>
      <c r="B320" s="744">
        <v>3</v>
      </c>
      <c r="C320" s="744">
        <v>9</v>
      </c>
      <c r="D320" s="744">
        <v>6</v>
      </c>
      <c r="E320" s="744"/>
      <c r="F320" s="743" t="s">
        <v>126</v>
      </c>
      <c r="G320" s="745">
        <f>+'[2]MARZO 2025'!G320+'[2]FEBRERO 2025'!G320+'[2]ENERO 2025'!G320+Hoja5!G317</f>
        <v>957845.28999999992</v>
      </c>
      <c r="H320" s="745">
        <f>+'[2]MARZO 2025'!H320+'[2]FEBRERO 2025'!H320+'[2]ENERO 2025'!H320+Hoja5!H317</f>
        <v>4050.01</v>
      </c>
      <c r="I320" s="745">
        <v>0</v>
      </c>
      <c r="J320" s="745">
        <f t="shared" si="11"/>
        <v>961895.29999999993</v>
      </c>
      <c r="K320" s="752"/>
    </row>
    <row r="321" spans="1:11" x14ac:dyDescent="0.2">
      <c r="A321" s="756">
        <v>2</v>
      </c>
      <c r="B321" s="748">
        <v>3</v>
      </c>
      <c r="C321" s="748">
        <v>9</v>
      </c>
      <c r="D321" s="748">
        <v>6</v>
      </c>
      <c r="E321" s="749" t="s">
        <v>2221</v>
      </c>
      <c r="F321" s="747" t="s">
        <v>126</v>
      </c>
      <c r="G321" s="875">
        <f>+'[2]MARZO 2025'!G321+'[2]FEBRERO 2025'!G321+'[2]ENERO 2025'!G321+Hoja5!G318</f>
        <v>957845.28999999992</v>
      </c>
      <c r="H321" s="875">
        <f>+'[2]MARZO 2025'!H321+'[2]FEBRERO 2025'!H321+'[2]ENERO 2025'!H321+Hoja5!H318</f>
        <v>4050.01</v>
      </c>
      <c r="I321" s="875">
        <v>0</v>
      </c>
      <c r="J321" s="875">
        <f t="shared" si="11"/>
        <v>961895.29999999993</v>
      </c>
      <c r="K321" s="751">
        <f>J321/$J$25</f>
        <v>1.8197517591929003E-3</v>
      </c>
    </row>
    <row r="322" spans="1:11" x14ac:dyDescent="0.2">
      <c r="A322" s="755">
        <v>2</v>
      </c>
      <c r="B322" s="744">
        <v>3</v>
      </c>
      <c r="C322" s="744">
        <v>9</v>
      </c>
      <c r="D322" s="744">
        <v>7</v>
      </c>
      <c r="E322" s="744"/>
      <c r="F322" s="743" t="s">
        <v>4018</v>
      </c>
      <c r="G322" s="745">
        <f>+'[2]MARZO 2025'!G322+'[2]FEBRERO 2025'!G322+'[2]ENERO 2025'!G322+Hoja5!G319</f>
        <v>0</v>
      </c>
      <c r="H322" s="745">
        <f>+'[2]MARZO 2025'!H322+'[2]FEBRERO 2025'!H322+'[2]ENERO 2025'!H322+Hoja5!H319</f>
        <v>0</v>
      </c>
      <c r="I322" s="745">
        <v>0</v>
      </c>
      <c r="J322" s="745">
        <f t="shared" si="11"/>
        <v>0</v>
      </c>
      <c r="K322" s="752"/>
    </row>
    <row r="323" spans="1:11" x14ac:dyDescent="0.2">
      <c r="A323" s="756">
        <v>2</v>
      </c>
      <c r="B323" s="748">
        <v>3</v>
      </c>
      <c r="C323" s="748">
        <v>9</v>
      </c>
      <c r="D323" s="748">
        <v>7</v>
      </c>
      <c r="E323" s="749" t="s">
        <v>2221</v>
      </c>
      <c r="F323" s="747" t="s">
        <v>4018</v>
      </c>
      <c r="G323" s="875">
        <f>+'[2]MARZO 2025'!G323+'[2]FEBRERO 2025'!G323+'[2]ENERO 2025'!G323+Hoja5!G320</f>
        <v>86139.75</v>
      </c>
      <c r="H323" s="875">
        <f>+'[2]MARZO 2025'!H323+'[2]FEBRERO 2025'!H323+'[2]ENERO 2025'!H323+Hoja5!H320</f>
        <v>0</v>
      </c>
      <c r="I323" s="875">
        <v>0</v>
      </c>
      <c r="J323" s="875">
        <f t="shared" si="11"/>
        <v>86139.75</v>
      </c>
      <c r="K323" s="751">
        <f>J323/$J$25</f>
        <v>1.6296260268548629E-4</v>
      </c>
    </row>
    <row r="324" spans="1:11" x14ac:dyDescent="0.2">
      <c r="A324" s="755">
        <v>2</v>
      </c>
      <c r="B324" s="744">
        <v>3</v>
      </c>
      <c r="C324" s="744">
        <v>9</v>
      </c>
      <c r="D324" s="744">
        <v>8</v>
      </c>
      <c r="E324" s="744"/>
      <c r="F324" s="743" t="s">
        <v>3307</v>
      </c>
      <c r="G324" s="745">
        <f>+'[2]MARZO 2025'!G324+'[2]FEBRERO 2025'!G324+'[2]ENERO 2025'!G324+Hoja5!G321</f>
        <v>568908.97</v>
      </c>
      <c r="H324" s="745">
        <f>+'[2]MARZO 2025'!H324+'[2]FEBRERO 2025'!H324+'[2]ENERO 2025'!H324+Hoja5!H321</f>
        <v>0</v>
      </c>
      <c r="I324" s="745">
        <v>0</v>
      </c>
      <c r="J324" s="745">
        <f t="shared" si="11"/>
        <v>568908.97</v>
      </c>
      <c r="K324" s="752"/>
    </row>
    <row r="325" spans="1:11" x14ac:dyDescent="0.2">
      <c r="A325" s="756">
        <v>2</v>
      </c>
      <c r="B325" s="748">
        <v>3</v>
      </c>
      <c r="C325" s="748">
        <v>9</v>
      </c>
      <c r="D325" s="748">
        <v>8</v>
      </c>
      <c r="E325" s="749" t="s">
        <v>2221</v>
      </c>
      <c r="F325" s="747" t="s">
        <v>4019</v>
      </c>
      <c r="G325" s="875">
        <f>+'[2]MARZO 2025'!G325+'[2]FEBRERO 2025'!G325+'[2]ENERO 2025'!G325+Hoja5!G322</f>
        <v>50001.270000000004</v>
      </c>
      <c r="H325" s="875">
        <f>+'[2]MARZO 2025'!H325+'[2]FEBRERO 2025'!H325+'[2]ENERO 2025'!H325+Hoja5!H322</f>
        <v>0</v>
      </c>
      <c r="I325" s="875">
        <v>0</v>
      </c>
      <c r="J325" s="875">
        <f t="shared" si="11"/>
        <v>50001.270000000004</v>
      </c>
      <c r="K325" s="751">
        <f>J325/$J$25</f>
        <v>9.4594389892932416E-5</v>
      </c>
    </row>
    <row r="326" spans="1:11" x14ac:dyDescent="0.2">
      <c r="A326" s="756">
        <v>2</v>
      </c>
      <c r="B326" s="748">
        <v>3</v>
      </c>
      <c r="C326" s="748">
        <v>9</v>
      </c>
      <c r="D326" s="748">
        <v>8</v>
      </c>
      <c r="E326" s="749" t="s">
        <v>1733</v>
      </c>
      <c r="F326" s="747" t="s">
        <v>4020</v>
      </c>
      <c r="G326" s="875">
        <f>+'[2]MARZO 2025'!G326+'[2]FEBRERO 2025'!G326+'[2]ENERO 2025'!G326+Hoja5!G323</f>
        <v>432767.95</v>
      </c>
      <c r="H326" s="875">
        <f>+'[2]MARZO 2025'!H326+'[2]FEBRERO 2025'!H326+'[2]ENERO 2025'!H326+Hoja5!H323</f>
        <v>0</v>
      </c>
      <c r="I326" s="875">
        <v>0</v>
      </c>
      <c r="J326" s="875">
        <f t="shared" si="11"/>
        <v>432767.95</v>
      </c>
      <c r="K326" s="751">
        <f>J326/$J$25</f>
        <v>8.1872760822805266E-4</v>
      </c>
    </row>
    <row r="327" spans="1:11" x14ac:dyDescent="0.2">
      <c r="A327" s="755">
        <v>2</v>
      </c>
      <c r="B327" s="744">
        <v>3</v>
      </c>
      <c r="C327" s="744">
        <v>9</v>
      </c>
      <c r="D327" s="744">
        <v>9</v>
      </c>
      <c r="E327" s="744"/>
      <c r="F327" s="743" t="s">
        <v>4021</v>
      </c>
      <c r="G327" s="745">
        <f>+'[2]MARZO 2025'!G327+'[2]FEBRERO 2025'!G327+'[2]ENERO 2025'!G327+Hoja5!G324</f>
        <v>25685.99</v>
      </c>
      <c r="H327" s="745">
        <f>+'[2]MARZO 2025'!H327+'[2]FEBRERO 2025'!H327+'[2]ENERO 2025'!H327+Hoja5!H324</f>
        <v>203430.61</v>
      </c>
      <c r="I327" s="745">
        <v>0</v>
      </c>
      <c r="J327" s="745">
        <f t="shared" si="11"/>
        <v>229116.59999999998</v>
      </c>
      <c r="K327" s="752"/>
    </row>
    <row r="328" spans="1:11" x14ac:dyDescent="0.2">
      <c r="A328" s="756">
        <v>2</v>
      </c>
      <c r="B328" s="748">
        <v>3</v>
      </c>
      <c r="C328" s="748">
        <v>9</v>
      </c>
      <c r="D328" s="748">
        <v>9</v>
      </c>
      <c r="E328" s="749" t="s">
        <v>2221</v>
      </c>
      <c r="F328" s="747" t="s">
        <v>4021</v>
      </c>
      <c r="G328" s="875">
        <f>+'[2]MARZO 2025'!G328+'[2]FEBRERO 2025'!G328+'[2]ENERO 2025'!G328+Hoja5!G325</f>
        <v>0</v>
      </c>
      <c r="H328" s="875">
        <f>+'[2]MARZO 2025'!H328+'[2]FEBRERO 2025'!H328+'[2]ENERO 2025'!H328+Hoja5!H325</f>
        <v>203430.61</v>
      </c>
      <c r="I328" s="875">
        <v>0</v>
      </c>
      <c r="J328" s="875">
        <f t="shared" si="11"/>
        <v>203430.61</v>
      </c>
      <c r="K328" s="751">
        <f>J328/$J$25</f>
        <v>3.8485811337386181E-4</v>
      </c>
    </row>
    <row r="329" spans="1:11" x14ac:dyDescent="0.2">
      <c r="A329" s="756">
        <v>2</v>
      </c>
      <c r="B329" s="748">
        <v>3</v>
      </c>
      <c r="C329" s="748">
        <v>9</v>
      </c>
      <c r="D329" s="748">
        <v>9</v>
      </c>
      <c r="E329" s="749" t="s">
        <v>625</v>
      </c>
      <c r="F329" s="747" t="s">
        <v>4022</v>
      </c>
      <c r="G329" s="875">
        <f>+'[2]MARZO 2025'!G329+'[2]FEBRERO 2025'!G329+'[2]ENERO 2025'!G329+Hoja5!G326</f>
        <v>25685.99</v>
      </c>
      <c r="H329" s="875">
        <f>+'[2]MARZO 2025'!H329+'[2]FEBRERO 2025'!H329+'[2]ENERO 2025'!H329+Hoja5!H326</f>
        <v>0</v>
      </c>
      <c r="I329" s="875">
        <v>0</v>
      </c>
      <c r="J329" s="875">
        <f>SUM(G329:I329)</f>
        <v>25685.99</v>
      </c>
      <c r="K329" s="751">
        <f>J329/$J$25</f>
        <v>4.859377677498918E-5</v>
      </c>
    </row>
    <row r="330" spans="1:11" x14ac:dyDescent="0.2">
      <c r="A330" s="754">
        <v>2</v>
      </c>
      <c r="B330" s="742">
        <v>4</v>
      </c>
      <c r="C330" s="742">
        <v>1</v>
      </c>
      <c r="D330" s="742">
        <v>2</v>
      </c>
      <c r="E330" s="742"/>
      <c r="F330" s="763" t="s">
        <v>4023</v>
      </c>
      <c r="G330" s="874">
        <f>+'[2]MARZO 2025'!G330+'[2]FEBRERO 2025'!G330+'[2]ENERO 2025'!G330+Hoja5!G327</f>
        <v>0</v>
      </c>
      <c r="H330" s="874">
        <f>+'[2]MARZO 2025'!H330+'[2]FEBRERO 2025'!H330+'[2]ENERO 2025'!H330+Hoja5!H327</f>
        <v>405851.31</v>
      </c>
      <c r="I330" s="874">
        <v>0</v>
      </c>
      <c r="J330" s="874">
        <f t="shared" si="11"/>
        <v>405851.31</v>
      </c>
      <c r="K330" s="740">
        <f>+J330/J25</f>
        <v>7.6780563887072031E-4</v>
      </c>
    </row>
    <row r="331" spans="1:11" x14ac:dyDescent="0.2">
      <c r="A331" s="756">
        <v>2</v>
      </c>
      <c r="B331" s="748">
        <v>4</v>
      </c>
      <c r="C331" s="748">
        <v>1</v>
      </c>
      <c r="D331" s="748">
        <v>2</v>
      </c>
      <c r="E331" s="749" t="s">
        <v>2221</v>
      </c>
      <c r="F331" s="747" t="s">
        <v>4024</v>
      </c>
      <c r="G331" s="875">
        <f>+'[2]MARZO 2025'!G331+'[2]FEBRERO 2025'!G331+'[2]ENERO 2025'!G331+Hoja5!G328</f>
        <v>0</v>
      </c>
      <c r="H331" s="875">
        <f>+'[2]MARZO 2025'!H331+'[2]FEBRERO 2025'!H331+'[2]ENERO 2025'!H331+Hoja5!H328</f>
        <v>62914.61</v>
      </c>
      <c r="I331" s="875">
        <v>0</v>
      </c>
      <c r="J331" s="875">
        <f t="shared" si="11"/>
        <v>62914.61</v>
      </c>
      <c r="K331" s="751">
        <f t="shared" ref="K331:K336" si="14">J331/$J$25</f>
        <v>1.190243597472981E-4</v>
      </c>
    </row>
    <row r="332" spans="1:11" x14ac:dyDescent="0.2">
      <c r="A332" s="756">
        <v>2</v>
      </c>
      <c r="B332" s="748">
        <v>4</v>
      </c>
      <c r="C332" s="748">
        <v>1</v>
      </c>
      <c r="D332" s="748">
        <v>2</v>
      </c>
      <c r="E332" s="749" t="s">
        <v>1733</v>
      </c>
      <c r="F332" s="747" t="s">
        <v>98</v>
      </c>
      <c r="G332" s="875">
        <f>+'[2]MARZO 2025'!G332+'[2]FEBRERO 2025'!G332+'[2]ENERO 2025'!G332+Hoja5!G329</f>
        <v>0</v>
      </c>
      <c r="H332" s="875">
        <f>+'[2]MARZO 2025'!H332+'[2]FEBRERO 2025'!H332+'[2]ENERO 2025'!H332+Hoja5!H329</f>
        <v>342936.7</v>
      </c>
      <c r="I332" s="875">
        <v>0</v>
      </c>
      <c r="J332" s="875">
        <f t="shared" si="11"/>
        <v>342936.7</v>
      </c>
      <c r="K332" s="751">
        <f t="shared" si="14"/>
        <v>6.4878127912342215E-4</v>
      </c>
    </row>
    <row r="333" spans="1:11" x14ac:dyDescent="0.2">
      <c r="A333" s="756">
        <v>2</v>
      </c>
      <c r="B333" s="748">
        <v>4</v>
      </c>
      <c r="C333" s="748">
        <v>1</v>
      </c>
      <c r="D333" s="748">
        <v>2</v>
      </c>
      <c r="E333" s="749" t="s">
        <v>3839</v>
      </c>
      <c r="F333" s="747" t="s">
        <v>4025</v>
      </c>
      <c r="G333" s="875">
        <f>+'[2]MARZO 2025'!G333+'[2]FEBRERO 2025'!G333+'[2]ENERO 2025'!G333+Hoja5!G330</f>
        <v>0</v>
      </c>
      <c r="H333" s="875">
        <f>+'[2]MARZO 2025'!H333+'[2]FEBRERO 2025'!H333+'[2]ENERO 2025'!H333+Hoja5!H330</f>
        <v>624573</v>
      </c>
      <c r="I333" s="875">
        <v>0</v>
      </c>
      <c r="J333" s="875">
        <f t="shared" si="11"/>
        <v>624573</v>
      </c>
      <c r="K333" s="751">
        <f t="shared" si="14"/>
        <v>1.1815920251345311E-3</v>
      </c>
    </row>
    <row r="334" spans="1:11" x14ac:dyDescent="0.2">
      <c r="A334" s="756">
        <v>2</v>
      </c>
      <c r="B334" s="748">
        <v>4</v>
      </c>
      <c r="C334" s="748">
        <v>1</v>
      </c>
      <c r="D334" s="748">
        <v>2</v>
      </c>
      <c r="E334" s="749" t="s">
        <v>625</v>
      </c>
      <c r="F334" s="747" t="s">
        <v>4026</v>
      </c>
      <c r="G334" s="875">
        <f>+'[2]MARZO 2025'!G334+'[2]FEBRERO 2025'!G334+'[2]ENERO 2025'!G334+Hoja5!G331</f>
        <v>0</v>
      </c>
      <c r="H334" s="875">
        <f>+'[2]MARZO 2025'!H334+'[2]FEBRERO 2025'!H334+'[2]ENERO 2025'!H334+Hoja5!H331</f>
        <v>203615</v>
      </c>
      <c r="I334" s="875">
        <v>0</v>
      </c>
      <c r="J334" s="875">
        <f t="shared" si="11"/>
        <v>203615</v>
      </c>
      <c r="K334" s="751">
        <f t="shared" si="14"/>
        <v>3.8520694970446619E-4</v>
      </c>
    </row>
    <row r="335" spans="1:11" x14ac:dyDescent="0.2">
      <c r="A335" s="756">
        <v>2</v>
      </c>
      <c r="B335" s="748">
        <v>4</v>
      </c>
      <c r="C335" s="748">
        <v>1</v>
      </c>
      <c r="D335" s="748">
        <v>2</v>
      </c>
      <c r="E335" s="749" t="s">
        <v>3842</v>
      </c>
      <c r="F335" s="747" t="s">
        <v>4027</v>
      </c>
      <c r="G335" s="875">
        <f>+'[2]MARZO 2025'!G335+'[2]FEBRERO 2025'!G335+'[2]ENERO 2025'!G335+Hoja5!G332</f>
        <v>0</v>
      </c>
      <c r="H335" s="875">
        <f>+'[2]MARZO 2025'!H335+'[2]FEBRERO 2025'!H335+'[2]ENERO 2025'!H335+Hoja5!H332</f>
        <v>420958</v>
      </c>
      <c r="I335" s="875">
        <v>0</v>
      </c>
      <c r="J335" s="875">
        <f t="shared" si="11"/>
        <v>420958</v>
      </c>
      <c r="K335" s="751">
        <f t="shared" si="14"/>
        <v>7.963850754300649E-4</v>
      </c>
    </row>
    <row r="336" spans="1:11" x14ac:dyDescent="0.2">
      <c r="A336" s="754">
        <v>2</v>
      </c>
      <c r="B336" s="742">
        <v>6</v>
      </c>
      <c r="C336" s="742"/>
      <c r="D336" s="742"/>
      <c r="E336" s="742"/>
      <c r="F336" s="763" t="s">
        <v>4028</v>
      </c>
      <c r="G336" s="874">
        <f>+'[2]MARZO 2025'!G336+'[2]FEBRERO 2025'!G336+'[2]ENERO 2025'!G336+Hoja5!G333</f>
        <v>17857866.620000001</v>
      </c>
      <c r="H336" s="874">
        <f>+'[2]MARZO 2025'!H336+'[2]FEBRERO 2025'!H336+'[2]ENERO 2025'!H336+Hoja5!H333</f>
        <v>5076044.21</v>
      </c>
      <c r="I336" s="874">
        <v>0</v>
      </c>
      <c r="J336" s="874">
        <f t="shared" si="11"/>
        <v>22933910.830000002</v>
      </c>
      <c r="K336" s="740">
        <f t="shared" si="14"/>
        <v>4.3387284019441211E-2</v>
      </c>
    </row>
    <row r="337" spans="1:11" x14ac:dyDescent="0.2">
      <c r="A337" s="741">
        <v>2</v>
      </c>
      <c r="B337" s="742">
        <v>6</v>
      </c>
      <c r="C337" s="742">
        <v>1</v>
      </c>
      <c r="D337" s="742"/>
      <c r="E337" s="742"/>
      <c r="F337" s="763" t="s">
        <v>4029</v>
      </c>
      <c r="G337" s="874">
        <f>+'[2]MARZO 2025'!G337+'[2]FEBRERO 2025'!G337+'[2]ENERO 2025'!G337+Hoja5!G334</f>
        <v>1110625.8599999999</v>
      </c>
      <c r="H337" s="874">
        <f>+'[2]MARZO 2025'!H337+'[2]FEBRERO 2025'!H337+'[2]ENERO 2025'!H337+Hoja5!H334</f>
        <v>0</v>
      </c>
      <c r="I337" s="874">
        <v>0</v>
      </c>
      <c r="J337" s="874">
        <f t="shared" si="11"/>
        <v>1110625.8599999999</v>
      </c>
      <c r="K337" s="740"/>
    </row>
    <row r="338" spans="1:11" x14ac:dyDescent="0.2">
      <c r="A338" s="743">
        <v>2</v>
      </c>
      <c r="B338" s="744">
        <v>6</v>
      </c>
      <c r="C338" s="744">
        <v>1</v>
      </c>
      <c r="D338" s="744">
        <v>1</v>
      </c>
      <c r="E338" s="744"/>
      <c r="F338" s="762" t="s">
        <v>2316</v>
      </c>
      <c r="G338" s="745">
        <f>+'[2]MARZO 2025'!G338+'[2]FEBRERO 2025'!G338+'[2]ENERO 2025'!G338+Hoja5!G335</f>
        <v>653408.05000000005</v>
      </c>
      <c r="H338" s="745">
        <f>+'[2]MARZO 2025'!H338+'[2]FEBRERO 2025'!H338+'[2]ENERO 2025'!H338+Hoja5!H335</f>
        <v>0</v>
      </c>
      <c r="I338" s="745">
        <v>0</v>
      </c>
      <c r="J338" s="745">
        <f t="shared" si="11"/>
        <v>653408.05000000005</v>
      </c>
      <c r="K338" s="752"/>
    </row>
    <row r="339" spans="1:11" x14ac:dyDescent="0.2">
      <c r="A339" s="747">
        <v>2</v>
      </c>
      <c r="B339" s="748">
        <v>6</v>
      </c>
      <c r="C339" s="748">
        <v>1</v>
      </c>
      <c r="D339" s="748">
        <v>1</v>
      </c>
      <c r="E339" s="749" t="s">
        <v>2221</v>
      </c>
      <c r="F339" s="753" t="s">
        <v>2316</v>
      </c>
      <c r="G339" s="875">
        <f>+'[2]MARZO 2025'!G339+'[2]FEBRERO 2025'!G339+'[2]ENERO 2025'!G339+Hoja5!G336</f>
        <v>5318449.4400000004</v>
      </c>
      <c r="H339" s="875">
        <f>+'[2]MARZO 2025'!H339+'[2]FEBRERO 2025'!H339+'[2]ENERO 2025'!H339+Hoja5!H336</f>
        <v>0</v>
      </c>
      <c r="I339" s="875">
        <v>0</v>
      </c>
      <c r="J339" s="875">
        <f t="shared" si="11"/>
        <v>5318449.4400000004</v>
      </c>
      <c r="K339" s="751">
        <f>J339/$J$25</f>
        <v>1.0061654033051723E-2</v>
      </c>
    </row>
    <row r="340" spans="1:11" ht="25.5" x14ac:dyDescent="0.2">
      <c r="A340" s="743">
        <v>2</v>
      </c>
      <c r="B340" s="744">
        <v>6</v>
      </c>
      <c r="C340" s="744">
        <v>1</v>
      </c>
      <c r="D340" s="744">
        <v>2</v>
      </c>
      <c r="E340" s="744"/>
      <c r="F340" s="762" t="s">
        <v>4030</v>
      </c>
      <c r="G340" s="745">
        <f>+'[2]MARZO 2025'!G340+'[2]FEBRERO 2025'!G340+'[2]ENERO 2025'!G340+Hoja5!G337</f>
        <v>1812434.4800000002</v>
      </c>
      <c r="H340" s="745">
        <f>+'[2]MARZO 2025'!H340+'[2]FEBRERO 2025'!H340+'[2]ENERO 2025'!H340+Hoja5!H337</f>
        <v>0</v>
      </c>
      <c r="I340" s="745">
        <v>0</v>
      </c>
      <c r="J340" s="745">
        <f t="shared" si="11"/>
        <v>1812434.4800000002</v>
      </c>
      <c r="K340" s="752"/>
    </row>
    <row r="341" spans="1:11" ht="25.5" x14ac:dyDescent="0.2">
      <c r="A341" s="747">
        <v>2</v>
      </c>
      <c r="B341" s="748">
        <v>6</v>
      </c>
      <c r="C341" s="748">
        <v>1</v>
      </c>
      <c r="D341" s="748">
        <v>2</v>
      </c>
      <c r="E341" s="749" t="s">
        <v>2221</v>
      </c>
      <c r="F341" s="753" t="s">
        <v>4030</v>
      </c>
      <c r="G341" s="875">
        <f>+'[2]MARZO 2025'!G341+'[2]FEBRERO 2025'!G341+'[2]ENERO 2025'!G341+Hoja5!G338</f>
        <v>1535274.4900000002</v>
      </c>
      <c r="H341" s="875">
        <f>+'[2]MARZO 2025'!H341+'[2]FEBRERO 2025'!H341+'[2]ENERO 2025'!H341+Hoja5!H338</f>
        <v>0</v>
      </c>
      <c r="I341" s="875">
        <v>0</v>
      </c>
      <c r="J341" s="875">
        <f t="shared" si="11"/>
        <v>1535274.4900000002</v>
      </c>
      <c r="K341" s="751">
        <f>J341/$J$25</f>
        <v>2.9044932998648432E-3</v>
      </c>
    </row>
    <row r="342" spans="1:11" ht="25.5" x14ac:dyDescent="0.2">
      <c r="A342" s="743">
        <v>2</v>
      </c>
      <c r="B342" s="744">
        <v>6</v>
      </c>
      <c r="C342" s="744">
        <v>1</v>
      </c>
      <c r="D342" s="744">
        <v>3</v>
      </c>
      <c r="E342" s="744"/>
      <c r="F342" s="762" t="s">
        <v>4031</v>
      </c>
      <c r="G342" s="745">
        <f>+'[2]MARZO 2025'!G342+'[2]FEBRERO 2025'!G342+'[2]ENERO 2025'!G342+Hoja5!G339</f>
        <v>1719354.4900000002</v>
      </c>
      <c r="H342" s="745">
        <f>+'[2]MARZO 2025'!H342+'[2]FEBRERO 2025'!H342+'[2]ENERO 2025'!H342+Hoja5!H339</f>
        <v>0</v>
      </c>
      <c r="I342" s="745">
        <v>0</v>
      </c>
      <c r="J342" s="745">
        <f t="shared" si="11"/>
        <v>1719354.4900000002</v>
      </c>
      <c r="K342" s="752"/>
    </row>
    <row r="343" spans="1:11" ht="25.5" x14ac:dyDescent="0.2">
      <c r="A343" s="747">
        <v>2</v>
      </c>
      <c r="B343" s="748">
        <v>6</v>
      </c>
      <c r="C343" s="748">
        <v>1</v>
      </c>
      <c r="D343" s="748">
        <v>3</v>
      </c>
      <c r="E343" s="749" t="s">
        <v>2221</v>
      </c>
      <c r="F343" s="753" t="s">
        <v>4031</v>
      </c>
      <c r="G343" s="875">
        <f>+'[2]MARZO 2025'!G343+'[2]FEBRERO 2025'!G343+'[2]ENERO 2025'!G343+Hoja5!G340</f>
        <v>184080</v>
      </c>
      <c r="H343" s="875">
        <f>+'[2]MARZO 2025'!H343+'[2]FEBRERO 2025'!H343+'[2]ENERO 2025'!H343+Hoja5!H340</f>
        <v>0</v>
      </c>
      <c r="I343" s="875">
        <v>0</v>
      </c>
      <c r="J343" s="875">
        <f t="shared" si="11"/>
        <v>184080</v>
      </c>
      <c r="K343" s="751">
        <f>J343/$J$25</f>
        <v>3.4824986028336876E-4</v>
      </c>
    </row>
    <row r="344" spans="1:11" x14ac:dyDescent="0.2">
      <c r="A344" s="743">
        <v>2</v>
      </c>
      <c r="B344" s="744">
        <v>6</v>
      </c>
      <c r="C344" s="744">
        <v>1</v>
      </c>
      <c r="D344" s="744">
        <v>4</v>
      </c>
      <c r="E344" s="744"/>
      <c r="F344" s="762" t="s">
        <v>2399</v>
      </c>
      <c r="G344" s="745">
        <f>+'[2]MARZO 2025'!G344+'[2]FEBRERO 2025'!G344+'[2]ENERO 2025'!G344+Hoja5!G341</f>
        <v>210276</v>
      </c>
      <c r="H344" s="745">
        <f>+'[2]MARZO 2025'!H344+'[2]FEBRERO 2025'!H344+'[2]ENERO 2025'!H344+Hoja5!H341</f>
        <v>0</v>
      </c>
      <c r="I344" s="745">
        <v>0</v>
      </c>
      <c r="J344" s="745">
        <f t="shared" si="11"/>
        <v>210276</v>
      </c>
      <c r="K344" s="752"/>
    </row>
    <row r="345" spans="1:11" x14ac:dyDescent="0.2">
      <c r="A345" s="747">
        <v>2</v>
      </c>
      <c r="B345" s="748">
        <v>6</v>
      </c>
      <c r="C345" s="748">
        <v>1</v>
      </c>
      <c r="D345" s="748">
        <v>4</v>
      </c>
      <c r="E345" s="749" t="s">
        <v>2221</v>
      </c>
      <c r="F345" s="753" t="s">
        <v>2399</v>
      </c>
      <c r="G345" s="875">
        <f>+'[2]MARZO 2025'!G345+'[2]FEBRERO 2025'!G345+'[2]ENERO 2025'!G345+Hoja5!G342</f>
        <v>454536</v>
      </c>
      <c r="H345" s="875">
        <f>+'[2]MARZO 2025'!H345+'[2]FEBRERO 2025'!H345+'[2]ENERO 2025'!H345+Hoja5!H342</f>
        <v>0</v>
      </c>
      <c r="I345" s="875">
        <v>0</v>
      </c>
      <c r="J345" s="875">
        <f t="shared" si="11"/>
        <v>454536</v>
      </c>
      <c r="K345" s="751">
        <f>J345/$J$25</f>
        <v>8.599092703920106E-4</v>
      </c>
    </row>
    <row r="346" spans="1:11" ht="25.5" x14ac:dyDescent="0.2">
      <c r="A346" s="743">
        <v>2</v>
      </c>
      <c r="B346" s="744">
        <v>6</v>
      </c>
      <c r="C346" s="744">
        <v>1</v>
      </c>
      <c r="D346" s="744">
        <v>9</v>
      </c>
      <c r="E346" s="744"/>
      <c r="F346" s="762" t="s">
        <v>2419</v>
      </c>
      <c r="G346" s="745">
        <f>+'[2]MARZO 2025'!G346+'[2]FEBRERO 2025'!G346+'[2]ENERO 2025'!G346+Hoja5!G343</f>
        <v>307121.81</v>
      </c>
      <c r="H346" s="745">
        <f>+'[2]MARZO 2025'!H346+'[2]FEBRERO 2025'!H346+'[2]ENERO 2025'!H346+Hoja5!H343</f>
        <v>0</v>
      </c>
      <c r="I346" s="745">
        <v>0</v>
      </c>
      <c r="J346" s="745">
        <f t="shared" si="11"/>
        <v>307121.81</v>
      </c>
      <c r="K346" s="752"/>
    </row>
    <row r="347" spans="1:11" ht="25.5" x14ac:dyDescent="0.2">
      <c r="A347" s="747">
        <v>2</v>
      </c>
      <c r="B347" s="748">
        <v>6</v>
      </c>
      <c r="C347" s="748">
        <v>1</v>
      </c>
      <c r="D347" s="748">
        <v>9</v>
      </c>
      <c r="E347" s="749" t="s">
        <v>2221</v>
      </c>
      <c r="F347" s="753" t="s">
        <v>2419</v>
      </c>
      <c r="G347" s="875">
        <f>+'[2]MARZO 2025'!G347+'[2]FEBRERO 2025'!G347+'[2]ENERO 2025'!G347+Hoja5!G344</f>
        <v>95761.799999999988</v>
      </c>
      <c r="H347" s="875">
        <f>+'[2]MARZO 2025'!H347+'[2]FEBRERO 2025'!H347+'[2]ENERO 2025'!H347+Hoja5!H344</f>
        <v>0</v>
      </c>
      <c r="I347" s="875">
        <v>0</v>
      </c>
      <c r="J347" s="875">
        <f t="shared" si="11"/>
        <v>95761.799999999988</v>
      </c>
      <c r="K347" s="751">
        <f>J347/$J$25</f>
        <v>1.8116597930510593E-4</v>
      </c>
    </row>
    <row r="348" spans="1:11" x14ac:dyDescent="0.2">
      <c r="A348" s="765">
        <v>2</v>
      </c>
      <c r="B348" s="765">
        <v>6</v>
      </c>
      <c r="C348" s="765">
        <v>2</v>
      </c>
      <c r="D348" s="765"/>
      <c r="E348" s="765"/>
      <c r="F348" s="766" t="s">
        <v>4032</v>
      </c>
      <c r="G348" s="874">
        <f>+'[2]MARZO 2025'!G348+'[2]FEBRERO 2025'!G348+'[2]ENERO 2025'!G348+Hoja5!G345</f>
        <v>32899.99</v>
      </c>
      <c r="H348" s="874">
        <f>+'[2]MARZO 2025'!H348+'[2]FEBRERO 2025'!H348+'[2]ENERO 2025'!H348+Hoja5!H345</f>
        <v>0</v>
      </c>
      <c r="I348" s="874">
        <v>0</v>
      </c>
      <c r="J348" s="874">
        <f t="shared" si="11"/>
        <v>32899.99</v>
      </c>
      <c r="K348" s="740"/>
    </row>
    <row r="349" spans="1:11" x14ac:dyDescent="0.2">
      <c r="A349" s="755">
        <v>2</v>
      </c>
      <c r="B349" s="744">
        <v>6</v>
      </c>
      <c r="C349" s="744">
        <v>2</v>
      </c>
      <c r="D349" s="744">
        <v>1</v>
      </c>
      <c r="E349" s="758"/>
      <c r="F349" s="762" t="s">
        <v>2659</v>
      </c>
      <c r="G349" s="745">
        <f>+'[2]MARZO 2025'!G349+'[2]FEBRERO 2025'!G349+'[2]ENERO 2025'!G349+Hoja5!G346</f>
        <v>0</v>
      </c>
      <c r="H349" s="745">
        <f>+'[2]MARZO 2025'!H349+'[2]FEBRERO 2025'!H349+'[2]ENERO 2025'!H349+Hoja5!H346</f>
        <v>0</v>
      </c>
      <c r="I349" s="745">
        <v>0</v>
      </c>
      <c r="J349" s="745">
        <f t="shared" ref="J349:J412" si="15">SUM(G349:I349)</f>
        <v>0</v>
      </c>
      <c r="K349" s="752"/>
    </row>
    <row r="350" spans="1:11" x14ac:dyDescent="0.2">
      <c r="A350" s="756">
        <v>2</v>
      </c>
      <c r="B350" s="748">
        <v>6</v>
      </c>
      <c r="C350" s="748">
        <v>2</v>
      </c>
      <c r="D350" s="748">
        <v>1</v>
      </c>
      <c r="E350" s="749" t="s">
        <v>2221</v>
      </c>
      <c r="F350" s="753" t="s">
        <v>2659</v>
      </c>
      <c r="G350" s="875">
        <f>+'[2]MARZO 2025'!G350+'[2]FEBRERO 2025'!G350+'[2]ENERO 2025'!G350+Hoja5!G347</f>
        <v>0</v>
      </c>
      <c r="H350" s="875">
        <f>+'[2]MARZO 2025'!H350+'[2]FEBRERO 2025'!H350+'[2]ENERO 2025'!H350+Hoja5!H347</f>
        <v>0</v>
      </c>
      <c r="I350" s="875">
        <v>0</v>
      </c>
      <c r="J350" s="875">
        <f t="shared" si="15"/>
        <v>0</v>
      </c>
      <c r="K350" s="751">
        <f>J350/$J$25</f>
        <v>0</v>
      </c>
    </row>
    <row r="351" spans="1:11" x14ac:dyDescent="0.2">
      <c r="A351" s="755">
        <v>2</v>
      </c>
      <c r="B351" s="744">
        <v>6</v>
      </c>
      <c r="C351" s="744">
        <v>2</v>
      </c>
      <c r="D351" s="744">
        <v>2</v>
      </c>
      <c r="E351" s="758"/>
      <c r="F351" s="762" t="s">
        <v>4033</v>
      </c>
      <c r="G351" s="745">
        <f>+'[2]MARZO 2025'!G351+'[2]FEBRERO 2025'!G351+'[2]ENERO 2025'!G351+Hoja5!G348</f>
        <v>0</v>
      </c>
      <c r="H351" s="745">
        <f>+'[2]MARZO 2025'!H351+'[2]FEBRERO 2025'!H351+'[2]ENERO 2025'!H351+Hoja5!H348</f>
        <v>0</v>
      </c>
      <c r="I351" s="745">
        <v>0</v>
      </c>
      <c r="J351" s="745">
        <f t="shared" si="15"/>
        <v>0</v>
      </c>
      <c r="K351" s="752"/>
    </row>
    <row r="352" spans="1:11" x14ac:dyDescent="0.2">
      <c r="A352" s="756">
        <v>2</v>
      </c>
      <c r="B352" s="748">
        <v>6</v>
      </c>
      <c r="C352" s="748">
        <v>2</v>
      </c>
      <c r="D352" s="748">
        <v>2</v>
      </c>
      <c r="E352" s="749" t="s">
        <v>2221</v>
      </c>
      <c r="F352" s="753" t="s">
        <v>4033</v>
      </c>
      <c r="G352" s="875">
        <f>+'[2]MARZO 2025'!G352+'[2]FEBRERO 2025'!G352+'[2]ENERO 2025'!G352+Hoja5!G349</f>
        <v>0</v>
      </c>
      <c r="H352" s="875">
        <f>+'[2]MARZO 2025'!H352+'[2]FEBRERO 2025'!H352+'[2]ENERO 2025'!H352+Hoja5!H349</f>
        <v>0</v>
      </c>
      <c r="I352" s="875">
        <v>0</v>
      </c>
      <c r="J352" s="875">
        <f t="shared" si="15"/>
        <v>0</v>
      </c>
      <c r="K352" s="751">
        <f>J352/$J$25</f>
        <v>0</v>
      </c>
    </row>
    <row r="353" spans="1:11" x14ac:dyDescent="0.2">
      <c r="A353" s="755">
        <v>2</v>
      </c>
      <c r="B353" s="744">
        <v>6</v>
      </c>
      <c r="C353" s="744">
        <v>2</v>
      </c>
      <c r="D353" s="744">
        <v>3</v>
      </c>
      <c r="E353" s="758"/>
      <c r="F353" s="762" t="s">
        <v>4034</v>
      </c>
      <c r="G353" s="745">
        <f>+'[2]MARZO 2025'!G353+'[2]FEBRERO 2025'!G353+'[2]ENERO 2025'!G353+Hoja5!G350</f>
        <v>0</v>
      </c>
      <c r="H353" s="745">
        <f>+'[2]MARZO 2025'!H353+'[2]FEBRERO 2025'!H353+'[2]ENERO 2025'!H353+Hoja5!H350</f>
        <v>0</v>
      </c>
      <c r="I353" s="745">
        <v>0</v>
      </c>
      <c r="J353" s="745">
        <f t="shared" si="15"/>
        <v>0</v>
      </c>
      <c r="K353" s="752"/>
    </row>
    <row r="354" spans="1:11" x14ac:dyDescent="0.2">
      <c r="A354" s="756">
        <v>2</v>
      </c>
      <c r="B354" s="748">
        <v>6</v>
      </c>
      <c r="C354" s="748">
        <v>2</v>
      </c>
      <c r="D354" s="748">
        <v>3</v>
      </c>
      <c r="E354" s="749" t="s">
        <v>2221</v>
      </c>
      <c r="F354" s="753" t="s">
        <v>4034</v>
      </c>
      <c r="G354" s="875">
        <f>+'[2]MARZO 2025'!G354+'[2]FEBRERO 2025'!G354+'[2]ENERO 2025'!G354+Hoja5!G351</f>
        <v>0</v>
      </c>
      <c r="H354" s="875">
        <f>+'[2]MARZO 2025'!H354+'[2]FEBRERO 2025'!H354+'[2]ENERO 2025'!H354+Hoja5!H351</f>
        <v>0</v>
      </c>
      <c r="I354" s="875">
        <v>0</v>
      </c>
      <c r="J354" s="875">
        <f t="shared" si="15"/>
        <v>0</v>
      </c>
      <c r="K354" s="751">
        <f>J354/$J$25</f>
        <v>0</v>
      </c>
    </row>
    <row r="355" spans="1:11" ht="25.5" x14ac:dyDescent="0.2">
      <c r="A355" s="755">
        <v>2</v>
      </c>
      <c r="B355" s="744">
        <v>6</v>
      </c>
      <c r="C355" s="744">
        <v>2</v>
      </c>
      <c r="D355" s="744">
        <v>4</v>
      </c>
      <c r="E355" s="758"/>
      <c r="F355" s="762" t="s">
        <v>4035</v>
      </c>
      <c r="G355" s="745">
        <f>+'[2]MARZO 2025'!G355+'[2]FEBRERO 2025'!G355+'[2]ENERO 2025'!G355+Hoja5!G352</f>
        <v>0</v>
      </c>
      <c r="H355" s="745">
        <f>+'[2]MARZO 2025'!H355+'[2]FEBRERO 2025'!H355+'[2]ENERO 2025'!H355+Hoja5!H352</f>
        <v>0</v>
      </c>
      <c r="I355" s="745">
        <v>0</v>
      </c>
      <c r="J355" s="745">
        <f t="shared" si="15"/>
        <v>0</v>
      </c>
      <c r="K355" s="752"/>
    </row>
    <row r="356" spans="1:11" ht="25.5" x14ac:dyDescent="0.2">
      <c r="A356" s="756">
        <v>2</v>
      </c>
      <c r="B356" s="748">
        <v>6</v>
      </c>
      <c r="C356" s="748">
        <v>2</v>
      </c>
      <c r="D356" s="748">
        <v>4</v>
      </c>
      <c r="E356" s="749" t="s">
        <v>2221</v>
      </c>
      <c r="F356" s="753" t="s">
        <v>4035</v>
      </c>
      <c r="G356" s="875">
        <f>+'[2]MARZO 2025'!G356+'[2]FEBRERO 2025'!G356+'[2]ENERO 2025'!G356+Hoja5!G353</f>
        <v>0</v>
      </c>
      <c r="H356" s="875">
        <f>+'[2]MARZO 2025'!H356+'[2]FEBRERO 2025'!H356+'[2]ENERO 2025'!H356+Hoja5!H353</f>
        <v>0</v>
      </c>
      <c r="I356" s="875">
        <v>0</v>
      </c>
      <c r="J356" s="875">
        <f t="shared" si="15"/>
        <v>0</v>
      </c>
      <c r="K356" s="751">
        <f>J356/$J$25</f>
        <v>0</v>
      </c>
    </row>
    <row r="357" spans="1:11" x14ac:dyDescent="0.2">
      <c r="A357" s="765">
        <v>2</v>
      </c>
      <c r="B357" s="765">
        <v>6</v>
      </c>
      <c r="C357" s="765">
        <v>3</v>
      </c>
      <c r="D357" s="765"/>
      <c r="E357" s="765"/>
      <c r="F357" s="766" t="s">
        <v>4036</v>
      </c>
      <c r="G357" s="874">
        <f>+'[2]MARZO 2025'!G357+'[2]FEBRERO 2025'!G357+'[2]ENERO 2025'!G357+Hoja5!G354</f>
        <v>16744040.789999999</v>
      </c>
      <c r="H357" s="874">
        <f>+'[2]MARZO 2025'!H357+'[2]FEBRERO 2025'!H357+'[2]ENERO 2025'!H357+Hoja5!H354</f>
        <v>2963024.84</v>
      </c>
      <c r="I357" s="874">
        <v>0</v>
      </c>
      <c r="J357" s="874">
        <f t="shared" si="15"/>
        <v>19707065.629999999</v>
      </c>
      <c r="K357" s="740"/>
    </row>
    <row r="358" spans="1:11" x14ac:dyDescent="0.2">
      <c r="A358" s="755">
        <v>2</v>
      </c>
      <c r="B358" s="744">
        <v>6</v>
      </c>
      <c r="C358" s="744">
        <v>3</v>
      </c>
      <c r="D358" s="744">
        <v>1</v>
      </c>
      <c r="E358" s="758"/>
      <c r="F358" s="762" t="s">
        <v>2339</v>
      </c>
      <c r="G358" s="745">
        <f>+'[2]MARZO 2025'!G358+'[2]FEBRERO 2025'!G358+'[2]ENERO 2025'!G358+Hoja5!G355</f>
        <v>13460974.389999999</v>
      </c>
      <c r="H358" s="745">
        <f>+'[2]MARZO 2025'!H358+'[2]FEBRERO 2025'!H358+'[2]ENERO 2025'!H358+Hoja5!H355</f>
        <v>1300994.8399999999</v>
      </c>
      <c r="I358" s="745">
        <v>0</v>
      </c>
      <c r="J358" s="745">
        <f t="shared" si="15"/>
        <v>14761969.229999999</v>
      </c>
      <c r="K358" s="752"/>
    </row>
    <row r="359" spans="1:11" x14ac:dyDescent="0.2">
      <c r="A359" s="756">
        <v>2</v>
      </c>
      <c r="B359" s="748">
        <v>6</v>
      </c>
      <c r="C359" s="748">
        <v>3</v>
      </c>
      <c r="D359" s="748">
        <v>1</v>
      </c>
      <c r="E359" s="749" t="s">
        <v>2221</v>
      </c>
      <c r="F359" s="753" t="s">
        <v>2339</v>
      </c>
      <c r="G359" s="875">
        <f>+'[2]MARZO 2025'!G359+'[2]FEBRERO 2025'!G359+'[2]ENERO 2025'!G359+Hoja5!G356</f>
        <v>13460974.389999999</v>
      </c>
      <c r="H359" s="875">
        <f>+'[2]MARZO 2025'!H359+'[2]FEBRERO 2025'!H359+'[2]ENERO 2025'!H359+Hoja5!H356</f>
        <v>1300994.8399999999</v>
      </c>
      <c r="I359" s="875">
        <v>0</v>
      </c>
      <c r="J359" s="875">
        <f t="shared" si="15"/>
        <v>14761969.229999999</v>
      </c>
      <c r="K359" s="751">
        <f>J359/$J$25</f>
        <v>2.7927280105687138E-2</v>
      </c>
    </row>
    <row r="360" spans="1:11" x14ac:dyDescent="0.2">
      <c r="A360" s="755">
        <v>2</v>
      </c>
      <c r="B360" s="744">
        <v>6</v>
      </c>
      <c r="C360" s="744">
        <v>3</v>
      </c>
      <c r="D360" s="744">
        <v>2</v>
      </c>
      <c r="E360" s="758"/>
      <c r="F360" s="762" t="s">
        <v>2545</v>
      </c>
      <c r="G360" s="745">
        <f>+'[2]MARZO 2025'!G360+'[2]FEBRERO 2025'!G360+'[2]ENERO 2025'!G360+Hoja5!G357</f>
        <v>5116949.3100000005</v>
      </c>
      <c r="H360" s="745">
        <f>+'[2]MARZO 2025'!H360+'[2]FEBRERO 2025'!H360+'[2]ENERO 2025'!H360+Hoja5!H357</f>
        <v>1662030</v>
      </c>
      <c r="I360" s="745">
        <v>0</v>
      </c>
      <c r="J360" s="745">
        <f t="shared" si="15"/>
        <v>6778979.3100000005</v>
      </c>
      <c r="K360" s="752"/>
    </row>
    <row r="361" spans="1:11" x14ac:dyDescent="0.2">
      <c r="A361" s="756">
        <v>2</v>
      </c>
      <c r="B361" s="748">
        <v>6</v>
      </c>
      <c r="C361" s="748">
        <v>3</v>
      </c>
      <c r="D361" s="748">
        <v>2</v>
      </c>
      <c r="E361" s="749" t="s">
        <v>2221</v>
      </c>
      <c r="F361" s="753" t="s">
        <v>2545</v>
      </c>
      <c r="G361" s="875">
        <f>+'[2]MARZO 2025'!G361+'[2]FEBRERO 2025'!G361+'[2]ENERO 2025'!G361+Hoja5!G358</f>
        <v>3603020.4</v>
      </c>
      <c r="H361" s="875">
        <f>+'[2]MARZO 2025'!H361+'[2]FEBRERO 2025'!H361+'[2]ENERO 2025'!H361+Hoja5!H358</f>
        <v>1662030</v>
      </c>
      <c r="I361" s="875">
        <v>0</v>
      </c>
      <c r="J361" s="875">
        <f t="shared" si="15"/>
        <v>5265050.4000000004</v>
      </c>
      <c r="K361" s="751">
        <f>J361/$J$25</f>
        <v>9.960631606827983E-3</v>
      </c>
    </row>
    <row r="362" spans="1:11" x14ac:dyDescent="0.2">
      <c r="A362" s="755">
        <v>2</v>
      </c>
      <c r="B362" s="744">
        <v>6</v>
      </c>
      <c r="C362" s="744">
        <v>3</v>
      </c>
      <c r="D362" s="744">
        <v>3</v>
      </c>
      <c r="E362" s="758"/>
      <c r="F362" s="762" t="s">
        <v>4037</v>
      </c>
      <c r="G362" s="745">
        <f>+'[2]MARZO 2025'!G362+'[2]FEBRERO 2025'!G362+'[2]ENERO 2025'!G362+Hoja5!G359</f>
        <v>1121858</v>
      </c>
      <c r="H362" s="745">
        <f>+'[2]MARZO 2025'!H362+'[2]FEBRERO 2025'!H362+'[2]ENERO 2025'!H362+Hoja5!H359</f>
        <v>0</v>
      </c>
      <c r="I362" s="745">
        <v>0</v>
      </c>
      <c r="J362" s="745">
        <f t="shared" si="15"/>
        <v>1121858</v>
      </c>
      <c r="K362" s="752"/>
    </row>
    <row r="363" spans="1:11" x14ac:dyDescent="0.2">
      <c r="A363" s="756">
        <v>2</v>
      </c>
      <c r="B363" s="748">
        <v>6</v>
      </c>
      <c r="C363" s="748">
        <v>3</v>
      </c>
      <c r="D363" s="748">
        <v>3</v>
      </c>
      <c r="E363" s="749" t="s">
        <v>2221</v>
      </c>
      <c r="F363" s="753" t="s">
        <v>4037</v>
      </c>
      <c r="G363" s="875">
        <f>+'[2]MARZO 2025'!G363+'[2]FEBRERO 2025'!G363+'[2]ENERO 2025'!G363+Hoja5!G360</f>
        <v>1314567.9099999999</v>
      </c>
      <c r="H363" s="875">
        <f>+'[2]MARZO 2025'!H363+'[2]FEBRERO 2025'!H363+'[2]ENERO 2025'!H363+Hoja5!H360</f>
        <v>0</v>
      </c>
      <c r="I363" s="875">
        <v>0</v>
      </c>
      <c r="J363" s="875">
        <f t="shared" si="15"/>
        <v>1314567.9099999999</v>
      </c>
      <c r="K363" s="751">
        <f>J363/$J$25</f>
        <v>2.4869518198093223E-3</v>
      </c>
    </row>
    <row r="364" spans="1:11" ht="25.5" x14ac:dyDescent="0.2">
      <c r="A364" s="755">
        <v>2</v>
      </c>
      <c r="B364" s="744">
        <v>6</v>
      </c>
      <c r="C364" s="744">
        <v>3</v>
      </c>
      <c r="D364" s="744">
        <v>4</v>
      </c>
      <c r="E364" s="744"/>
      <c r="F364" s="762" t="s">
        <v>4038</v>
      </c>
      <c r="G364" s="745">
        <f>+'[2]MARZO 2025'!G364+'[2]FEBRERO 2025'!G364+'[2]ENERO 2025'!G364+Hoja5!G361</f>
        <v>2116471.91</v>
      </c>
      <c r="H364" s="745">
        <f>+'[2]MARZO 2025'!H364+'[2]FEBRERO 2025'!H364+'[2]ENERO 2025'!H364+Hoja5!H361</f>
        <v>0</v>
      </c>
      <c r="I364" s="745">
        <v>0</v>
      </c>
      <c r="J364" s="745">
        <f t="shared" si="15"/>
        <v>2116471.91</v>
      </c>
      <c r="K364" s="752"/>
    </row>
    <row r="365" spans="1:11" ht="25.5" x14ac:dyDescent="0.2">
      <c r="A365" s="756">
        <v>2</v>
      </c>
      <c r="B365" s="748">
        <v>6</v>
      </c>
      <c r="C365" s="748">
        <v>3</v>
      </c>
      <c r="D365" s="748">
        <v>4</v>
      </c>
      <c r="E365" s="749" t="s">
        <v>2221</v>
      </c>
      <c r="F365" s="753" t="s">
        <v>4038</v>
      </c>
      <c r="G365" s="875">
        <f>+'[2]MARZO 2025'!G365+'[2]FEBRERO 2025'!G365+'[2]ENERO 2025'!G365+Hoja5!G362</f>
        <v>801904</v>
      </c>
      <c r="H365" s="875">
        <f>+'[2]MARZO 2025'!H365+'[2]FEBRERO 2025'!H365+'[2]ENERO 2025'!H365+Hoja5!H362</f>
        <v>0</v>
      </c>
      <c r="I365" s="875">
        <v>0</v>
      </c>
      <c r="J365" s="875">
        <f t="shared" si="15"/>
        <v>801904</v>
      </c>
      <c r="K365" s="751">
        <f>J365/$J$25</f>
        <v>1.5170738589780233E-3</v>
      </c>
    </row>
    <row r="366" spans="1:11" ht="25.5" x14ac:dyDescent="0.2">
      <c r="A366" s="741">
        <v>2</v>
      </c>
      <c r="B366" s="742">
        <v>6</v>
      </c>
      <c r="C366" s="742">
        <v>4</v>
      </c>
      <c r="D366" s="742"/>
      <c r="E366" s="759"/>
      <c r="F366" s="763" t="s">
        <v>4039</v>
      </c>
      <c r="G366" s="874">
        <f>+'[2]MARZO 2025'!G366+'[2]FEBRERO 2025'!G366+'[2]ENERO 2025'!G366+Hoja5!G363</f>
        <v>0</v>
      </c>
      <c r="H366" s="874">
        <f>+'[2]MARZO 2025'!H366+'[2]FEBRERO 2025'!H366+'[2]ENERO 2025'!H366+Hoja5!H363</f>
        <v>107609.37</v>
      </c>
      <c r="I366" s="874">
        <v>0</v>
      </c>
      <c r="J366" s="874">
        <f t="shared" si="15"/>
        <v>107609.37</v>
      </c>
      <c r="K366" s="740"/>
    </row>
    <row r="367" spans="1:11" x14ac:dyDescent="0.2">
      <c r="A367" s="755">
        <v>2</v>
      </c>
      <c r="B367" s="744">
        <v>6</v>
      </c>
      <c r="C367" s="744">
        <v>4</v>
      </c>
      <c r="D367" s="744">
        <v>1</v>
      </c>
      <c r="E367" s="744"/>
      <c r="F367" s="762" t="s">
        <v>4040</v>
      </c>
      <c r="G367" s="745">
        <f>+'[2]MARZO 2025'!G367+'[2]FEBRERO 2025'!G367+'[2]ENERO 2025'!G367+Hoja5!G364</f>
        <v>199361</v>
      </c>
      <c r="H367" s="745">
        <f>+'[2]MARZO 2025'!H367+'[2]FEBRERO 2025'!H367+'[2]ENERO 2025'!H367+Hoja5!H364</f>
        <v>0</v>
      </c>
      <c r="I367" s="745">
        <v>0</v>
      </c>
      <c r="J367" s="745">
        <f t="shared" si="15"/>
        <v>199361</v>
      </c>
      <c r="K367" s="752"/>
    </row>
    <row r="368" spans="1:11" x14ac:dyDescent="0.2">
      <c r="A368" s="756">
        <v>2</v>
      </c>
      <c r="B368" s="748">
        <v>6</v>
      </c>
      <c r="C368" s="748">
        <v>4</v>
      </c>
      <c r="D368" s="748">
        <v>1</v>
      </c>
      <c r="E368" s="749" t="s">
        <v>2221</v>
      </c>
      <c r="F368" s="753" t="s">
        <v>4040</v>
      </c>
      <c r="G368" s="875">
        <f>+'[2]MARZO 2025'!G368+'[2]FEBRERO 2025'!G368+'[2]ENERO 2025'!G368+Hoja5!G365</f>
        <v>199361</v>
      </c>
      <c r="H368" s="875">
        <f>+'[2]MARZO 2025'!H368+'[2]FEBRERO 2025'!H368+'[2]ENERO 2025'!H368+Hoja5!H365</f>
        <v>0</v>
      </c>
      <c r="I368" s="875">
        <v>0</v>
      </c>
      <c r="J368" s="875">
        <f t="shared" si="15"/>
        <v>199361</v>
      </c>
      <c r="K368" s="751">
        <f>J368/$J$25</f>
        <v>3.771590634286869E-4</v>
      </c>
    </row>
    <row r="369" spans="1:11" x14ac:dyDescent="0.2">
      <c r="A369" s="755">
        <v>2</v>
      </c>
      <c r="B369" s="744">
        <v>6</v>
      </c>
      <c r="C369" s="744">
        <v>4</v>
      </c>
      <c r="D369" s="744">
        <v>2</v>
      </c>
      <c r="E369" s="744"/>
      <c r="F369" s="762" t="s">
        <v>4041</v>
      </c>
      <c r="G369" s="745">
        <f>+'[2]MARZO 2025'!G369+'[2]FEBRERO 2025'!G369+'[2]ENERO 2025'!G369+Hoja5!G366</f>
        <v>0</v>
      </c>
      <c r="H369" s="745">
        <f>+'[2]MARZO 2025'!H369+'[2]FEBRERO 2025'!H369+'[2]ENERO 2025'!H369+Hoja5!H366</f>
        <v>0</v>
      </c>
      <c r="I369" s="745">
        <v>0</v>
      </c>
      <c r="J369" s="745">
        <f t="shared" si="15"/>
        <v>0</v>
      </c>
      <c r="K369" s="752"/>
    </row>
    <row r="370" spans="1:11" x14ac:dyDescent="0.2">
      <c r="A370" s="756">
        <v>2</v>
      </c>
      <c r="B370" s="748">
        <v>6</v>
      </c>
      <c r="C370" s="748">
        <v>4</v>
      </c>
      <c r="D370" s="748">
        <v>2</v>
      </c>
      <c r="E370" s="749" t="s">
        <v>2221</v>
      </c>
      <c r="F370" s="753" t="s">
        <v>4041</v>
      </c>
      <c r="G370" s="875">
        <f>+'[2]MARZO 2025'!G370+'[2]FEBRERO 2025'!G370+'[2]ENERO 2025'!G370+Hoja5!G367</f>
        <v>0</v>
      </c>
      <c r="H370" s="875">
        <f>+'[2]MARZO 2025'!H370+'[2]FEBRERO 2025'!H370+'[2]ENERO 2025'!H370+Hoja5!H367</f>
        <v>0</v>
      </c>
      <c r="I370" s="875">
        <v>0</v>
      </c>
      <c r="J370" s="875">
        <f t="shared" si="15"/>
        <v>0</v>
      </c>
      <c r="K370" s="751">
        <f>J370/$J$25</f>
        <v>0</v>
      </c>
    </row>
    <row r="371" spans="1:11" x14ac:dyDescent="0.2">
      <c r="A371" s="755">
        <v>2</v>
      </c>
      <c r="B371" s="744">
        <v>6</v>
      </c>
      <c r="C371" s="744">
        <v>4</v>
      </c>
      <c r="D371" s="744">
        <v>3</v>
      </c>
      <c r="E371" s="744"/>
      <c r="F371" s="762" t="s">
        <v>4042</v>
      </c>
      <c r="G371" s="745">
        <f>+'[2]MARZO 2025'!G371+'[2]FEBRERO 2025'!G371+'[2]ENERO 2025'!G371+Hoja5!G368</f>
        <v>0</v>
      </c>
      <c r="H371" s="745">
        <f>+'[2]MARZO 2025'!H371+'[2]FEBRERO 2025'!H371+'[2]ENERO 2025'!H371+Hoja5!H368</f>
        <v>0</v>
      </c>
      <c r="I371" s="745">
        <v>0</v>
      </c>
      <c r="J371" s="745">
        <f t="shared" si="15"/>
        <v>0</v>
      </c>
      <c r="K371" s="752"/>
    </row>
    <row r="372" spans="1:11" x14ac:dyDescent="0.2">
      <c r="A372" s="756">
        <v>2</v>
      </c>
      <c r="B372" s="748">
        <v>6</v>
      </c>
      <c r="C372" s="748">
        <v>4</v>
      </c>
      <c r="D372" s="748">
        <v>3</v>
      </c>
      <c r="E372" s="749" t="s">
        <v>2221</v>
      </c>
      <c r="F372" s="753" t="s">
        <v>4042</v>
      </c>
      <c r="G372" s="875">
        <f>+'[2]MARZO 2025'!G372+'[2]FEBRERO 2025'!G372+'[2]ENERO 2025'!G372+Hoja5!G369</f>
        <v>0</v>
      </c>
      <c r="H372" s="875">
        <f>+'[2]MARZO 2025'!H372+'[2]FEBRERO 2025'!H372+'[2]ENERO 2025'!H372+Hoja5!H369</f>
        <v>0</v>
      </c>
      <c r="I372" s="875">
        <v>0</v>
      </c>
      <c r="J372" s="875">
        <f t="shared" si="15"/>
        <v>0</v>
      </c>
      <c r="K372" s="751">
        <f>J372/$J$25</f>
        <v>0</v>
      </c>
    </row>
    <row r="373" spans="1:11" x14ac:dyDescent="0.2">
      <c r="A373" s="755">
        <v>2</v>
      </c>
      <c r="B373" s="744">
        <v>6</v>
      </c>
      <c r="C373" s="744">
        <v>4</v>
      </c>
      <c r="D373" s="744">
        <v>4</v>
      </c>
      <c r="E373" s="744"/>
      <c r="F373" s="762" t="s">
        <v>4043</v>
      </c>
      <c r="G373" s="745">
        <f>+'[2]MARZO 2025'!G373+'[2]FEBRERO 2025'!G373+'[2]ENERO 2025'!G373+Hoja5!G370</f>
        <v>0</v>
      </c>
      <c r="H373" s="745">
        <f>+'[2]MARZO 2025'!H373+'[2]FEBRERO 2025'!H373+'[2]ENERO 2025'!H373+Hoja5!H370</f>
        <v>0</v>
      </c>
      <c r="I373" s="745">
        <v>0</v>
      </c>
      <c r="J373" s="745">
        <f t="shared" si="15"/>
        <v>0</v>
      </c>
      <c r="K373" s="752"/>
    </row>
    <row r="374" spans="1:11" x14ac:dyDescent="0.2">
      <c r="A374" s="756">
        <v>2</v>
      </c>
      <c r="B374" s="748">
        <v>6</v>
      </c>
      <c r="C374" s="748">
        <v>4</v>
      </c>
      <c r="D374" s="748">
        <v>4</v>
      </c>
      <c r="E374" s="749" t="s">
        <v>2221</v>
      </c>
      <c r="F374" s="753" t="s">
        <v>4043</v>
      </c>
      <c r="G374" s="875">
        <f>+'[2]MARZO 2025'!G374+'[2]FEBRERO 2025'!G374+'[2]ENERO 2025'!G374+Hoja5!G371</f>
        <v>0</v>
      </c>
      <c r="H374" s="875">
        <f>+'[2]MARZO 2025'!H374+'[2]FEBRERO 2025'!H374+'[2]ENERO 2025'!H374+Hoja5!H371</f>
        <v>0</v>
      </c>
      <c r="I374" s="875">
        <v>0</v>
      </c>
      <c r="J374" s="875">
        <f t="shared" si="15"/>
        <v>0</v>
      </c>
      <c r="K374" s="751">
        <f>J374/$J$25</f>
        <v>0</v>
      </c>
    </row>
    <row r="375" spans="1:11" x14ac:dyDescent="0.2">
      <c r="A375" s="755">
        <v>2</v>
      </c>
      <c r="B375" s="744">
        <v>6</v>
      </c>
      <c r="C375" s="744">
        <v>4</v>
      </c>
      <c r="D375" s="744">
        <v>5</v>
      </c>
      <c r="E375" s="744"/>
      <c r="F375" s="762" t="s">
        <v>4044</v>
      </c>
      <c r="G375" s="745">
        <f>+'[2]MARZO 2025'!G375+'[2]FEBRERO 2025'!G375+'[2]ENERO 2025'!G375+Hoja5!G372</f>
        <v>0</v>
      </c>
      <c r="H375" s="745">
        <f>+'[2]MARZO 2025'!H375+'[2]FEBRERO 2025'!H375+'[2]ENERO 2025'!H375+Hoja5!H372</f>
        <v>0</v>
      </c>
      <c r="I375" s="745">
        <v>0</v>
      </c>
      <c r="J375" s="745">
        <f t="shared" si="15"/>
        <v>0</v>
      </c>
      <c r="K375" s="752"/>
    </row>
    <row r="376" spans="1:11" x14ac:dyDescent="0.2">
      <c r="A376" s="756">
        <v>2</v>
      </c>
      <c r="B376" s="748">
        <v>6</v>
      </c>
      <c r="C376" s="748">
        <v>4</v>
      </c>
      <c r="D376" s="748">
        <v>5</v>
      </c>
      <c r="E376" s="749" t="s">
        <v>2221</v>
      </c>
      <c r="F376" s="753" t="s">
        <v>4044</v>
      </c>
      <c r="G376" s="875">
        <f>+'[2]MARZO 2025'!G376+'[2]FEBRERO 2025'!G376+'[2]ENERO 2025'!G376+Hoja5!G373</f>
        <v>0</v>
      </c>
      <c r="H376" s="875">
        <f>+'[2]MARZO 2025'!H376+'[2]FEBRERO 2025'!H376+'[2]ENERO 2025'!H376+Hoja5!H373</f>
        <v>0</v>
      </c>
      <c r="I376" s="875">
        <v>0</v>
      </c>
      <c r="J376" s="875">
        <f t="shared" si="15"/>
        <v>0</v>
      </c>
      <c r="K376" s="751">
        <f>J376/$J$25</f>
        <v>0</v>
      </c>
    </row>
    <row r="377" spans="1:11" x14ac:dyDescent="0.2">
      <c r="A377" s="755">
        <v>2</v>
      </c>
      <c r="B377" s="744">
        <v>6</v>
      </c>
      <c r="C377" s="744">
        <v>4</v>
      </c>
      <c r="D377" s="744">
        <v>6</v>
      </c>
      <c r="E377" s="744"/>
      <c r="F377" s="762" t="s">
        <v>4045</v>
      </c>
      <c r="G377" s="745">
        <f>+'[2]MARZO 2025'!G377+'[2]FEBRERO 2025'!G377+'[2]ENERO 2025'!G377+Hoja5!G374</f>
        <v>0</v>
      </c>
      <c r="H377" s="745">
        <f>+'[2]MARZO 2025'!H377+'[2]FEBRERO 2025'!H377+'[2]ENERO 2025'!H377+Hoja5!H374</f>
        <v>107609.37</v>
      </c>
      <c r="I377" s="745">
        <v>0</v>
      </c>
      <c r="J377" s="745">
        <f t="shared" si="15"/>
        <v>107609.37</v>
      </c>
      <c r="K377" s="752"/>
    </row>
    <row r="378" spans="1:11" x14ac:dyDescent="0.2">
      <c r="A378" s="756">
        <v>2</v>
      </c>
      <c r="B378" s="748">
        <v>6</v>
      </c>
      <c r="C378" s="748">
        <v>4</v>
      </c>
      <c r="D378" s="748">
        <v>6</v>
      </c>
      <c r="E378" s="749" t="s">
        <v>2221</v>
      </c>
      <c r="F378" s="753" t="s">
        <v>4045</v>
      </c>
      <c r="G378" s="875">
        <f>+'[2]MARZO 2025'!G378+'[2]FEBRERO 2025'!G378+'[2]ENERO 2025'!G378+Hoja5!G375</f>
        <v>0</v>
      </c>
      <c r="H378" s="875">
        <f>+'[2]MARZO 2025'!H378+'[2]FEBRERO 2025'!H378+'[2]ENERO 2025'!H378+Hoja5!H375</f>
        <v>107609.37</v>
      </c>
      <c r="I378" s="875">
        <v>0</v>
      </c>
      <c r="J378" s="875">
        <f t="shared" si="15"/>
        <v>107609.37</v>
      </c>
      <c r="K378" s="751">
        <f>J378/$J$25</f>
        <v>2.0357968311430537E-4</v>
      </c>
    </row>
    <row r="379" spans="1:11" x14ac:dyDescent="0.2">
      <c r="A379" s="755">
        <v>2</v>
      </c>
      <c r="B379" s="744">
        <v>6</v>
      </c>
      <c r="C379" s="744">
        <v>4</v>
      </c>
      <c r="D379" s="744">
        <v>7</v>
      </c>
      <c r="E379" s="744"/>
      <c r="F379" s="762" t="s">
        <v>4046</v>
      </c>
      <c r="G379" s="745">
        <f>+'[2]MARZO 2025'!G379+'[2]FEBRERO 2025'!G379+'[2]ENERO 2025'!G379+Hoja5!G376</f>
        <v>0</v>
      </c>
      <c r="H379" s="745">
        <f>+'[2]MARZO 2025'!H379+'[2]FEBRERO 2025'!H379+'[2]ENERO 2025'!H379+Hoja5!H376</f>
        <v>0</v>
      </c>
      <c r="I379" s="745">
        <v>0</v>
      </c>
      <c r="J379" s="745">
        <f t="shared" si="15"/>
        <v>0</v>
      </c>
      <c r="K379" s="752"/>
    </row>
    <row r="380" spans="1:11" x14ac:dyDescent="0.2">
      <c r="A380" s="756">
        <v>2</v>
      </c>
      <c r="B380" s="748">
        <v>6</v>
      </c>
      <c r="C380" s="748">
        <v>4</v>
      </c>
      <c r="D380" s="748">
        <v>7</v>
      </c>
      <c r="E380" s="749" t="s">
        <v>2221</v>
      </c>
      <c r="F380" s="753" t="s">
        <v>4046</v>
      </c>
      <c r="G380" s="875">
        <f>+'[2]MARZO 2025'!G380+'[2]FEBRERO 2025'!G380+'[2]ENERO 2025'!G380+Hoja5!G377</f>
        <v>0</v>
      </c>
      <c r="H380" s="875">
        <f>+'[2]MARZO 2025'!H380+'[2]FEBRERO 2025'!H380+'[2]ENERO 2025'!H380+Hoja5!H377</f>
        <v>0</v>
      </c>
      <c r="I380" s="875">
        <v>0</v>
      </c>
      <c r="J380" s="875">
        <f t="shared" si="15"/>
        <v>0</v>
      </c>
      <c r="K380" s="751">
        <f>J380/$J$25</f>
        <v>0</v>
      </c>
    </row>
    <row r="381" spans="1:11" x14ac:dyDescent="0.2">
      <c r="A381" s="755">
        <v>2</v>
      </c>
      <c r="B381" s="744">
        <v>6</v>
      </c>
      <c r="C381" s="744">
        <v>4</v>
      </c>
      <c r="D381" s="744">
        <v>8</v>
      </c>
      <c r="E381" s="744"/>
      <c r="F381" s="762" t="s">
        <v>4047</v>
      </c>
      <c r="G381" s="745">
        <f>+'[2]MARZO 2025'!G381+'[2]FEBRERO 2025'!G381+'[2]ENERO 2025'!G381+Hoja5!G378</f>
        <v>0</v>
      </c>
      <c r="H381" s="745">
        <f>+'[2]MARZO 2025'!H381+'[2]FEBRERO 2025'!H381+'[2]ENERO 2025'!H381+Hoja5!H378</f>
        <v>0</v>
      </c>
      <c r="I381" s="745">
        <v>0</v>
      </c>
      <c r="J381" s="745">
        <f t="shared" si="15"/>
        <v>0</v>
      </c>
      <c r="K381" s="752"/>
    </row>
    <row r="382" spans="1:11" x14ac:dyDescent="0.2">
      <c r="A382" s="756">
        <v>2</v>
      </c>
      <c r="B382" s="748">
        <v>6</v>
      </c>
      <c r="C382" s="748">
        <v>4</v>
      </c>
      <c r="D382" s="748">
        <v>8</v>
      </c>
      <c r="E382" s="749" t="s">
        <v>2221</v>
      </c>
      <c r="F382" s="753" t="s">
        <v>4047</v>
      </c>
      <c r="G382" s="875">
        <f>+'[2]MARZO 2025'!G382+'[2]FEBRERO 2025'!G382+'[2]ENERO 2025'!G382+Hoja5!G379</f>
        <v>0</v>
      </c>
      <c r="H382" s="875">
        <f>+'[2]MARZO 2025'!H382+'[2]FEBRERO 2025'!H382+'[2]ENERO 2025'!H382+Hoja5!H379</f>
        <v>0</v>
      </c>
      <c r="I382" s="875">
        <v>0</v>
      </c>
      <c r="J382" s="875">
        <f t="shared" si="15"/>
        <v>0</v>
      </c>
      <c r="K382" s="751">
        <f>J382/$J$25</f>
        <v>0</v>
      </c>
    </row>
    <row r="383" spans="1:11" x14ac:dyDescent="0.2">
      <c r="A383" s="741">
        <v>2</v>
      </c>
      <c r="B383" s="742">
        <v>6</v>
      </c>
      <c r="C383" s="742">
        <v>5</v>
      </c>
      <c r="D383" s="742"/>
      <c r="E383" s="759"/>
      <c r="F383" s="763" t="s">
        <v>4048</v>
      </c>
      <c r="G383" s="874">
        <f>+'[2]MARZO 2025'!G383+'[2]FEBRERO 2025'!G383+'[2]ENERO 2025'!G383+Hoja5!G380</f>
        <v>3199.97</v>
      </c>
      <c r="H383" s="874">
        <f>+'[2]MARZO 2025'!H383+'[2]FEBRERO 2025'!H383+'[2]ENERO 2025'!H383+Hoja5!H380</f>
        <v>2005410</v>
      </c>
      <c r="I383" s="874">
        <v>0</v>
      </c>
      <c r="J383" s="874">
        <f t="shared" si="15"/>
        <v>2008609.97</v>
      </c>
      <c r="K383" s="740"/>
    </row>
    <row r="384" spans="1:11" x14ac:dyDescent="0.2">
      <c r="A384" s="743">
        <v>2</v>
      </c>
      <c r="B384" s="744">
        <v>6</v>
      </c>
      <c r="C384" s="744">
        <v>5</v>
      </c>
      <c r="D384" s="744">
        <v>1</v>
      </c>
      <c r="E384" s="744"/>
      <c r="F384" s="762" t="s">
        <v>4049</v>
      </c>
      <c r="G384" s="745">
        <f>+'[2]MARZO 2025'!G384+'[2]FEBRERO 2025'!G384+'[2]ENERO 2025'!G384+Hoja5!G381</f>
        <v>0</v>
      </c>
      <c r="H384" s="745">
        <f>+'[2]MARZO 2025'!H384+'[2]FEBRERO 2025'!H384+'[2]ENERO 2025'!H384+Hoja5!H381</f>
        <v>0</v>
      </c>
      <c r="I384" s="745">
        <v>0</v>
      </c>
      <c r="J384" s="745">
        <f t="shared" si="15"/>
        <v>0</v>
      </c>
      <c r="K384" s="752"/>
    </row>
    <row r="385" spans="1:11" x14ac:dyDescent="0.2">
      <c r="A385" s="747">
        <v>2</v>
      </c>
      <c r="B385" s="748">
        <v>6</v>
      </c>
      <c r="C385" s="748">
        <v>5</v>
      </c>
      <c r="D385" s="748">
        <v>1</v>
      </c>
      <c r="E385" s="749" t="s">
        <v>2221</v>
      </c>
      <c r="F385" s="753" t="s">
        <v>4049</v>
      </c>
      <c r="G385" s="875">
        <f>+'[2]MARZO 2025'!G385+'[2]FEBRERO 2025'!G385+'[2]ENERO 2025'!G385+Hoja5!G382</f>
        <v>0</v>
      </c>
      <c r="H385" s="875">
        <f>+'[2]MARZO 2025'!H385+'[2]FEBRERO 2025'!H385+'[2]ENERO 2025'!H385+Hoja5!H382</f>
        <v>0</v>
      </c>
      <c r="I385" s="875">
        <v>0</v>
      </c>
      <c r="J385" s="875">
        <f t="shared" si="15"/>
        <v>0</v>
      </c>
      <c r="K385" s="751">
        <f>J385/$J$25</f>
        <v>0</v>
      </c>
    </row>
    <row r="386" spans="1:11" x14ac:dyDescent="0.2">
      <c r="A386" s="743">
        <v>2</v>
      </c>
      <c r="B386" s="744">
        <v>6</v>
      </c>
      <c r="C386" s="744">
        <v>5</v>
      </c>
      <c r="D386" s="744">
        <v>2</v>
      </c>
      <c r="E386" s="744"/>
      <c r="F386" s="762" t="s">
        <v>2406</v>
      </c>
      <c r="G386" s="745">
        <f>+'[2]MARZO 2025'!G386+'[2]FEBRERO 2025'!G386+'[2]ENERO 2025'!G386+Hoja5!G383</f>
        <v>216820</v>
      </c>
      <c r="H386" s="745">
        <f>+'[2]MARZO 2025'!H386+'[2]FEBRERO 2025'!H386+'[2]ENERO 2025'!H386+Hoja5!H383</f>
        <v>1770000</v>
      </c>
      <c r="I386" s="745">
        <v>0</v>
      </c>
      <c r="J386" s="745">
        <f t="shared" si="15"/>
        <v>1986820</v>
      </c>
      <c r="K386" s="752"/>
    </row>
    <row r="387" spans="1:11" x14ac:dyDescent="0.2">
      <c r="A387" s="747">
        <v>2</v>
      </c>
      <c r="B387" s="748">
        <v>6</v>
      </c>
      <c r="C387" s="748">
        <v>5</v>
      </c>
      <c r="D387" s="748">
        <v>2</v>
      </c>
      <c r="E387" s="749" t="s">
        <v>2221</v>
      </c>
      <c r="F387" s="753" t="s">
        <v>2406</v>
      </c>
      <c r="G387" s="875">
        <f>+'[2]MARZO 2025'!G387+'[2]FEBRERO 2025'!G387+'[2]ENERO 2025'!G387+Hoja5!G384</f>
        <v>0</v>
      </c>
      <c r="H387" s="875">
        <f>+'[2]MARZO 2025'!H387+'[2]FEBRERO 2025'!H387+'[2]ENERO 2025'!H387+Hoja5!H384</f>
        <v>1770000</v>
      </c>
      <c r="I387" s="875">
        <v>0</v>
      </c>
      <c r="J387" s="875">
        <f t="shared" si="15"/>
        <v>1770000</v>
      </c>
      <c r="K387" s="751">
        <f>J387/$J$25</f>
        <v>3.3485563488785458E-3</v>
      </c>
    </row>
    <row r="388" spans="1:11" x14ac:dyDescent="0.2">
      <c r="A388" s="743">
        <v>2</v>
      </c>
      <c r="B388" s="744">
        <v>6</v>
      </c>
      <c r="C388" s="744">
        <v>5</v>
      </c>
      <c r="D388" s="744">
        <v>3</v>
      </c>
      <c r="E388" s="744"/>
      <c r="F388" s="762" t="s">
        <v>4050</v>
      </c>
      <c r="G388" s="745">
        <f>+'[2]MARZO 2025'!G388+'[2]FEBRERO 2025'!G388+'[2]ENERO 2025'!G388+Hoja5!G385</f>
        <v>0</v>
      </c>
      <c r="H388" s="745">
        <f>+'[2]MARZO 2025'!H388+'[2]FEBRERO 2025'!H388+'[2]ENERO 2025'!H388+Hoja5!H385</f>
        <v>0</v>
      </c>
      <c r="I388" s="745">
        <v>0</v>
      </c>
      <c r="J388" s="745">
        <f t="shared" si="15"/>
        <v>0</v>
      </c>
      <c r="K388" s="752"/>
    </row>
    <row r="389" spans="1:11" x14ac:dyDescent="0.2">
      <c r="A389" s="747">
        <v>2</v>
      </c>
      <c r="B389" s="748">
        <v>6</v>
      </c>
      <c r="C389" s="748">
        <v>5</v>
      </c>
      <c r="D389" s="748">
        <v>3</v>
      </c>
      <c r="E389" s="749" t="s">
        <v>2221</v>
      </c>
      <c r="F389" s="753" t="s">
        <v>4050</v>
      </c>
      <c r="G389" s="875">
        <f>+'[2]MARZO 2025'!G389+'[2]FEBRERO 2025'!G389+'[2]ENERO 2025'!G389+Hoja5!G386</f>
        <v>58700</v>
      </c>
      <c r="H389" s="875">
        <f>+'[2]MARZO 2025'!H389+'[2]FEBRERO 2025'!H389+'[2]ENERO 2025'!H389+Hoja5!H386</f>
        <v>0</v>
      </c>
      <c r="I389" s="875">
        <v>0</v>
      </c>
      <c r="J389" s="875">
        <f t="shared" si="15"/>
        <v>58700</v>
      </c>
      <c r="K389" s="751">
        <f>J389/$J$25</f>
        <v>1.1105099303907946E-4</v>
      </c>
    </row>
    <row r="390" spans="1:11" x14ac:dyDescent="0.2">
      <c r="A390" s="743">
        <v>2</v>
      </c>
      <c r="B390" s="744">
        <v>6</v>
      </c>
      <c r="C390" s="744">
        <v>5</v>
      </c>
      <c r="D390" s="744">
        <v>4</v>
      </c>
      <c r="E390" s="744"/>
      <c r="F390" s="762" t="s">
        <v>4051</v>
      </c>
      <c r="G390" s="745">
        <f>+'[2]MARZO 2025'!G390+'[2]FEBRERO 2025'!G390+'[2]ENERO 2025'!G390+Hoja5!G387</f>
        <v>58700</v>
      </c>
      <c r="H390" s="745">
        <f>+'[2]MARZO 2025'!H390+'[2]FEBRERO 2025'!H390+'[2]ENERO 2025'!H390+Hoja5!H387</f>
        <v>192930</v>
      </c>
      <c r="I390" s="745">
        <v>0</v>
      </c>
      <c r="J390" s="745">
        <f t="shared" si="15"/>
        <v>251630</v>
      </c>
      <c r="K390" s="752"/>
    </row>
    <row r="391" spans="1:11" x14ac:dyDescent="0.2">
      <c r="A391" s="747">
        <v>2</v>
      </c>
      <c r="B391" s="748">
        <v>6</v>
      </c>
      <c r="C391" s="748">
        <v>5</v>
      </c>
      <c r="D391" s="748">
        <v>4</v>
      </c>
      <c r="E391" s="749" t="s">
        <v>2221</v>
      </c>
      <c r="F391" s="753" t="s">
        <v>4051</v>
      </c>
      <c r="G391" s="875">
        <f>+'[2]MARZO 2025'!G391+'[2]FEBRERO 2025'!G391+'[2]ENERO 2025'!G391+Hoja5!G388</f>
        <v>0</v>
      </c>
      <c r="H391" s="875">
        <f>+'[2]MARZO 2025'!H391+'[2]FEBRERO 2025'!H391+'[2]ENERO 2025'!H391+Hoja5!H388</f>
        <v>192930</v>
      </c>
      <c r="I391" s="875">
        <v>0</v>
      </c>
      <c r="J391" s="875">
        <f t="shared" si="15"/>
        <v>192930</v>
      </c>
      <c r="K391" s="751">
        <f>J391/$J$25</f>
        <v>3.6499264202776149E-4</v>
      </c>
    </row>
    <row r="392" spans="1:11" ht="25.5" x14ac:dyDescent="0.2">
      <c r="A392" s="743">
        <v>2</v>
      </c>
      <c r="B392" s="744">
        <v>6</v>
      </c>
      <c r="C392" s="744">
        <v>5</v>
      </c>
      <c r="D392" s="744">
        <v>5</v>
      </c>
      <c r="E392" s="744"/>
      <c r="F392" s="762" t="s">
        <v>4052</v>
      </c>
      <c r="G392" s="745">
        <f>+'[2]MARZO 2025'!G392+'[2]FEBRERO 2025'!G392+'[2]ENERO 2025'!G392+Hoja5!G389</f>
        <v>0</v>
      </c>
      <c r="H392" s="745">
        <f>+'[2]MARZO 2025'!H392+'[2]FEBRERO 2025'!H392+'[2]ENERO 2025'!H392+Hoja5!H389</f>
        <v>0</v>
      </c>
      <c r="I392" s="745">
        <v>0</v>
      </c>
      <c r="J392" s="745">
        <f t="shared" si="15"/>
        <v>0</v>
      </c>
      <c r="K392" s="752"/>
    </row>
    <row r="393" spans="1:11" ht="25.5" x14ac:dyDescent="0.2">
      <c r="A393" s="747">
        <v>2</v>
      </c>
      <c r="B393" s="748">
        <v>6</v>
      </c>
      <c r="C393" s="748">
        <v>5</v>
      </c>
      <c r="D393" s="748">
        <v>5</v>
      </c>
      <c r="E393" s="749" t="s">
        <v>2221</v>
      </c>
      <c r="F393" s="753" t="s">
        <v>4052</v>
      </c>
      <c r="G393" s="875">
        <f>+'[2]MARZO 2025'!G393+'[2]FEBRERO 2025'!G393+'[2]ENERO 2025'!G393+Hoja5!G390</f>
        <v>158120</v>
      </c>
      <c r="H393" s="875">
        <f>+'[2]MARZO 2025'!H393+'[2]FEBRERO 2025'!H393+'[2]ENERO 2025'!H393+Hoja5!H390</f>
        <v>0</v>
      </c>
      <c r="I393" s="875">
        <v>0</v>
      </c>
      <c r="J393" s="875">
        <f t="shared" si="15"/>
        <v>158120</v>
      </c>
      <c r="K393" s="751">
        <f>J393/$J$25</f>
        <v>2.9913770049981678E-4</v>
      </c>
    </row>
    <row r="394" spans="1:11" x14ac:dyDescent="0.2">
      <c r="A394" s="743">
        <v>2</v>
      </c>
      <c r="B394" s="744">
        <v>6</v>
      </c>
      <c r="C394" s="744">
        <v>5</v>
      </c>
      <c r="D394" s="744">
        <v>6</v>
      </c>
      <c r="E394" s="744"/>
      <c r="F394" s="762" t="s">
        <v>4053</v>
      </c>
      <c r="G394" s="745">
        <f>+'[2]MARZO 2025'!G394+'[2]FEBRERO 2025'!G394+'[2]ENERO 2025'!G394+Hoja5!G391</f>
        <v>161319.97</v>
      </c>
      <c r="H394" s="745">
        <f>+'[2]MARZO 2025'!H394+'[2]FEBRERO 2025'!H394+'[2]ENERO 2025'!H394+Hoja5!H391</f>
        <v>42480</v>
      </c>
      <c r="I394" s="745">
        <v>0</v>
      </c>
      <c r="J394" s="745">
        <f t="shared" si="15"/>
        <v>203799.97</v>
      </c>
      <c r="K394" s="752"/>
    </row>
    <row r="395" spans="1:11" x14ac:dyDescent="0.2">
      <c r="A395" s="747">
        <v>2</v>
      </c>
      <c r="B395" s="748">
        <v>6</v>
      </c>
      <c r="C395" s="748">
        <v>5</v>
      </c>
      <c r="D395" s="748">
        <v>6</v>
      </c>
      <c r="E395" s="749" t="s">
        <v>2221</v>
      </c>
      <c r="F395" s="753" t="s">
        <v>4053</v>
      </c>
      <c r="G395" s="875">
        <f>+'[2]MARZO 2025'!G395+'[2]FEBRERO 2025'!G395+'[2]ENERO 2025'!G395+Hoja5!G392</f>
        <v>3199.97</v>
      </c>
      <c r="H395" s="875">
        <f>+'[2]MARZO 2025'!H395+'[2]FEBRERO 2025'!H395+'[2]ENERO 2025'!H395+Hoja5!H392</f>
        <v>42480</v>
      </c>
      <c r="I395" s="875">
        <v>0</v>
      </c>
      <c r="J395" s="875">
        <f t="shared" si="15"/>
        <v>45679.97</v>
      </c>
      <c r="K395" s="751">
        <f>J395/$J$25</f>
        <v>8.641918280230594E-5</v>
      </c>
    </row>
    <row r="396" spans="1:11" x14ac:dyDescent="0.2">
      <c r="A396" s="743">
        <v>2</v>
      </c>
      <c r="B396" s="744">
        <v>6</v>
      </c>
      <c r="C396" s="744">
        <v>5</v>
      </c>
      <c r="D396" s="744">
        <v>7</v>
      </c>
      <c r="E396" s="744"/>
      <c r="F396" s="762" t="s">
        <v>2702</v>
      </c>
      <c r="G396" s="745">
        <f>+'[2]MARZO 2025'!G396+'[2]FEBRERO 2025'!G396+'[2]ENERO 2025'!G396+Hoja5!G393</f>
        <v>0</v>
      </c>
      <c r="H396" s="745">
        <f>+'[2]MARZO 2025'!H396+'[2]FEBRERO 2025'!H396+'[2]ENERO 2025'!H396+Hoja5!H393</f>
        <v>0</v>
      </c>
      <c r="I396" s="745">
        <v>0</v>
      </c>
      <c r="J396" s="745">
        <f t="shared" si="15"/>
        <v>0</v>
      </c>
      <c r="K396" s="752"/>
    </row>
    <row r="397" spans="1:11" x14ac:dyDescent="0.2">
      <c r="A397" s="747">
        <v>2</v>
      </c>
      <c r="B397" s="748">
        <v>6</v>
      </c>
      <c r="C397" s="748">
        <v>5</v>
      </c>
      <c r="D397" s="748">
        <v>7</v>
      </c>
      <c r="E397" s="749" t="s">
        <v>2221</v>
      </c>
      <c r="F397" s="753" t="s">
        <v>2702</v>
      </c>
      <c r="G397" s="875">
        <f>+'[2]MARZO 2025'!G397+'[2]FEBRERO 2025'!G397+'[2]ENERO 2025'!G397+Hoja5!G394</f>
        <v>0</v>
      </c>
      <c r="H397" s="875">
        <f>+'[2]MARZO 2025'!H397+'[2]FEBRERO 2025'!H397+'[2]ENERO 2025'!H397+Hoja5!H394</f>
        <v>0</v>
      </c>
      <c r="I397" s="875">
        <v>0</v>
      </c>
      <c r="J397" s="875">
        <f t="shared" si="15"/>
        <v>0</v>
      </c>
      <c r="K397" s="751">
        <f>J397/$J$25</f>
        <v>0</v>
      </c>
    </row>
    <row r="398" spans="1:11" x14ac:dyDescent="0.2">
      <c r="A398" s="743">
        <v>2</v>
      </c>
      <c r="B398" s="744">
        <v>6</v>
      </c>
      <c r="C398" s="744">
        <v>5</v>
      </c>
      <c r="D398" s="744">
        <v>8</v>
      </c>
      <c r="E398" s="744"/>
      <c r="F398" s="762" t="s">
        <v>4054</v>
      </c>
      <c r="G398" s="745">
        <f>+'[2]MARZO 2025'!G398+'[2]FEBRERO 2025'!G398+'[2]ENERO 2025'!G398+Hoja5!G395</f>
        <v>0</v>
      </c>
      <c r="H398" s="745">
        <f>+'[2]MARZO 2025'!H398+'[2]FEBRERO 2025'!H398+'[2]ENERO 2025'!H398+Hoja5!H395</f>
        <v>0</v>
      </c>
      <c r="I398" s="745">
        <v>0</v>
      </c>
      <c r="J398" s="745">
        <f t="shared" si="15"/>
        <v>0</v>
      </c>
      <c r="K398" s="752"/>
    </row>
    <row r="399" spans="1:11" x14ac:dyDescent="0.2">
      <c r="A399" s="747">
        <v>2</v>
      </c>
      <c r="B399" s="748">
        <v>6</v>
      </c>
      <c r="C399" s="748">
        <v>5</v>
      </c>
      <c r="D399" s="748">
        <v>8</v>
      </c>
      <c r="E399" s="749" t="s">
        <v>2221</v>
      </c>
      <c r="F399" s="753" t="s">
        <v>4054</v>
      </c>
      <c r="G399" s="875">
        <f>+'[2]MARZO 2025'!G399+'[2]FEBRERO 2025'!G399+'[2]ENERO 2025'!G399+Hoja5!G396</f>
        <v>0</v>
      </c>
      <c r="H399" s="875">
        <f>+'[2]MARZO 2025'!H399+'[2]FEBRERO 2025'!H399+'[2]ENERO 2025'!H399+Hoja5!H396</f>
        <v>0</v>
      </c>
      <c r="I399" s="875">
        <v>0</v>
      </c>
      <c r="J399" s="875">
        <f t="shared" si="15"/>
        <v>0</v>
      </c>
      <c r="K399" s="751">
        <f>J399/$J$25</f>
        <v>0</v>
      </c>
    </row>
    <row r="400" spans="1:11" x14ac:dyDescent="0.2">
      <c r="A400" s="754">
        <v>2</v>
      </c>
      <c r="B400" s="742">
        <v>6</v>
      </c>
      <c r="C400" s="742">
        <v>6</v>
      </c>
      <c r="D400" s="742"/>
      <c r="E400" s="742"/>
      <c r="F400" s="763" t="s">
        <v>4055</v>
      </c>
      <c r="G400" s="874">
        <f>+'[2]MARZO 2025'!G400+'[2]FEBRERO 2025'!G400+'[2]ENERO 2025'!G400+Hoja5!G397</f>
        <v>0</v>
      </c>
      <c r="H400" s="874">
        <f>+'[2]MARZO 2025'!H400+'[2]FEBRERO 2025'!H400+'[2]ENERO 2025'!H400+Hoja5!H397</f>
        <v>0</v>
      </c>
      <c r="I400" s="874">
        <v>0</v>
      </c>
      <c r="J400" s="874">
        <f t="shared" si="15"/>
        <v>0</v>
      </c>
      <c r="K400" s="740">
        <f>J400/$J$25</f>
        <v>0</v>
      </c>
    </row>
    <row r="401" spans="1:11" x14ac:dyDescent="0.2">
      <c r="A401" s="755">
        <v>2</v>
      </c>
      <c r="B401" s="744">
        <v>6</v>
      </c>
      <c r="C401" s="744">
        <v>6</v>
      </c>
      <c r="D401" s="744">
        <v>1</v>
      </c>
      <c r="E401" s="758"/>
      <c r="F401" s="762" t="s">
        <v>4056</v>
      </c>
      <c r="G401" s="745">
        <f>+'[2]MARZO 2025'!G401+'[2]FEBRERO 2025'!G401+'[2]ENERO 2025'!G401+Hoja5!G398</f>
        <v>0</v>
      </c>
      <c r="H401" s="745">
        <f>+'[2]MARZO 2025'!H401+'[2]FEBRERO 2025'!H401+'[2]ENERO 2025'!H401+Hoja5!H398</f>
        <v>0</v>
      </c>
      <c r="I401" s="745">
        <v>0</v>
      </c>
      <c r="J401" s="745">
        <f t="shared" si="15"/>
        <v>0</v>
      </c>
      <c r="K401" s="752"/>
    </row>
    <row r="402" spans="1:11" x14ac:dyDescent="0.2">
      <c r="A402" s="756">
        <v>2</v>
      </c>
      <c r="B402" s="748">
        <v>6</v>
      </c>
      <c r="C402" s="748">
        <v>6</v>
      </c>
      <c r="D402" s="748">
        <v>1</v>
      </c>
      <c r="E402" s="748" t="s">
        <v>4057</v>
      </c>
      <c r="F402" s="753" t="s">
        <v>4056</v>
      </c>
      <c r="G402" s="875">
        <f>+'[2]MARZO 2025'!G402+'[2]FEBRERO 2025'!G402+'[2]ENERO 2025'!G402+Hoja5!G399</f>
        <v>0</v>
      </c>
      <c r="H402" s="875">
        <f>+'[2]MARZO 2025'!H402+'[2]FEBRERO 2025'!H402+'[2]ENERO 2025'!H402+Hoja5!H399</f>
        <v>0</v>
      </c>
      <c r="I402" s="875">
        <v>0</v>
      </c>
      <c r="J402" s="875">
        <f t="shared" si="15"/>
        <v>0</v>
      </c>
      <c r="K402" s="751">
        <f>J402/$J$25</f>
        <v>0</v>
      </c>
    </row>
    <row r="403" spans="1:11" x14ac:dyDescent="0.2">
      <c r="A403" s="755">
        <v>2</v>
      </c>
      <c r="B403" s="744">
        <v>6</v>
      </c>
      <c r="C403" s="744">
        <v>6</v>
      </c>
      <c r="D403" s="744">
        <v>2</v>
      </c>
      <c r="E403" s="758"/>
      <c r="F403" s="762" t="s">
        <v>4058</v>
      </c>
      <c r="G403" s="745">
        <f>+'[2]MARZO 2025'!G403+'[2]FEBRERO 2025'!G403+'[2]ENERO 2025'!G403+Hoja5!G400</f>
        <v>0</v>
      </c>
      <c r="H403" s="745">
        <f>+'[2]MARZO 2025'!H403+'[2]FEBRERO 2025'!H403+'[2]ENERO 2025'!H403+Hoja5!H400</f>
        <v>0</v>
      </c>
      <c r="I403" s="745">
        <v>0</v>
      </c>
      <c r="J403" s="745">
        <f t="shared" si="15"/>
        <v>0</v>
      </c>
      <c r="K403" s="752"/>
    </row>
    <row r="404" spans="1:11" x14ac:dyDescent="0.2">
      <c r="A404" s="756">
        <v>2</v>
      </c>
      <c r="B404" s="748">
        <v>6</v>
      </c>
      <c r="C404" s="748">
        <v>6</v>
      </c>
      <c r="D404" s="748">
        <v>2</v>
      </c>
      <c r="E404" s="748" t="s">
        <v>4057</v>
      </c>
      <c r="F404" s="753" t="s">
        <v>4058</v>
      </c>
      <c r="G404" s="875">
        <f>+'[2]MARZO 2025'!G404+'[2]FEBRERO 2025'!G404+'[2]ENERO 2025'!G404+Hoja5!G401</f>
        <v>0</v>
      </c>
      <c r="H404" s="875">
        <f>+'[2]MARZO 2025'!H404+'[2]FEBRERO 2025'!H404+'[2]ENERO 2025'!H404+Hoja5!H401</f>
        <v>0</v>
      </c>
      <c r="I404" s="875">
        <v>0</v>
      </c>
      <c r="J404" s="875">
        <f t="shared" si="15"/>
        <v>0</v>
      </c>
      <c r="K404" s="751">
        <f>J404/$J$25</f>
        <v>0</v>
      </c>
    </row>
    <row r="405" spans="1:11" x14ac:dyDescent="0.2">
      <c r="A405" s="741">
        <v>2</v>
      </c>
      <c r="B405" s="742">
        <v>6</v>
      </c>
      <c r="C405" s="742">
        <v>7</v>
      </c>
      <c r="D405" s="742"/>
      <c r="E405" s="759"/>
      <c r="F405" s="763" t="s">
        <v>4059</v>
      </c>
      <c r="G405" s="874">
        <f>+'[2]MARZO 2025'!G405+'[2]FEBRERO 2025'!G405+'[2]ENERO 2025'!G405+Hoja5!G402</f>
        <v>0</v>
      </c>
      <c r="H405" s="874">
        <f>+'[2]MARZO 2025'!H405+'[2]FEBRERO 2025'!H405+'[2]ENERO 2025'!H405+Hoja5!H402</f>
        <v>0</v>
      </c>
      <c r="I405" s="874">
        <v>0</v>
      </c>
      <c r="J405" s="874">
        <f t="shared" si="15"/>
        <v>0</v>
      </c>
      <c r="K405" s="740"/>
    </row>
    <row r="406" spans="1:11" x14ac:dyDescent="0.2">
      <c r="A406" s="743">
        <v>2</v>
      </c>
      <c r="B406" s="744">
        <v>6</v>
      </c>
      <c r="C406" s="744">
        <v>7</v>
      </c>
      <c r="D406" s="744">
        <v>1</v>
      </c>
      <c r="E406" s="744"/>
      <c r="F406" s="762" t="s">
        <v>4060</v>
      </c>
      <c r="G406" s="745">
        <f>+'[2]MARZO 2025'!G406+'[2]FEBRERO 2025'!G406+'[2]ENERO 2025'!G406+Hoja5!G403</f>
        <v>0</v>
      </c>
      <c r="H406" s="745">
        <f>+'[2]MARZO 2025'!H406+'[2]FEBRERO 2025'!H406+'[2]ENERO 2025'!H406+Hoja5!H403</f>
        <v>0</v>
      </c>
      <c r="I406" s="745">
        <v>0</v>
      </c>
      <c r="J406" s="745">
        <f t="shared" si="15"/>
        <v>0</v>
      </c>
      <c r="K406" s="752"/>
    </row>
    <row r="407" spans="1:11" x14ac:dyDescent="0.2">
      <c r="A407" s="747">
        <v>2</v>
      </c>
      <c r="B407" s="748">
        <v>6</v>
      </c>
      <c r="C407" s="748">
        <v>7</v>
      </c>
      <c r="D407" s="748">
        <v>1</v>
      </c>
      <c r="E407" s="749" t="s">
        <v>2221</v>
      </c>
      <c r="F407" s="753" t="s">
        <v>4060</v>
      </c>
      <c r="G407" s="875">
        <f>+'[2]MARZO 2025'!G407+'[2]FEBRERO 2025'!G407+'[2]ENERO 2025'!G407+Hoja5!G404</f>
        <v>0</v>
      </c>
      <c r="H407" s="875">
        <f>+'[2]MARZO 2025'!H407+'[2]FEBRERO 2025'!H407+'[2]ENERO 2025'!H407+Hoja5!H404</f>
        <v>0</v>
      </c>
      <c r="I407" s="875">
        <v>0</v>
      </c>
      <c r="J407" s="875">
        <f t="shared" si="15"/>
        <v>0</v>
      </c>
      <c r="K407" s="751">
        <f>J407/$J$25</f>
        <v>0</v>
      </c>
    </row>
    <row r="408" spans="1:11" x14ac:dyDescent="0.2">
      <c r="A408" s="755">
        <v>2</v>
      </c>
      <c r="B408" s="744">
        <v>6</v>
      </c>
      <c r="C408" s="744">
        <v>7</v>
      </c>
      <c r="D408" s="744">
        <v>2</v>
      </c>
      <c r="E408" s="744"/>
      <c r="F408" s="762" t="s">
        <v>4061</v>
      </c>
      <c r="G408" s="745">
        <f>+'[2]MARZO 2025'!G408+'[2]FEBRERO 2025'!G408+'[2]ENERO 2025'!G408+Hoja5!G405</f>
        <v>0</v>
      </c>
      <c r="H408" s="745">
        <f>+'[2]MARZO 2025'!H408+'[2]FEBRERO 2025'!H408+'[2]ENERO 2025'!H408+Hoja5!H405</f>
        <v>0</v>
      </c>
      <c r="I408" s="745">
        <v>0</v>
      </c>
      <c r="J408" s="745">
        <f t="shared" si="15"/>
        <v>0</v>
      </c>
      <c r="K408" s="752"/>
    </row>
    <row r="409" spans="1:11" x14ac:dyDescent="0.2">
      <c r="A409" s="756">
        <v>2</v>
      </c>
      <c r="B409" s="748">
        <v>6</v>
      </c>
      <c r="C409" s="748">
        <v>7</v>
      </c>
      <c r="D409" s="748">
        <v>2</v>
      </c>
      <c r="E409" s="749" t="s">
        <v>2221</v>
      </c>
      <c r="F409" s="753" t="s">
        <v>4061</v>
      </c>
      <c r="G409" s="875">
        <f>+'[2]MARZO 2025'!G409+'[2]FEBRERO 2025'!G409+'[2]ENERO 2025'!G409+Hoja5!G406</f>
        <v>0</v>
      </c>
      <c r="H409" s="875">
        <f>+'[2]MARZO 2025'!H409+'[2]FEBRERO 2025'!H409+'[2]ENERO 2025'!H409+Hoja5!H406</f>
        <v>0</v>
      </c>
      <c r="I409" s="875">
        <v>0</v>
      </c>
      <c r="J409" s="875">
        <f t="shared" si="15"/>
        <v>0</v>
      </c>
      <c r="K409" s="751">
        <f>J409/$J$25</f>
        <v>0</v>
      </c>
    </row>
    <row r="410" spans="1:11" x14ac:dyDescent="0.2">
      <c r="A410" s="755">
        <v>2</v>
      </c>
      <c r="B410" s="744">
        <v>6</v>
      </c>
      <c r="C410" s="744">
        <v>7</v>
      </c>
      <c r="D410" s="744">
        <v>3</v>
      </c>
      <c r="E410" s="744"/>
      <c r="F410" s="762" t="s">
        <v>4062</v>
      </c>
      <c r="G410" s="745">
        <f>+'[2]MARZO 2025'!G410+'[2]FEBRERO 2025'!G410+'[2]ENERO 2025'!G410+Hoja5!G407</f>
        <v>0</v>
      </c>
      <c r="H410" s="745">
        <f>+'[2]MARZO 2025'!H410+'[2]FEBRERO 2025'!H410+'[2]ENERO 2025'!H410+Hoja5!H407</f>
        <v>0</v>
      </c>
      <c r="I410" s="745">
        <v>0</v>
      </c>
      <c r="J410" s="745">
        <f t="shared" si="15"/>
        <v>0</v>
      </c>
      <c r="K410" s="752"/>
    </row>
    <row r="411" spans="1:11" x14ac:dyDescent="0.2">
      <c r="A411" s="756">
        <v>2</v>
      </c>
      <c r="B411" s="748">
        <v>6</v>
      </c>
      <c r="C411" s="748">
        <v>7</v>
      </c>
      <c r="D411" s="748">
        <v>3</v>
      </c>
      <c r="E411" s="749" t="s">
        <v>2221</v>
      </c>
      <c r="F411" s="753" t="s">
        <v>4062</v>
      </c>
      <c r="G411" s="875">
        <f>+'[2]MARZO 2025'!G411+'[2]FEBRERO 2025'!G411+'[2]ENERO 2025'!G411+Hoja5!G408</f>
        <v>0</v>
      </c>
      <c r="H411" s="875">
        <f>+'[2]MARZO 2025'!H411+'[2]FEBRERO 2025'!H411+'[2]ENERO 2025'!H411+Hoja5!H408</f>
        <v>0</v>
      </c>
      <c r="I411" s="875">
        <v>0</v>
      </c>
      <c r="J411" s="875">
        <f t="shared" si="15"/>
        <v>0</v>
      </c>
      <c r="K411" s="751">
        <f>J411/$J$25</f>
        <v>0</v>
      </c>
    </row>
    <row r="412" spans="1:11" x14ac:dyDescent="0.2">
      <c r="A412" s="755">
        <v>2</v>
      </c>
      <c r="B412" s="744">
        <v>6</v>
      </c>
      <c r="C412" s="744">
        <v>7</v>
      </c>
      <c r="D412" s="744">
        <v>4</v>
      </c>
      <c r="E412" s="744"/>
      <c r="F412" s="762" t="s">
        <v>4063</v>
      </c>
      <c r="G412" s="745">
        <f>+'[2]MARZO 2025'!G412+'[2]FEBRERO 2025'!G412+'[2]ENERO 2025'!G412+Hoja5!G409</f>
        <v>0</v>
      </c>
      <c r="H412" s="745">
        <f>+'[2]MARZO 2025'!H412+'[2]FEBRERO 2025'!H412+'[2]ENERO 2025'!H412+Hoja5!H409</f>
        <v>0</v>
      </c>
      <c r="I412" s="745">
        <v>0</v>
      </c>
      <c r="J412" s="745">
        <f t="shared" si="15"/>
        <v>0</v>
      </c>
      <c r="K412" s="752"/>
    </row>
    <row r="413" spans="1:11" x14ac:dyDescent="0.2">
      <c r="A413" s="756">
        <v>2</v>
      </c>
      <c r="B413" s="748">
        <v>6</v>
      </c>
      <c r="C413" s="748">
        <v>7</v>
      </c>
      <c r="D413" s="748">
        <v>4</v>
      </c>
      <c r="E413" s="749" t="s">
        <v>2221</v>
      </c>
      <c r="F413" s="753" t="s">
        <v>4063</v>
      </c>
      <c r="G413" s="875">
        <f>+'[2]MARZO 2025'!G413+'[2]FEBRERO 2025'!G413+'[2]ENERO 2025'!G413+Hoja5!G410</f>
        <v>0</v>
      </c>
      <c r="H413" s="875">
        <f>+'[2]MARZO 2025'!H413+'[2]FEBRERO 2025'!H413+'[2]ENERO 2025'!H413+Hoja5!H410</f>
        <v>0</v>
      </c>
      <c r="I413" s="875">
        <v>0</v>
      </c>
      <c r="J413" s="875">
        <f t="shared" ref="J413:J477" si="16">SUM(G413:I413)</f>
        <v>0</v>
      </c>
      <c r="K413" s="751">
        <f>J413/$J$25</f>
        <v>0</v>
      </c>
    </row>
    <row r="414" spans="1:11" x14ac:dyDescent="0.2">
      <c r="A414" s="755">
        <v>2</v>
      </c>
      <c r="B414" s="744">
        <v>6</v>
      </c>
      <c r="C414" s="744">
        <v>7</v>
      </c>
      <c r="D414" s="744">
        <v>5</v>
      </c>
      <c r="E414" s="744"/>
      <c r="F414" s="762" t="s">
        <v>4064</v>
      </c>
      <c r="G414" s="745">
        <f>+'[2]MARZO 2025'!G414+'[2]FEBRERO 2025'!G414+'[2]ENERO 2025'!G414+Hoja5!G411</f>
        <v>0</v>
      </c>
      <c r="H414" s="745">
        <f>+'[2]MARZO 2025'!H414+'[2]FEBRERO 2025'!H414+'[2]ENERO 2025'!H414+Hoja5!H411</f>
        <v>0</v>
      </c>
      <c r="I414" s="745">
        <v>0</v>
      </c>
      <c r="J414" s="745">
        <f t="shared" si="16"/>
        <v>0</v>
      </c>
      <c r="K414" s="752"/>
    </row>
    <row r="415" spans="1:11" x14ac:dyDescent="0.2">
      <c r="A415" s="756">
        <v>2</v>
      </c>
      <c r="B415" s="748">
        <v>6</v>
      </c>
      <c r="C415" s="748">
        <v>7</v>
      </c>
      <c r="D415" s="748">
        <v>5</v>
      </c>
      <c r="E415" s="749" t="s">
        <v>2221</v>
      </c>
      <c r="F415" s="753" t="s">
        <v>4064</v>
      </c>
      <c r="G415" s="875">
        <f>+'[2]MARZO 2025'!G415+'[2]FEBRERO 2025'!G415+'[2]ENERO 2025'!G415+Hoja5!G412</f>
        <v>0</v>
      </c>
      <c r="H415" s="875">
        <f>+'[2]MARZO 2025'!H415+'[2]FEBRERO 2025'!H415+'[2]ENERO 2025'!H415+Hoja5!H412</f>
        <v>0</v>
      </c>
      <c r="I415" s="875">
        <v>0</v>
      </c>
      <c r="J415" s="875">
        <f t="shared" si="16"/>
        <v>0</v>
      </c>
      <c r="K415" s="751">
        <f>J415/$J$25</f>
        <v>0</v>
      </c>
    </row>
    <row r="416" spans="1:11" x14ac:dyDescent="0.2">
      <c r="A416" s="755">
        <v>2</v>
      </c>
      <c r="B416" s="744">
        <v>6</v>
      </c>
      <c r="C416" s="744">
        <v>7</v>
      </c>
      <c r="D416" s="744">
        <v>6</v>
      </c>
      <c r="E416" s="744"/>
      <c r="F416" s="762" t="s">
        <v>4065</v>
      </c>
      <c r="G416" s="745">
        <f>+'[2]MARZO 2025'!G416+'[2]FEBRERO 2025'!G416+'[2]ENERO 2025'!G416+Hoja5!G413</f>
        <v>0</v>
      </c>
      <c r="H416" s="745">
        <f>+'[2]MARZO 2025'!H416+'[2]FEBRERO 2025'!H416+'[2]ENERO 2025'!H416+Hoja5!H413</f>
        <v>0</v>
      </c>
      <c r="I416" s="745">
        <v>0</v>
      </c>
      <c r="J416" s="745">
        <f t="shared" si="16"/>
        <v>0</v>
      </c>
      <c r="K416" s="752"/>
    </row>
    <row r="417" spans="1:11" x14ac:dyDescent="0.2">
      <c r="A417" s="756">
        <v>2</v>
      </c>
      <c r="B417" s="748">
        <v>6</v>
      </c>
      <c r="C417" s="748">
        <v>7</v>
      </c>
      <c r="D417" s="748">
        <v>6</v>
      </c>
      <c r="E417" s="749" t="s">
        <v>2221</v>
      </c>
      <c r="F417" s="753" t="s">
        <v>4065</v>
      </c>
      <c r="G417" s="875">
        <f>+'[2]MARZO 2025'!G417+'[2]FEBRERO 2025'!G417+'[2]ENERO 2025'!G417+Hoja5!G414</f>
        <v>0</v>
      </c>
      <c r="H417" s="875">
        <f>+'[2]MARZO 2025'!H417+'[2]FEBRERO 2025'!H417+'[2]ENERO 2025'!H417+Hoja5!H414</f>
        <v>0</v>
      </c>
      <c r="I417" s="875">
        <v>0</v>
      </c>
      <c r="J417" s="875">
        <f t="shared" si="16"/>
        <v>0</v>
      </c>
      <c r="K417" s="751">
        <f>J417/$J$25</f>
        <v>0</v>
      </c>
    </row>
    <row r="418" spans="1:11" x14ac:dyDescent="0.2">
      <c r="A418" s="755">
        <v>2</v>
      </c>
      <c r="B418" s="744">
        <v>6</v>
      </c>
      <c r="C418" s="744">
        <v>7</v>
      </c>
      <c r="D418" s="744">
        <v>7</v>
      </c>
      <c r="E418" s="744"/>
      <c r="F418" s="762" t="s">
        <v>4066</v>
      </c>
      <c r="G418" s="745">
        <f>+'[2]MARZO 2025'!G418+'[2]FEBRERO 2025'!G418+'[2]ENERO 2025'!G418+Hoja5!G415</f>
        <v>0</v>
      </c>
      <c r="H418" s="745">
        <f>+'[2]MARZO 2025'!H418+'[2]FEBRERO 2025'!H418+'[2]ENERO 2025'!H418+Hoja5!H415</f>
        <v>0</v>
      </c>
      <c r="I418" s="745">
        <v>0</v>
      </c>
      <c r="J418" s="745">
        <f t="shared" si="16"/>
        <v>0</v>
      </c>
      <c r="K418" s="752"/>
    </row>
    <row r="419" spans="1:11" x14ac:dyDescent="0.2">
      <c r="A419" s="756">
        <v>2</v>
      </c>
      <c r="B419" s="748">
        <v>6</v>
      </c>
      <c r="C419" s="748">
        <v>7</v>
      </c>
      <c r="D419" s="748">
        <v>7</v>
      </c>
      <c r="E419" s="749" t="s">
        <v>2221</v>
      </c>
      <c r="F419" s="753" t="s">
        <v>4066</v>
      </c>
      <c r="G419" s="875">
        <f>+'[2]MARZO 2025'!G419+'[2]FEBRERO 2025'!G419+'[2]ENERO 2025'!G419+Hoja5!G416</f>
        <v>0</v>
      </c>
      <c r="H419" s="875">
        <f>+'[2]MARZO 2025'!H419+'[2]FEBRERO 2025'!H419+'[2]ENERO 2025'!H419+Hoja5!H416</f>
        <v>0</v>
      </c>
      <c r="I419" s="875">
        <v>0</v>
      </c>
      <c r="J419" s="875">
        <f t="shared" si="16"/>
        <v>0</v>
      </c>
      <c r="K419" s="751">
        <f>J419/$J$25</f>
        <v>0</v>
      </c>
    </row>
    <row r="420" spans="1:11" ht="25.5" x14ac:dyDescent="0.2">
      <c r="A420" s="755">
        <v>2</v>
      </c>
      <c r="B420" s="744">
        <v>6</v>
      </c>
      <c r="C420" s="744">
        <v>7</v>
      </c>
      <c r="D420" s="744">
        <v>8</v>
      </c>
      <c r="E420" s="744"/>
      <c r="F420" s="762" t="s">
        <v>4067</v>
      </c>
      <c r="G420" s="745">
        <f>+'[2]MARZO 2025'!G420+'[2]FEBRERO 2025'!G420+'[2]ENERO 2025'!G420+Hoja5!G417</f>
        <v>0</v>
      </c>
      <c r="H420" s="745">
        <f>+'[2]MARZO 2025'!H420+'[2]FEBRERO 2025'!H420+'[2]ENERO 2025'!H420+Hoja5!H417</f>
        <v>0</v>
      </c>
      <c r="I420" s="745">
        <v>0</v>
      </c>
      <c r="J420" s="745">
        <f t="shared" si="16"/>
        <v>0</v>
      </c>
      <c r="K420" s="752"/>
    </row>
    <row r="421" spans="1:11" ht="25.5" x14ac:dyDescent="0.2">
      <c r="A421" s="756">
        <v>2</v>
      </c>
      <c r="B421" s="748">
        <v>6</v>
      </c>
      <c r="C421" s="748">
        <v>7</v>
      </c>
      <c r="D421" s="748">
        <v>8</v>
      </c>
      <c r="E421" s="749" t="s">
        <v>2221</v>
      </c>
      <c r="F421" s="753" t="s">
        <v>4067</v>
      </c>
      <c r="G421" s="875">
        <f>+'[2]MARZO 2025'!G421+'[2]FEBRERO 2025'!G421+'[2]ENERO 2025'!G421+Hoja5!G418</f>
        <v>0</v>
      </c>
      <c r="H421" s="875">
        <f>+'[2]MARZO 2025'!H421+'[2]FEBRERO 2025'!H421+'[2]ENERO 2025'!H421+Hoja5!H418</f>
        <v>0</v>
      </c>
      <c r="I421" s="875">
        <v>0</v>
      </c>
      <c r="J421" s="875">
        <f t="shared" si="16"/>
        <v>0</v>
      </c>
      <c r="K421" s="751">
        <f>J421/$J$25</f>
        <v>0</v>
      </c>
    </row>
    <row r="422" spans="1:11" ht="25.5" x14ac:dyDescent="0.2">
      <c r="A422" s="755">
        <v>2</v>
      </c>
      <c r="B422" s="744">
        <v>6</v>
      </c>
      <c r="C422" s="744">
        <v>7</v>
      </c>
      <c r="D422" s="744">
        <v>9</v>
      </c>
      <c r="E422" s="744"/>
      <c r="F422" s="762" t="s">
        <v>4068</v>
      </c>
      <c r="G422" s="745">
        <f>+'[2]MARZO 2025'!G422+'[2]FEBRERO 2025'!G422+'[2]ENERO 2025'!G422+Hoja5!G419</f>
        <v>0</v>
      </c>
      <c r="H422" s="745">
        <f>+'[2]MARZO 2025'!H422+'[2]FEBRERO 2025'!H422+'[2]ENERO 2025'!H422+Hoja5!H419</f>
        <v>0</v>
      </c>
      <c r="I422" s="745">
        <v>0</v>
      </c>
      <c r="J422" s="745">
        <f t="shared" si="16"/>
        <v>0</v>
      </c>
      <c r="K422" s="752"/>
    </row>
    <row r="423" spans="1:11" ht="25.5" x14ac:dyDescent="0.2">
      <c r="A423" s="756">
        <v>2</v>
      </c>
      <c r="B423" s="748">
        <v>6</v>
      </c>
      <c r="C423" s="748">
        <v>7</v>
      </c>
      <c r="D423" s="748">
        <v>9</v>
      </c>
      <c r="E423" s="749" t="s">
        <v>2221</v>
      </c>
      <c r="F423" s="753" t="s">
        <v>4068</v>
      </c>
      <c r="G423" s="875">
        <f>+'[2]MARZO 2025'!G423+'[2]FEBRERO 2025'!G423+'[2]ENERO 2025'!G423+Hoja5!G420</f>
        <v>0</v>
      </c>
      <c r="H423" s="875">
        <f>+'[2]MARZO 2025'!H423+'[2]FEBRERO 2025'!H423+'[2]ENERO 2025'!H423+Hoja5!H420</f>
        <v>0</v>
      </c>
      <c r="I423" s="875">
        <v>0</v>
      </c>
      <c r="J423" s="875">
        <f t="shared" si="16"/>
        <v>0</v>
      </c>
      <c r="K423" s="751">
        <f>J423/$J$25</f>
        <v>0</v>
      </c>
    </row>
    <row r="424" spans="1:11" x14ac:dyDescent="0.2">
      <c r="A424" s="754">
        <v>2</v>
      </c>
      <c r="B424" s="742">
        <v>6</v>
      </c>
      <c r="C424" s="742">
        <v>8</v>
      </c>
      <c r="D424" s="742"/>
      <c r="E424" s="742"/>
      <c r="F424" s="763" t="s">
        <v>4069</v>
      </c>
      <c r="G424" s="874">
        <f>+'[2]MARZO 2025'!G424+'[2]FEBRERO 2025'!G424+'[2]ENERO 2025'!G424+Hoja5!G421</f>
        <v>0</v>
      </c>
      <c r="H424" s="874">
        <f>+'[2]MARZO 2025'!H424+'[2]FEBRERO 2025'!H424+'[2]ENERO 2025'!H424+Hoja5!H421</f>
        <v>0</v>
      </c>
      <c r="I424" s="874">
        <v>0</v>
      </c>
      <c r="J424" s="874">
        <f t="shared" si="16"/>
        <v>0</v>
      </c>
      <c r="K424" s="740"/>
    </row>
    <row r="425" spans="1:11" x14ac:dyDescent="0.2">
      <c r="A425" s="755">
        <v>2</v>
      </c>
      <c r="B425" s="744">
        <v>6</v>
      </c>
      <c r="C425" s="744">
        <v>8</v>
      </c>
      <c r="D425" s="744">
        <v>1</v>
      </c>
      <c r="E425" s="744"/>
      <c r="F425" s="762" t="s">
        <v>4070</v>
      </c>
      <c r="G425" s="745">
        <f>+'[2]MARZO 2025'!G425+'[2]FEBRERO 2025'!G425+'[2]ENERO 2025'!G425+Hoja5!G422</f>
        <v>0</v>
      </c>
      <c r="H425" s="745">
        <f>+'[2]MARZO 2025'!H425+'[2]FEBRERO 2025'!H425+'[2]ENERO 2025'!H425+Hoja5!H422</f>
        <v>0</v>
      </c>
      <c r="I425" s="745">
        <v>0</v>
      </c>
      <c r="J425" s="745">
        <f t="shared" si="16"/>
        <v>0</v>
      </c>
      <c r="K425" s="752"/>
    </row>
    <row r="426" spans="1:11" x14ac:dyDescent="0.2">
      <c r="A426" s="756">
        <v>2</v>
      </c>
      <c r="B426" s="748">
        <v>6</v>
      </c>
      <c r="C426" s="748">
        <v>8</v>
      </c>
      <c r="D426" s="748">
        <v>1</v>
      </c>
      <c r="E426" s="749" t="s">
        <v>2221</v>
      </c>
      <c r="F426" s="753" t="s">
        <v>4070</v>
      </c>
      <c r="G426" s="875">
        <f>+'[2]MARZO 2025'!G426+'[2]FEBRERO 2025'!G426+'[2]ENERO 2025'!G426+Hoja5!G423</f>
        <v>0</v>
      </c>
      <c r="H426" s="875">
        <f>+'[2]MARZO 2025'!H426+'[2]FEBRERO 2025'!H426+'[2]ENERO 2025'!H426+Hoja5!H423</f>
        <v>0</v>
      </c>
      <c r="I426" s="875">
        <v>0</v>
      </c>
      <c r="J426" s="875">
        <f t="shared" si="16"/>
        <v>0</v>
      </c>
      <c r="K426" s="751">
        <f>J426/$J$25</f>
        <v>0</v>
      </c>
    </row>
    <row r="427" spans="1:11" x14ac:dyDescent="0.2">
      <c r="A427" s="755">
        <v>2</v>
      </c>
      <c r="B427" s="744">
        <v>6</v>
      </c>
      <c r="C427" s="744">
        <v>8</v>
      </c>
      <c r="D427" s="744">
        <v>2</v>
      </c>
      <c r="E427" s="744"/>
      <c r="F427" s="762" t="s">
        <v>4071</v>
      </c>
      <c r="G427" s="745">
        <f>+'[2]MARZO 2025'!G427+'[2]FEBRERO 2025'!G427+'[2]ENERO 2025'!G427+Hoja5!G424</f>
        <v>0</v>
      </c>
      <c r="H427" s="745">
        <f>+'[2]MARZO 2025'!H427+'[2]FEBRERO 2025'!H427+'[2]ENERO 2025'!H427+Hoja5!H424</f>
        <v>0</v>
      </c>
      <c r="I427" s="745">
        <v>0</v>
      </c>
      <c r="J427" s="745">
        <f t="shared" si="16"/>
        <v>0</v>
      </c>
      <c r="K427" s="752"/>
    </row>
    <row r="428" spans="1:11" x14ac:dyDescent="0.2">
      <c r="A428" s="756">
        <v>2</v>
      </c>
      <c r="B428" s="748">
        <v>6</v>
      </c>
      <c r="C428" s="748">
        <v>8</v>
      </c>
      <c r="D428" s="748">
        <v>2</v>
      </c>
      <c r="E428" s="749" t="s">
        <v>2221</v>
      </c>
      <c r="F428" s="753" t="s">
        <v>4071</v>
      </c>
      <c r="G428" s="875">
        <f>+'[2]MARZO 2025'!G428+'[2]FEBRERO 2025'!G428+'[2]ENERO 2025'!G428+Hoja5!G425</f>
        <v>0</v>
      </c>
      <c r="H428" s="875">
        <f>+'[2]MARZO 2025'!H428+'[2]FEBRERO 2025'!H428+'[2]ENERO 2025'!H428+Hoja5!H425</f>
        <v>0</v>
      </c>
      <c r="I428" s="875">
        <v>0</v>
      </c>
      <c r="J428" s="875">
        <f t="shared" si="16"/>
        <v>0</v>
      </c>
      <c r="K428" s="751">
        <f>J428/$J$25</f>
        <v>0</v>
      </c>
    </row>
    <row r="429" spans="1:11" x14ac:dyDescent="0.2">
      <c r="A429" s="755">
        <v>2</v>
      </c>
      <c r="B429" s="744">
        <v>6</v>
      </c>
      <c r="C429" s="744">
        <v>8</v>
      </c>
      <c r="D429" s="744">
        <v>3</v>
      </c>
      <c r="E429" s="744"/>
      <c r="F429" s="762" t="s">
        <v>4072</v>
      </c>
      <c r="G429" s="745">
        <f>+'[2]MARZO 2025'!G429+'[2]FEBRERO 2025'!G429+'[2]ENERO 2025'!G429+Hoja5!G426</f>
        <v>0</v>
      </c>
      <c r="H429" s="745">
        <f>+'[2]MARZO 2025'!H429+'[2]FEBRERO 2025'!H429+'[2]ENERO 2025'!H429+Hoja5!H426</f>
        <v>0</v>
      </c>
      <c r="I429" s="745">
        <v>0</v>
      </c>
      <c r="J429" s="745">
        <f t="shared" si="16"/>
        <v>0</v>
      </c>
      <c r="K429" s="752"/>
    </row>
    <row r="430" spans="1:11" x14ac:dyDescent="0.2">
      <c r="A430" s="756">
        <v>2</v>
      </c>
      <c r="B430" s="748">
        <v>6</v>
      </c>
      <c r="C430" s="748">
        <v>8</v>
      </c>
      <c r="D430" s="748">
        <v>3</v>
      </c>
      <c r="E430" s="749" t="s">
        <v>2221</v>
      </c>
      <c r="F430" s="753" t="s">
        <v>4073</v>
      </c>
      <c r="G430" s="875">
        <f>+'[2]MARZO 2025'!G430+'[2]FEBRERO 2025'!G430+'[2]ENERO 2025'!G430+Hoja5!G427</f>
        <v>0</v>
      </c>
      <c r="H430" s="875">
        <f>+'[2]MARZO 2025'!H430+'[2]FEBRERO 2025'!H430+'[2]ENERO 2025'!H430+Hoja5!H427</f>
        <v>0</v>
      </c>
      <c r="I430" s="875">
        <v>0</v>
      </c>
      <c r="J430" s="875">
        <f t="shared" si="16"/>
        <v>0</v>
      </c>
      <c r="K430" s="751">
        <f>J430/$J$25</f>
        <v>0</v>
      </c>
    </row>
    <row r="431" spans="1:11" x14ac:dyDescent="0.2">
      <c r="A431" s="756">
        <v>2</v>
      </c>
      <c r="B431" s="748">
        <v>6</v>
      </c>
      <c r="C431" s="748">
        <v>8</v>
      </c>
      <c r="D431" s="748">
        <v>3</v>
      </c>
      <c r="E431" s="749" t="s">
        <v>1733</v>
      </c>
      <c r="F431" s="753" t="s">
        <v>4074</v>
      </c>
      <c r="G431" s="875">
        <f>+'[2]MARZO 2025'!G431+'[2]FEBRERO 2025'!G431+'[2]ENERO 2025'!G431+Hoja5!G428</f>
        <v>0</v>
      </c>
      <c r="H431" s="875">
        <f>+'[2]MARZO 2025'!H431+'[2]FEBRERO 2025'!H431+'[2]ENERO 2025'!H431+Hoja5!H428</f>
        <v>0</v>
      </c>
      <c r="I431" s="875">
        <v>0</v>
      </c>
      <c r="J431" s="875">
        <f t="shared" si="16"/>
        <v>0</v>
      </c>
      <c r="K431" s="751">
        <f>J431/$J$25</f>
        <v>0</v>
      </c>
    </row>
    <row r="432" spans="1:11" ht="25.5" x14ac:dyDescent="0.2">
      <c r="A432" s="755">
        <v>2</v>
      </c>
      <c r="B432" s="744">
        <v>6</v>
      </c>
      <c r="C432" s="744">
        <v>8</v>
      </c>
      <c r="D432" s="744">
        <v>4</v>
      </c>
      <c r="E432" s="744"/>
      <c r="F432" s="762" t="s">
        <v>4075</v>
      </c>
      <c r="G432" s="745">
        <f>+'[2]MARZO 2025'!G432+'[2]FEBRERO 2025'!G432+'[2]ENERO 2025'!G432+Hoja5!G429</f>
        <v>0</v>
      </c>
      <c r="H432" s="745">
        <f>+'[2]MARZO 2025'!H432+'[2]FEBRERO 2025'!H432+'[2]ENERO 2025'!H432+Hoja5!H429</f>
        <v>0</v>
      </c>
      <c r="I432" s="745">
        <v>0</v>
      </c>
      <c r="J432" s="745">
        <f t="shared" si="16"/>
        <v>0</v>
      </c>
      <c r="K432" s="752"/>
    </row>
    <row r="433" spans="1:11" ht="25.5" x14ac:dyDescent="0.2">
      <c r="A433" s="756">
        <v>2</v>
      </c>
      <c r="B433" s="748">
        <v>6</v>
      </c>
      <c r="C433" s="748">
        <v>8</v>
      </c>
      <c r="D433" s="748">
        <v>4</v>
      </c>
      <c r="E433" s="749" t="s">
        <v>2221</v>
      </c>
      <c r="F433" s="753" t="s">
        <v>4075</v>
      </c>
      <c r="G433" s="875">
        <f>+'[2]MARZO 2025'!G433+'[2]FEBRERO 2025'!G433+'[2]ENERO 2025'!G433+Hoja5!G430</f>
        <v>0</v>
      </c>
      <c r="H433" s="875">
        <f>+'[2]MARZO 2025'!H433+'[2]FEBRERO 2025'!H433+'[2]ENERO 2025'!H433+Hoja5!H430</f>
        <v>0</v>
      </c>
      <c r="I433" s="875">
        <v>0</v>
      </c>
      <c r="J433" s="875">
        <f t="shared" si="16"/>
        <v>0</v>
      </c>
      <c r="K433" s="751">
        <f>J433/$J$25</f>
        <v>0</v>
      </c>
    </row>
    <row r="434" spans="1:11" x14ac:dyDescent="0.2">
      <c r="A434" s="755">
        <v>2</v>
      </c>
      <c r="B434" s="744">
        <v>6</v>
      </c>
      <c r="C434" s="744">
        <v>8</v>
      </c>
      <c r="D434" s="744">
        <v>5</v>
      </c>
      <c r="E434" s="744"/>
      <c r="F434" s="762" t="s">
        <v>4076</v>
      </c>
      <c r="G434" s="745">
        <f>+'[2]MARZO 2025'!G434+'[2]FEBRERO 2025'!G434+'[2]ENERO 2025'!G434+Hoja5!G431</f>
        <v>0</v>
      </c>
      <c r="H434" s="745">
        <f>+'[2]MARZO 2025'!H434+'[2]FEBRERO 2025'!H434+'[2]ENERO 2025'!H434+Hoja5!H431</f>
        <v>0</v>
      </c>
      <c r="I434" s="745">
        <v>0</v>
      </c>
      <c r="J434" s="745">
        <f t="shared" si="16"/>
        <v>0</v>
      </c>
      <c r="K434" s="752"/>
    </row>
    <row r="435" spans="1:11" x14ac:dyDescent="0.2">
      <c r="A435" s="756">
        <v>2</v>
      </c>
      <c r="B435" s="748">
        <v>6</v>
      </c>
      <c r="C435" s="748">
        <v>8</v>
      </c>
      <c r="D435" s="748">
        <v>5</v>
      </c>
      <c r="E435" s="749" t="s">
        <v>2221</v>
      </c>
      <c r="F435" s="753" t="s">
        <v>4076</v>
      </c>
      <c r="G435" s="875">
        <f>+'[2]MARZO 2025'!G435+'[2]FEBRERO 2025'!G435+'[2]ENERO 2025'!G435+Hoja5!G432</f>
        <v>0</v>
      </c>
      <c r="H435" s="875">
        <f>+'[2]MARZO 2025'!H435+'[2]FEBRERO 2025'!H435+'[2]ENERO 2025'!H435+Hoja5!H432</f>
        <v>0</v>
      </c>
      <c r="I435" s="875">
        <v>0</v>
      </c>
      <c r="J435" s="875">
        <f t="shared" si="16"/>
        <v>0</v>
      </c>
      <c r="K435" s="751">
        <f>J435/$J$25</f>
        <v>0</v>
      </c>
    </row>
    <row r="436" spans="1:11" x14ac:dyDescent="0.2">
      <c r="A436" s="755">
        <v>2</v>
      </c>
      <c r="B436" s="744">
        <v>6</v>
      </c>
      <c r="C436" s="744">
        <v>8</v>
      </c>
      <c r="D436" s="744">
        <v>6</v>
      </c>
      <c r="E436" s="744"/>
      <c r="F436" s="762" t="s">
        <v>4077</v>
      </c>
      <c r="G436" s="745">
        <f>+'[2]MARZO 2025'!G436+'[2]FEBRERO 2025'!G436+'[2]ENERO 2025'!G436+Hoja5!G433</f>
        <v>0</v>
      </c>
      <c r="H436" s="745">
        <f>+'[2]MARZO 2025'!H436+'[2]FEBRERO 2025'!H436+'[2]ENERO 2025'!H436+Hoja5!H433</f>
        <v>0</v>
      </c>
      <c r="I436" s="745">
        <v>0</v>
      </c>
      <c r="J436" s="745">
        <f t="shared" si="16"/>
        <v>0</v>
      </c>
      <c r="K436" s="752"/>
    </row>
    <row r="437" spans="1:11" x14ac:dyDescent="0.2">
      <c r="A437" s="756">
        <v>2</v>
      </c>
      <c r="B437" s="748">
        <v>6</v>
      </c>
      <c r="C437" s="748">
        <v>8</v>
      </c>
      <c r="D437" s="748">
        <v>6</v>
      </c>
      <c r="E437" s="749" t="s">
        <v>2221</v>
      </c>
      <c r="F437" s="753" t="s">
        <v>4077</v>
      </c>
      <c r="G437" s="875">
        <f>+'[2]MARZO 2025'!G437+'[2]FEBRERO 2025'!G437+'[2]ENERO 2025'!G437+Hoja5!G434</f>
        <v>0</v>
      </c>
      <c r="H437" s="875">
        <f>+'[2]MARZO 2025'!H437+'[2]FEBRERO 2025'!H437+'[2]ENERO 2025'!H437+Hoja5!H434</f>
        <v>0</v>
      </c>
      <c r="I437" s="875">
        <v>0</v>
      </c>
      <c r="J437" s="875">
        <f t="shared" si="16"/>
        <v>0</v>
      </c>
      <c r="K437" s="751">
        <f>J437/$J$25</f>
        <v>0</v>
      </c>
    </row>
    <row r="438" spans="1:11" x14ac:dyDescent="0.2">
      <c r="A438" s="755">
        <v>2</v>
      </c>
      <c r="B438" s="744">
        <v>6</v>
      </c>
      <c r="C438" s="744">
        <v>8</v>
      </c>
      <c r="D438" s="744">
        <v>7</v>
      </c>
      <c r="E438" s="744"/>
      <c r="F438" s="762" t="s">
        <v>4078</v>
      </c>
      <c r="G438" s="745">
        <f>+'[2]MARZO 2025'!G438+'[2]FEBRERO 2025'!G438+'[2]ENERO 2025'!G438+Hoja5!G435</f>
        <v>0</v>
      </c>
      <c r="H438" s="745">
        <f>+'[2]MARZO 2025'!H438+'[2]FEBRERO 2025'!H438+'[2]ENERO 2025'!H438+Hoja5!H435</f>
        <v>0</v>
      </c>
      <c r="I438" s="745">
        <v>0</v>
      </c>
      <c r="J438" s="745">
        <f t="shared" si="16"/>
        <v>0</v>
      </c>
      <c r="K438" s="752"/>
    </row>
    <row r="439" spans="1:11" x14ac:dyDescent="0.2">
      <c r="A439" s="756">
        <v>2</v>
      </c>
      <c r="B439" s="748">
        <v>6</v>
      </c>
      <c r="C439" s="748">
        <v>8</v>
      </c>
      <c r="D439" s="748">
        <v>7</v>
      </c>
      <c r="E439" s="749" t="s">
        <v>2221</v>
      </c>
      <c r="F439" s="753" t="s">
        <v>4078</v>
      </c>
      <c r="G439" s="875">
        <f>+'[2]MARZO 2025'!G439+'[2]FEBRERO 2025'!G439+'[2]ENERO 2025'!G439+Hoja5!G436</f>
        <v>0</v>
      </c>
      <c r="H439" s="875">
        <f>+'[2]MARZO 2025'!H439+'[2]FEBRERO 2025'!H439+'[2]ENERO 2025'!H439+Hoja5!H436</f>
        <v>0</v>
      </c>
      <c r="I439" s="875">
        <v>0</v>
      </c>
      <c r="J439" s="875">
        <f t="shared" si="16"/>
        <v>0</v>
      </c>
      <c r="K439" s="751">
        <f>J439/$J$25</f>
        <v>0</v>
      </c>
    </row>
    <row r="440" spans="1:11" ht="25.5" x14ac:dyDescent="0.2">
      <c r="A440" s="743">
        <v>2</v>
      </c>
      <c r="B440" s="744">
        <v>6</v>
      </c>
      <c r="C440" s="744">
        <v>8</v>
      </c>
      <c r="D440" s="744">
        <v>8</v>
      </c>
      <c r="E440" s="744"/>
      <c r="F440" s="762" t="s">
        <v>4079</v>
      </c>
      <c r="G440" s="745">
        <f>+'[2]MARZO 2025'!G440+'[2]FEBRERO 2025'!G440+'[2]ENERO 2025'!G440+Hoja5!G437</f>
        <v>0</v>
      </c>
      <c r="H440" s="745">
        <f>+'[2]MARZO 2025'!H440+'[2]FEBRERO 2025'!H440+'[2]ENERO 2025'!H440+Hoja5!H437</f>
        <v>0</v>
      </c>
      <c r="I440" s="745">
        <v>0</v>
      </c>
      <c r="J440" s="745">
        <f t="shared" si="16"/>
        <v>0</v>
      </c>
      <c r="K440" s="752"/>
    </row>
    <row r="441" spans="1:11" x14ac:dyDescent="0.2">
      <c r="A441" s="756">
        <v>2</v>
      </c>
      <c r="B441" s="748">
        <v>6</v>
      </c>
      <c r="C441" s="748">
        <v>8</v>
      </c>
      <c r="D441" s="748">
        <v>8</v>
      </c>
      <c r="E441" s="748" t="s">
        <v>4080</v>
      </c>
      <c r="F441" s="753" t="s">
        <v>4081</v>
      </c>
      <c r="G441" s="875">
        <f>+'[2]MARZO 2025'!G441+'[2]FEBRERO 2025'!G441+'[2]ENERO 2025'!G441+Hoja5!G438</f>
        <v>0</v>
      </c>
      <c r="H441" s="875">
        <f>+'[2]MARZO 2025'!H441+'[2]FEBRERO 2025'!H441+'[2]ENERO 2025'!H441+Hoja5!H438</f>
        <v>0</v>
      </c>
      <c r="I441" s="875">
        <v>0</v>
      </c>
      <c r="J441" s="875">
        <f t="shared" si="16"/>
        <v>0</v>
      </c>
      <c r="K441" s="751">
        <f>J441/$J$25</f>
        <v>0</v>
      </c>
    </row>
    <row r="442" spans="1:11" x14ac:dyDescent="0.2">
      <c r="A442" s="756">
        <v>2</v>
      </c>
      <c r="B442" s="748">
        <v>6</v>
      </c>
      <c r="C442" s="748">
        <v>8</v>
      </c>
      <c r="D442" s="748">
        <v>8</v>
      </c>
      <c r="E442" s="748" t="s">
        <v>4082</v>
      </c>
      <c r="F442" s="753" t="s">
        <v>4083</v>
      </c>
      <c r="G442" s="875">
        <f>+'[2]MARZO 2025'!G442+'[2]FEBRERO 2025'!G442+'[2]ENERO 2025'!G442+Hoja5!G439</f>
        <v>0</v>
      </c>
      <c r="H442" s="875">
        <f>+'[2]MARZO 2025'!H442+'[2]FEBRERO 2025'!H442+'[2]ENERO 2025'!H442+Hoja5!H439</f>
        <v>0</v>
      </c>
      <c r="I442" s="875">
        <v>0</v>
      </c>
      <c r="J442" s="875">
        <f t="shared" si="16"/>
        <v>0</v>
      </c>
      <c r="K442" s="751">
        <f>J442/$J$25</f>
        <v>0</v>
      </c>
    </row>
    <row r="443" spans="1:11" x14ac:dyDescent="0.2">
      <c r="A443" s="756">
        <v>2</v>
      </c>
      <c r="B443" s="748">
        <v>6</v>
      </c>
      <c r="C443" s="748">
        <v>8</v>
      </c>
      <c r="D443" s="748">
        <v>8</v>
      </c>
      <c r="E443" s="748" t="s">
        <v>4084</v>
      </c>
      <c r="F443" s="753" t="s">
        <v>4085</v>
      </c>
      <c r="G443" s="875">
        <f>+'[2]MARZO 2025'!G443+'[2]FEBRERO 2025'!G443+'[2]ENERO 2025'!G443+Hoja5!G440</f>
        <v>0</v>
      </c>
      <c r="H443" s="875">
        <f>+'[2]MARZO 2025'!H443+'[2]FEBRERO 2025'!H443+'[2]ENERO 2025'!H443+Hoja5!H440</f>
        <v>0</v>
      </c>
      <c r="I443" s="875">
        <v>0</v>
      </c>
      <c r="J443" s="875">
        <f t="shared" si="16"/>
        <v>0</v>
      </c>
      <c r="K443" s="751">
        <f>J443/$J$25</f>
        <v>0</v>
      </c>
    </row>
    <row r="444" spans="1:11" x14ac:dyDescent="0.2">
      <c r="A444" s="755">
        <v>2</v>
      </c>
      <c r="B444" s="744">
        <v>6</v>
      </c>
      <c r="C444" s="744">
        <v>8</v>
      </c>
      <c r="D444" s="744">
        <v>9</v>
      </c>
      <c r="E444" s="744"/>
      <c r="F444" s="762" t="s">
        <v>4086</v>
      </c>
      <c r="G444" s="745">
        <f>+'[2]MARZO 2025'!G444+'[2]FEBRERO 2025'!G444+'[2]ENERO 2025'!G444+Hoja5!G441</f>
        <v>0</v>
      </c>
      <c r="H444" s="745">
        <f>+'[2]MARZO 2025'!H444+'[2]FEBRERO 2025'!H444+'[2]ENERO 2025'!H444+Hoja5!H441</f>
        <v>0</v>
      </c>
      <c r="I444" s="745">
        <v>0</v>
      </c>
      <c r="J444" s="745">
        <f t="shared" si="16"/>
        <v>0</v>
      </c>
      <c r="K444" s="752"/>
    </row>
    <row r="445" spans="1:11" x14ac:dyDescent="0.2">
      <c r="A445" s="756">
        <v>2</v>
      </c>
      <c r="B445" s="748">
        <v>6</v>
      </c>
      <c r="C445" s="748">
        <v>8</v>
      </c>
      <c r="D445" s="748">
        <v>9</v>
      </c>
      <c r="E445" s="748" t="s">
        <v>4057</v>
      </c>
      <c r="F445" s="753" t="s">
        <v>4086</v>
      </c>
      <c r="G445" s="875">
        <f>+'[2]MARZO 2025'!G445+'[2]FEBRERO 2025'!G445+'[2]ENERO 2025'!G445+Hoja5!G442</f>
        <v>0</v>
      </c>
      <c r="H445" s="875">
        <f>+'[2]MARZO 2025'!H445+'[2]FEBRERO 2025'!H445+'[2]ENERO 2025'!H445+Hoja5!H442</f>
        <v>0</v>
      </c>
      <c r="I445" s="875">
        <v>0</v>
      </c>
      <c r="J445" s="875">
        <f t="shared" si="16"/>
        <v>0</v>
      </c>
      <c r="K445" s="751">
        <f>J445/$J$25</f>
        <v>0</v>
      </c>
    </row>
    <row r="446" spans="1:11" x14ac:dyDescent="0.2">
      <c r="A446" s="741">
        <v>2</v>
      </c>
      <c r="B446" s="742">
        <v>6</v>
      </c>
      <c r="C446" s="742">
        <v>9</v>
      </c>
      <c r="D446" s="742"/>
      <c r="E446" s="759"/>
      <c r="F446" s="763" t="s">
        <v>4087</v>
      </c>
      <c r="G446" s="874">
        <f>+'[2]MARZO 2025'!G446+'[2]FEBRERO 2025'!G446+'[2]ENERO 2025'!G446+Hoja5!G443</f>
        <v>0</v>
      </c>
      <c r="H446" s="874">
        <f>+'[2]MARZO 2025'!H446+'[2]FEBRERO 2025'!H446+'[2]ENERO 2025'!H446+Hoja5!H443</f>
        <v>0</v>
      </c>
      <c r="I446" s="874">
        <v>0</v>
      </c>
      <c r="J446" s="874">
        <f t="shared" si="16"/>
        <v>0</v>
      </c>
      <c r="K446" s="740"/>
    </row>
    <row r="447" spans="1:11" x14ac:dyDescent="0.2">
      <c r="A447" s="755">
        <v>2</v>
      </c>
      <c r="B447" s="744">
        <v>6</v>
      </c>
      <c r="C447" s="744">
        <v>9</v>
      </c>
      <c r="D447" s="744">
        <v>1</v>
      </c>
      <c r="E447" s="744"/>
      <c r="F447" s="762" t="s">
        <v>4088</v>
      </c>
      <c r="G447" s="745">
        <f>+'[2]MARZO 2025'!G447+'[2]FEBRERO 2025'!G447+'[2]ENERO 2025'!G447+Hoja5!G444</f>
        <v>0</v>
      </c>
      <c r="H447" s="745">
        <f>+'[2]MARZO 2025'!H447+'[2]FEBRERO 2025'!H447+'[2]ENERO 2025'!H447+Hoja5!H444</f>
        <v>0</v>
      </c>
      <c r="I447" s="745">
        <v>0</v>
      </c>
      <c r="J447" s="745">
        <f t="shared" si="16"/>
        <v>0</v>
      </c>
      <c r="K447" s="745"/>
    </row>
    <row r="448" spans="1:11" x14ac:dyDescent="0.2">
      <c r="A448" s="767">
        <v>2</v>
      </c>
      <c r="B448" s="768">
        <v>6</v>
      </c>
      <c r="C448" s="768">
        <v>9</v>
      </c>
      <c r="D448" s="768">
        <v>1</v>
      </c>
      <c r="E448" s="768" t="s">
        <v>2221</v>
      </c>
      <c r="F448" s="769" t="s">
        <v>4088</v>
      </c>
      <c r="G448" s="876">
        <f>+'[2]MARZO 2025'!G448+'[2]FEBRERO 2025'!G448+'[2]ENERO 2025'!G448+Hoja5!G445</f>
        <v>0</v>
      </c>
      <c r="H448" s="876">
        <f>+'[2]MARZO 2025'!H448+'[2]FEBRERO 2025'!H448+'[2]ENERO 2025'!H448+Hoja5!H445</f>
        <v>0</v>
      </c>
      <c r="I448" s="876">
        <v>0</v>
      </c>
      <c r="J448" s="876">
        <f t="shared" si="16"/>
        <v>0</v>
      </c>
      <c r="K448" s="751">
        <f>J448/$J$25</f>
        <v>0</v>
      </c>
    </row>
    <row r="449" spans="1:11" x14ac:dyDescent="0.2">
      <c r="A449" s="767">
        <v>2</v>
      </c>
      <c r="B449" s="768">
        <v>6</v>
      </c>
      <c r="C449" s="768">
        <v>9</v>
      </c>
      <c r="D449" s="768">
        <v>1</v>
      </c>
      <c r="E449" s="768" t="s">
        <v>1733</v>
      </c>
      <c r="F449" s="769" t="s">
        <v>4089</v>
      </c>
      <c r="G449" s="876">
        <f>+'[2]MARZO 2025'!G449+'[2]FEBRERO 2025'!G449+'[2]ENERO 2025'!G449+Hoja5!G446</f>
        <v>0</v>
      </c>
      <c r="H449" s="876">
        <f>+'[2]MARZO 2025'!H449+'[2]FEBRERO 2025'!H449+'[2]ENERO 2025'!H449+Hoja5!H446</f>
        <v>0</v>
      </c>
      <c r="I449" s="876">
        <v>0</v>
      </c>
      <c r="J449" s="876">
        <f t="shared" si="16"/>
        <v>0</v>
      </c>
      <c r="K449" s="751">
        <f>J449/$J$25</f>
        <v>0</v>
      </c>
    </row>
    <row r="450" spans="1:11" x14ac:dyDescent="0.2">
      <c r="A450" s="755">
        <v>2</v>
      </c>
      <c r="B450" s="744">
        <v>6</v>
      </c>
      <c r="C450" s="744">
        <v>9</v>
      </c>
      <c r="D450" s="744">
        <v>2</v>
      </c>
      <c r="E450" s="744"/>
      <c r="F450" s="762" t="s">
        <v>4090</v>
      </c>
      <c r="G450" s="745">
        <f>+'[2]MARZO 2025'!G450+'[2]FEBRERO 2025'!G450+'[2]ENERO 2025'!G450+Hoja5!G447</f>
        <v>0</v>
      </c>
      <c r="H450" s="745">
        <f>+'[2]MARZO 2025'!H450+'[2]FEBRERO 2025'!H450+'[2]ENERO 2025'!H450+Hoja5!H447</f>
        <v>0</v>
      </c>
      <c r="I450" s="745">
        <v>0</v>
      </c>
      <c r="J450" s="745">
        <f t="shared" si="16"/>
        <v>0</v>
      </c>
      <c r="K450" s="752"/>
    </row>
    <row r="451" spans="1:11" x14ac:dyDescent="0.2">
      <c r="A451" s="756">
        <v>2</v>
      </c>
      <c r="B451" s="748">
        <v>6</v>
      </c>
      <c r="C451" s="748">
        <v>9</v>
      </c>
      <c r="D451" s="748">
        <v>2</v>
      </c>
      <c r="E451" s="749" t="s">
        <v>2221</v>
      </c>
      <c r="F451" s="753" t="s">
        <v>4090</v>
      </c>
      <c r="G451" s="875">
        <f>+'[2]MARZO 2025'!G451+'[2]FEBRERO 2025'!G451+'[2]ENERO 2025'!G451+Hoja5!G448</f>
        <v>0</v>
      </c>
      <c r="H451" s="875">
        <f>+'[2]MARZO 2025'!H451+'[2]FEBRERO 2025'!H451+'[2]ENERO 2025'!H451+Hoja5!H448</f>
        <v>0</v>
      </c>
      <c r="I451" s="875">
        <v>0</v>
      </c>
      <c r="J451" s="875">
        <f t="shared" si="16"/>
        <v>0</v>
      </c>
      <c r="K451" s="751">
        <f>J451/$J$25</f>
        <v>0</v>
      </c>
    </row>
    <row r="452" spans="1:11" x14ac:dyDescent="0.2">
      <c r="A452" s="756">
        <v>2</v>
      </c>
      <c r="B452" s="748">
        <v>6</v>
      </c>
      <c r="C452" s="748">
        <v>9</v>
      </c>
      <c r="D452" s="748">
        <v>2</v>
      </c>
      <c r="E452" s="749" t="s">
        <v>1733</v>
      </c>
      <c r="F452" s="753" t="s">
        <v>4091</v>
      </c>
      <c r="G452" s="875">
        <f>+'[2]MARZO 2025'!G452+'[2]FEBRERO 2025'!G452+'[2]ENERO 2025'!G452+Hoja5!G449</f>
        <v>0</v>
      </c>
      <c r="H452" s="875">
        <f>+'[2]MARZO 2025'!H452+'[2]FEBRERO 2025'!H452+'[2]ENERO 2025'!H452+Hoja5!H449</f>
        <v>0</v>
      </c>
      <c r="I452" s="875">
        <v>0</v>
      </c>
      <c r="J452" s="875">
        <f t="shared" si="16"/>
        <v>0</v>
      </c>
      <c r="K452" s="751">
        <f>J452/$J$25</f>
        <v>0</v>
      </c>
    </row>
    <row r="453" spans="1:11" x14ac:dyDescent="0.2">
      <c r="A453" s="755">
        <v>2</v>
      </c>
      <c r="B453" s="744">
        <v>6</v>
      </c>
      <c r="C453" s="744">
        <v>9</v>
      </c>
      <c r="D453" s="744">
        <v>3</v>
      </c>
      <c r="E453" s="744"/>
      <c r="F453" s="762" t="s">
        <v>4092</v>
      </c>
      <c r="G453" s="745">
        <f>+'[2]MARZO 2025'!G453+'[2]FEBRERO 2025'!G453+'[2]ENERO 2025'!G453+Hoja5!G450</f>
        <v>0</v>
      </c>
      <c r="H453" s="745">
        <f>+'[2]MARZO 2025'!H453+'[2]FEBRERO 2025'!H453+'[2]ENERO 2025'!H453+Hoja5!H450</f>
        <v>0</v>
      </c>
      <c r="I453" s="745">
        <v>0</v>
      </c>
      <c r="J453" s="745">
        <f t="shared" si="16"/>
        <v>0</v>
      </c>
      <c r="K453" s="745"/>
    </row>
    <row r="454" spans="1:11" x14ac:dyDescent="0.2">
      <c r="A454" s="756">
        <v>2</v>
      </c>
      <c r="B454" s="748">
        <v>6</v>
      </c>
      <c r="C454" s="748">
        <v>9</v>
      </c>
      <c r="D454" s="748">
        <v>3</v>
      </c>
      <c r="E454" s="749" t="s">
        <v>2221</v>
      </c>
      <c r="F454" s="753" t="s">
        <v>4092</v>
      </c>
      <c r="G454" s="875">
        <f>+'[2]MARZO 2025'!G454+'[2]FEBRERO 2025'!G454+'[2]ENERO 2025'!G454+Hoja5!G451</f>
        <v>0</v>
      </c>
      <c r="H454" s="875">
        <f>+'[2]MARZO 2025'!H454+'[2]FEBRERO 2025'!H454+'[2]ENERO 2025'!H454+Hoja5!H451</f>
        <v>0</v>
      </c>
      <c r="I454" s="875">
        <v>0</v>
      </c>
      <c r="J454" s="875">
        <f t="shared" si="16"/>
        <v>0</v>
      </c>
      <c r="K454" s="751">
        <f>J454/$J$25</f>
        <v>0</v>
      </c>
    </row>
    <row r="455" spans="1:11" x14ac:dyDescent="0.2">
      <c r="A455" s="755">
        <v>2</v>
      </c>
      <c r="B455" s="744">
        <v>6</v>
      </c>
      <c r="C455" s="744">
        <v>9</v>
      </c>
      <c r="D455" s="744">
        <v>4</v>
      </c>
      <c r="E455" s="744"/>
      <c r="F455" s="762" t="s">
        <v>4093</v>
      </c>
      <c r="G455" s="745">
        <f>+'[2]MARZO 2025'!G455+'[2]FEBRERO 2025'!G455+'[2]ENERO 2025'!G455+Hoja5!G452</f>
        <v>0</v>
      </c>
      <c r="H455" s="745">
        <f>+'[2]MARZO 2025'!H455+'[2]FEBRERO 2025'!H455+'[2]ENERO 2025'!H455+Hoja5!H452</f>
        <v>0</v>
      </c>
      <c r="I455" s="745">
        <v>0</v>
      </c>
      <c r="J455" s="745">
        <f t="shared" si="16"/>
        <v>0</v>
      </c>
      <c r="K455" s="752"/>
    </row>
    <row r="456" spans="1:11" x14ac:dyDescent="0.2">
      <c r="A456" s="756">
        <v>2</v>
      </c>
      <c r="B456" s="748">
        <v>6</v>
      </c>
      <c r="C456" s="748">
        <v>9</v>
      </c>
      <c r="D456" s="748">
        <v>4</v>
      </c>
      <c r="E456" s="749" t="s">
        <v>2221</v>
      </c>
      <c r="F456" s="753" t="s">
        <v>4093</v>
      </c>
      <c r="G456" s="875">
        <f>+'[2]MARZO 2025'!G456+'[2]FEBRERO 2025'!G456+'[2]ENERO 2025'!G456+Hoja5!G453</f>
        <v>0</v>
      </c>
      <c r="H456" s="875">
        <f>+'[2]MARZO 2025'!H456+'[2]FEBRERO 2025'!H456+'[2]ENERO 2025'!H456+Hoja5!H453</f>
        <v>0</v>
      </c>
      <c r="I456" s="875">
        <v>0</v>
      </c>
      <c r="J456" s="875">
        <f t="shared" si="16"/>
        <v>0</v>
      </c>
      <c r="K456" s="751">
        <f>J456/$J$25</f>
        <v>0</v>
      </c>
    </row>
    <row r="457" spans="1:11" x14ac:dyDescent="0.2">
      <c r="A457" s="755">
        <v>2</v>
      </c>
      <c r="B457" s="744">
        <v>6</v>
      </c>
      <c r="C457" s="744">
        <v>9</v>
      </c>
      <c r="D457" s="744">
        <v>5</v>
      </c>
      <c r="E457" s="744"/>
      <c r="F457" s="762" t="s">
        <v>4094</v>
      </c>
      <c r="G457" s="745">
        <f>+'[2]MARZO 2025'!G457+'[2]FEBRERO 2025'!G457+'[2]ENERO 2025'!G457+Hoja5!G454</f>
        <v>0</v>
      </c>
      <c r="H457" s="745">
        <f>+'[2]MARZO 2025'!H457+'[2]FEBRERO 2025'!H457+'[2]ENERO 2025'!H457+Hoja5!H454</f>
        <v>0</v>
      </c>
      <c r="I457" s="745">
        <v>0</v>
      </c>
      <c r="J457" s="745">
        <f t="shared" si="16"/>
        <v>0</v>
      </c>
      <c r="K457" s="752"/>
    </row>
    <row r="458" spans="1:11" x14ac:dyDescent="0.2">
      <c r="A458" s="756">
        <v>2</v>
      </c>
      <c r="B458" s="748">
        <v>6</v>
      </c>
      <c r="C458" s="748">
        <v>9</v>
      </c>
      <c r="D458" s="748">
        <v>5</v>
      </c>
      <c r="E458" s="749" t="s">
        <v>2221</v>
      </c>
      <c r="F458" s="753" t="s">
        <v>4095</v>
      </c>
      <c r="G458" s="875">
        <f>+'[2]MARZO 2025'!G458+'[2]FEBRERO 2025'!G458+'[2]ENERO 2025'!G458+Hoja5!G455</f>
        <v>0</v>
      </c>
      <c r="H458" s="875">
        <f>+'[2]MARZO 2025'!H458+'[2]FEBRERO 2025'!H458+'[2]ENERO 2025'!H458+Hoja5!H455</f>
        <v>0</v>
      </c>
      <c r="I458" s="875">
        <v>0</v>
      </c>
      <c r="J458" s="875">
        <f t="shared" si="16"/>
        <v>0</v>
      </c>
      <c r="K458" s="751">
        <f>J458/$J$25</f>
        <v>0</v>
      </c>
    </row>
    <row r="459" spans="1:11" ht="25.5" x14ac:dyDescent="0.2">
      <c r="A459" s="756">
        <v>2</v>
      </c>
      <c r="B459" s="748">
        <v>6</v>
      </c>
      <c r="C459" s="748">
        <v>9</v>
      </c>
      <c r="D459" s="748">
        <v>5</v>
      </c>
      <c r="E459" s="749" t="s">
        <v>1733</v>
      </c>
      <c r="F459" s="753" t="s">
        <v>4096</v>
      </c>
      <c r="G459" s="875">
        <f>+'[2]MARZO 2025'!G459+'[2]FEBRERO 2025'!G459+'[2]ENERO 2025'!G459+Hoja5!G456</f>
        <v>0</v>
      </c>
      <c r="H459" s="875">
        <f>+'[2]MARZO 2025'!H459+'[2]FEBRERO 2025'!H459+'[2]ENERO 2025'!H459+Hoja5!H456</f>
        <v>0</v>
      </c>
      <c r="I459" s="875">
        <v>0</v>
      </c>
      <c r="J459" s="875">
        <f t="shared" si="16"/>
        <v>0</v>
      </c>
      <c r="K459" s="751">
        <f>J459/$J$25</f>
        <v>0</v>
      </c>
    </row>
    <row r="460" spans="1:11" x14ac:dyDescent="0.2">
      <c r="A460" s="756">
        <v>2</v>
      </c>
      <c r="B460" s="748">
        <v>6</v>
      </c>
      <c r="C460" s="748">
        <v>9</v>
      </c>
      <c r="D460" s="748">
        <v>5</v>
      </c>
      <c r="E460" s="749" t="s">
        <v>3839</v>
      </c>
      <c r="F460" s="753" t="s">
        <v>4097</v>
      </c>
      <c r="G460" s="875">
        <f>+'[2]MARZO 2025'!G460+'[2]FEBRERO 2025'!G460+'[2]ENERO 2025'!G460+Hoja5!G457</f>
        <v>0</v>
      </c>
      <c r="H460" s="875">
        <f>+'[2]MARZO 2025'!H460+'[2]FEBRERO 2025'!H460+'[2]ENERO 2025'!H460+Hoja5!H457</f>
        <v>0</v>
      </c>
      <c r="I460" s="875">
        <v>0</v>
      </c>
      <c r="J460" s="875">
        <f t="shared" si="16"/>
        <v>0</v>
      </c>
      <c r="K460" s="751">
        <f>J460/$J$25</f>
        <v>0</v>
      </c>
    </row>
    <row r="461" spans="1:11" x14ac:dyDescent="0.2">
      <c r="A461" s="755">
        <v>2</v>
      </c>
      <c r="B461" s="744">
        <v>6</v>
      </c>
      <c r="C461" s="744">
        <v>9</v>
      </c>
      <c r="D461" s="744">
        <v>9</v>
      </c>
      <c r="E461" s="744"/>
      <c r="F461" s="762" t="s">
        <v>4098</v>
      </c>
      <c r="G461" s="745">
        <f>+'[2]MARZO 2025'!G461+'[2]FEBRERO 2025'!G461+'[2]ENERO 2025'!G461+Hoja5!G458</f>
        <v>0</v>
      </c>
      <c r="H461" s="745">
        <f>+'[2]MARZO 2025'!H461+'[2]FEBRERO 2025'!H461+'[2]ENERO 2025'!H461+Hoja5!H458</f>
        <v>0</v>
      </c>
      <c r="I461" s="745">
        <v>0</v>
      </c>
      <c r="J461" s="745">
        <f t="shared" si="16"/>
        <v>0</v>
      </c>
      <c r="K461" s="752"/>
    </row>
    <row r="462" spans="1:11" x14ac:dyDescent="0.2">
      <c r="A462" s="756">
        <v>2</v>
      </c>
      <c r="B462" s="748">
        <v>6</v>
      </c>
      <c r="C462" s="748">
        <v>9</v>
      </c>
      <c r="D462" s="748">
        <v>9</v>
      </c>
      <c r="E462" s="749" t="s">
        <v>2221</v>
      </c>
      <c r="F462" s="753" t="s">
        <v>4098</v>
      </c>
      <c r="G462" s="875">
        <f>+'[2]MARZO 2025'!G462+'[2]FEBRERO 2025'!G462+'[2]ENERO 2025'!G462+Hoja5!G459</f>
        <v>0</v>
      </c>
      <c r="H462" s="875">
        <f>+'[2]MARZO 2025'!H462+'[2]FEBRERO 2025'!H462+'[2]ENERO 2025'!H462+Hoja5!H459</f>
        <v>0</v>
      </c>
      <c r="I462" s="875">
        <v>0</v>
      </c>
      <c r="J462" s="875">
        <f t="shared" si="16"/>
        <v>0</v>
      </c>
      <c r="K462" s="751">
        <f>J462/$J$25</f>
        <v>0</v>
      </c>
    </row>
    <row r="463" spans="1:11" x14ac:dyDescent="0.2">
      <c r="A463" s="754">
        <v>2</v>
      </c>
      <c r="B463" s="742">
        <v>7</v>
      </c>
      <c r="C463" s="742"/>
      <c r="D463" s="742"/>
      <c r="E463" s="742"/>
      <c r="F463" s="763" t="s">
        <v>4099</v>
      </c>
      <c r="G463" s="874">
        <f>+'[2]MARZO 2025'!G463+'[2]FEBRERO 2025'!G463+'[2]ENERO 2025'!G463+Hoja5!G460</f>
        <v>0</v>
      </c>
      <c r="H463" s="874">
        <f>+'[2]MARZO 2025'!H463+'[2]FEBRERO 2025'!H463+'[2]ENERO 2025'!H463+Hoja5!H460</f>
        <v>0</v>
      </c>
      <c r="I463" s="874">
        <v>0</v>
      </c>
      <c r="J463" s="874">
        <f t="shared" si="16"/>
        <v>0</v>
      </c>
      <c r="K463" s="740">
        <f>J463/$J$25</f>
        <v>0</v>
      </c>
    </row>
    <row r="464" spans="1:11" x14ac:dyDescent="0.2">
      <c r="A464" s="754">
        <v>2</v>
      </c>
      <c r="B464" s="742">
        <v>7</v>
      </c>
      <c r="C464" s="742">
        <v>1</v>
      </c>
      <c r="D464" s="742"/>
      <c r="E464" s="742"/>
      <c r="F464" s="763" t="s">
        <v>4100</v>
      </c>
      <c r="G464" s="874">
        <f>+'[2]MARZO 2025'!G464+'[2]FEBRERO 2025'!G464+'[2]ENERO 2025'!G464+Hoja5!G461</f>
        <v>0</v>
      </c>
      <c r="H464" s="874">
        <f>+'[2]MARZO 2025'!H464+'[2]FEBRERO 2025'!H464+'[2]ENERO 2025'!H464+Hoja5!H461</f>
        <v>0</v>
      </c>
      <c r="I464" s="874">
        <v>0</v>
      </c>
      <c r="J464" s="874">
        <f t="shared" si="16"/>
        <v>0</v>
      </c>
      <c r="K464" s="740"/>
    </row>
    <row r="465" spans="1:11" ht="25.5" x14ac:dyDescent="0.2">
      <c r="A465" s="755">
        <v>2</v>
      </c>
      <c r="B465" s="744">
        <v>7</v>
      </c>
      <c r="C465" s="744">
        <v>1</v>
      </c>
      <c r="D465" s="744">
        <v>1</v>
      </c>
      <c r="E465" s="758"/>
      <c r="F465" s="762" t="s">
        <v>4101</v>
      </c>
      <c r="G465" s="745">
        <f>+'[2]MARZO 2025'!G465+'[2]FEBRERO 2025'!G465+'[2]ENERO 2025'!G465+Hoja5!G462</f>
        <v>0</v>
      </c>
      <c r="H465" s="745">
        <f>+'[2]MARZO 2025'!H465+'[2]FEBRERO 2025'!H465+'[2]ENERO 2025'!H465+Hoja5!H462</f>
        <v>0</v>
      </c>
      <c r="I465" s="745">
        <v>0</v>
      </c>
      <c r="J465" s="745">
        <f t="shared" si="16"/>
        <v>0</v>
      </c>
      <c r="K465" s="752"/>
    </row>
    <row r="466" spans="1:11" ht="25.5" x14ac:dyDescent="0.2">
      <c r="A466" s="756">
        <v>2</v>
      </c>
      <c r="B466" s="748">
        <v>7</v>
      </c>
      <c r="C466" s="748">
        <v>1</v>
      </c>
      <c r="D466" s="748">
        <v>1</v>
      </c>
      <c r="E466" s="748" t="s">
        <v>4057</v>
      </c>
      <c r="F466" s="753" t="s">
        <v>4101</v>
      </c>
      <c r="G466" s="875">
        <f>+'[2]MARZO 2025'!G466+'[2]FEBRERO 2025'!G466+'[2]ENERO 2025'!G466+Hoja5!G463</f>
        <v>0</v>
      </c>
      <c r="H466" s="875">
        <f>+'[2]MARZO 2025'!H466+'[2]FEBRERO 2025'!H466+'[2]ENERO 2025'!H466+Hoja5!H463</f>
        <v>0</v>
      </c>
      <c r="I466" s="875">
        <v>0</v>
      </c>
      <c r="J466" s="875">
        <f t="shared" si="16"/>
        <v>0</v>
      </c>
      <c r="K466" s="751">
        <f>J466/$J$25</f>
        <v>0</v>
      </c>
    </row>
    <row r="467" spans="1:11" x14ac:dyDescent="0.2">
      <c r="A467" s="755">
        <v>2</v>
      </c>
      <c r="B467" s="744">
        <v>7</v>
      </c>
      <c r="C467" s="744">
        <v>1</v>
      </c>
      <c r="D467" s="744">
        <v>2</v>
      </c>
      <c r="E467" s="758"/>
      <c r="F467" s="762" t="s">
        <v>4102</v>
      </c>
      <c r="G467" s="745">
        <f>+'[2]MARZO 2025'!G467+'[2]FEBRERO 2025'!G467+'[2]ENERO 2025'!G467+Hoja5!G464</f>
        <v>0</v>
      </c>
      <c r="H467" s="745">
        <f>+'[2]MARZO 2025'!H467+'[2]FEBRERO 2025'!H467+'[2]ENERO 2025'!H467+Hoja5!H464</f>
        <v>0</v>
      </c>
      <c r="I467" s="745">
        <v>0</v>
      </c>
      <c r="J467" s="745">
        <f t="shared" si="16"/>
        <v>0</v>
      </c>
      <c r="K467" s="752"/>
    </row>
    <row r="468" spans="1:11" x14ac:dyDescent="0.2">
      <c r="A468" s="756">
        <v>2</v>
      </c>
      <c r="B468" s="748">
        <v>7</v>
      </c>
      <c r="C468" s="748">
        <v>1</v>
      </c>
      <c r="D468" s="748">
        <v>2</v>
      </c>
      <c r="E468" s="748" t="s">
        <v>4057</v>
      </c>
      <c r="F468" s="753" t="s">
        <v>4102</v>
      </c>
      <c r="G468" s="875">
        <f>+'[2]MARZO 2025'!G468+'[2]FEBRERO 2025'!G468+'[2]ENERO 2025'!G468+Hoja5!G465</f>
        <v>0</v>
      </c>
      <c r="H468" s="875">
        <f>+'[2]MARZO 2025'!H468+'[2]FEBRERO 2025'!H468+'[2]ENERO 2025'!H468+Hoja5!H465</f>
        <v>0</v>
      </c>
      <c r="I468" s="875">
        <v>0</v>
      </c>
      <c r="J468" s="875">
        <f t="shared" si="16"/>
        <v>0</v>
      </c>
      <c r="K468" s="751">
        <f>J468/$J$25</f>
        <v>0</v>
      </c>
    </row>
    <row r="469" spans="1:11" ht="25.5" x14ac:dyDescent="0.2">
      <c r="A469" s="755">
        <v>2</v>
      </c>
      <c r="B469" s="744">
        <v>7</v>
      </c>
      <c r="C469" s="744">
        <v>1</v>
      </c>
      <c r="D469" s="744">
        <v>3</v>
      </c>
      <c r="E469" s="758"/>
      <c r="F469" s="762" t="s">
        <v>4103</v>
      </c>
      <c r="G469" s="745">
        <f>+'[2]MARZO 2025'!G469+'[2]FEBRERO 2025'!G469+'[2]ENERO 2025'!G469+Hoja5!G466</f>
        <v>0</v>
      </c>
      <c r="H469" s="745">
        <f>+'[2]MARZO 2025'!H469+'[2]FEBRERO 2025'!H469+'[2]ENERO 2025'!H469+Hoja5!H466</f>
        <v>0</v>
      </c>
      <c r="I469" s="745">
        <v>0</v>
      </c>
      <c r="J469" s="745">
        <f t="shared" si="16"/>
        <v>0</v>
      </c>
      <c r="K469" s="752"/>
    </row>
    <row r="470" spans="1:11" ht="25.5" x14ac:dyDescent="0.2">
      <c r="A470" s="756">
        <v>2</v>
      </c>
      <c r="B470" s="748">
        <v>7</v>
      </c>
      <c r="C470" s="748">
        <v>1</v>
      </c>
      <c r="D470" s="748">
        <v>3</v>
      </c>
      <c r="E470" s="748" t="s">
        <v>4057</v>
      </c>
      <c r="F470" s="753" t="s">
        <v>4103</v>
      </c>
      <c r="G470" s="875">
        <f>+'[2]MARZO 2025'!G470+'[2]FEBRERO 2025'!G470+'[2]ENERO 2025'!G470+Hoja5!G467</f>
        <v>0</v>
      </c>
      <c r="H470" s="875">
        <f>+'[2]MARZO 2025'!H470+'[2]FEBRERO 2025'!H470+'[2]ENERO 2025'!H470+Hoja5!H467</f>
        <v>0</v>
      </c>
      <c r="I470" s="875">
        <v>0</v>
      </c>
      <c r="J470" s="875">
        <f t="shared" si="16"/>
        <v>0</v>
      </c>
      <c r="K470" s="751">
        <f>J470/$J$25</f>
        <v>0</v>
      </c>
    </row>
    <row r="471" spans="1:11" x14ac:dyDescent="0.2">
      <c r="A471" s="755">
        <v>2</v>
      </c>
      <c r="B471" s="744">
        <v>7</v>
      </c>
      <c r="C471" s="744">
        <v>1</v>
      </c>
      <c r="D471" s="744">
        <v>4</v>
      </c>
      <c r="E471" s="758"/>
      <c r="F471" s="762" t="s">
        <v>4104</v>
      </c>
      <c r="G471" s="745">
        <f>+'[2]MARZO 2025'!G471+'[2]FEBRERO 2025'!G471+'[2]ENERO 2025'!G471+Hoja5!G468</f>
        <v>0</v>
      </c>
      <c r="H471" s="745">
        <f>+'[2]MARZO 2025'!H471+'[2]FEBRERO 2025'!H471+'[2]ENERO 2025'!H471+Hoja5!H468</f>
        <v>0</v>
      </c>
      <c r="I471" s="745">
        <v>0</v>
      </c>
      <c r="J471" s="745">
        <f t="shared" si="16"/>
        <v>0</v>
      </c>
      <c r="K471" s="752"/>
    </row>
    <row r="472" spans="1:11" x14ac:dyDescent="0.2">
      <c r="A472" s="756">
        <v>2</v>
      </c>
      <c r="B472" s="748">
        <v>7</v>
      </c>
      <c r="C472" s="748">
        <v>1</v>
      </c>
      <c r="D472" s="748">
        <v>4</v>
      </c>
      <c r="E472" s="748" t="s">
        <v>4057</v>
      </c>
      <c r="F472" s="753" t="s">
        <v>4104</v>
      </c>
      <c r="G472" s="875">
        <f>+'[2]MARZO 2025'!G472+'[2]FEBRERO 2025'!G472+'[2]ENERO 2025'!G472+Hoja5!G469</f>
        <v>0</v>
      </c>
      <c r="H472" s="875">
        <f>+'[2]MARZO 2025'!H472+'[2]FEBRERO 2025'!H472+'[2]ENERO 2025'!H472+Hoja5!H469</f>
        <v>0</v>
      </c>
      <c r="I472" s="875">
        <v>0</v>
      </c>
      <c r="J472" s="875">
        <f t="shared" si="16"/>
        <v>0</v>
      </c>
      <c r="K472" s="751">
        <f>J472/$J$25</f>
        <v>0</v>
      </c>
    </row>
    <row r="473" spans="1:11" x14ac:dyDescent="0.2">
      <c r="A473" s="754">
        <v>2</v>
      </c>
      <c r="B473" s="742">
        <v>7</v>
      </c>
      <c r="C473" s="742">
        <v>2</v>
      </c>
      <c r="D473" s="742"/>
      <c r="E473" s="742"/>
      <c r="F473" s="763" t="s">
        <v>77</v>
      </c>
      <c r="G473" s="874">
        <f>+'[2]MARZO 2025'!G473+'[2]FEBRERO 2025'!G473+'[2]ENERO 2025'!G473+Hoja5!G470</f>
        <v>0</v>
      </c>
      <c r="H473" s="874">
        <f>+'[2]MARZO 2025'!H473+'[2]FEBRERO 2025'!H473+'[2]ENERO 2025'!H473+Hoja5!H470</f>
        <v>0</v>
      </c>
      <c r="I473" s="874">
        <v>0</v>
      </c>
      <c r="J473" s="874">
        <f t="shared" si="16"/>
        <v>0</v>
      </c>
      <c r="K473" s="740"/>
    </row>
    <row r="474" spans="1:11" x14ac:dyDescent="0.2">
      <c r="A474" s="755">
        <v>2</v>
      </c>
      <c r="B474" s="744">
        <v>7</v>
      </c>
      <c r="C474" s="744">
        <v>2</v>
      </c>
      <c r="D474" s="744">
        <v>1</v>
      </c>
      <c r="E474" s="758"/>
      <c r="F474" s="762" t="s">
        <v>4105</v>
      </c>
      <c r="G474" s="745">
        <f>+'[2]MARZO 2025'!G474+'[2]FEBRERO 2025'!G474+'[2]ENERO 2025'!G474+Hoja5!G471</f>
        <v>0</v>
      </c>
      <c r="H474" s="745">
        <f>+'[2]MARZO 2025'!H474+'[2]FEBRERO 2025'!H474+'[2]ENERO 2025'!H474+Hoja5!H471</f>
        <v>0</v>
      </c>
      <c r="I474" s="745">
        <v>0</v>
      </c>
      <c r="J474" s="745">
        <f t="shared" si="16"/>
        <v>0</v>
      </c>
      <c r="K474" s="752"/>
    </row>
    <row r="475" spans="1:11" x14ac:dyDescent="0.2">
      <c r="A475" s="756">
        <v>2</v>
      </c>
      <c r="B475" s="748">
        <v>7</v>
      </c>
      <c r="C475" s="748">
        <v>2</v>
      </c>
      <c r="D475" s="748">
        <v>1</v>
      </c>
      <c r="E475" s="748" t="s">
        <v>4057</v>
      </c>
      <c r="F475" s="753" t="s">
        <v>4105</v>
      </c>
      <c r="G475" s="875">
        <f>+'[2]MARZO 2025'!G475+'[2]FEBRERO 2025'!G475+'[2]ENERO 2025'!G475+Hoja5!G472</f>
        <v>0</v>
      </c>
      <c r="H475" s="875">
        <f>+'[2]MARZO 2025'!H475+'[2]FEBRERO 2025'!H475+'[2]ENERO 2025'!H475+Hoja5!H472</f>
        <v>0</v>
      </c>
      <c r="I475" s="875">
        <v>0</v>
      </c>
      <c r="J475" s="875">
        <f t="shared" si="16"/>
        <v>0</v>
      </c>
      <c r="K475" s="751">
        <f>J475/$J$25</f>
        <v>0</v>
      </c>
    </row>
    <row r="476" spans="1:11" x14ac:dyDescent="0.2">
      <c r="A476" s="755">
        <v>2</v>
      </c>
      <c r="B476" s="744">
        <v>7</v>
      </c>
      <c r="C476" s="744">
        <v>2</v>
      </c>
      <c r="D476" s="744">
        <v>2</v>
      </c>
      <c r="E476" s="758"/>
      <c r="F476" s="762" t="s">
        <v>4106</v>
      </c>
      <c r="G476" s="745">
        <f>+'[2]MARZO 2025'!G476+'[2]FEBRERO 2025'!G476+'[2]ENERO 2025'!G476+Hoja5!G473</f>
        <v>0</v>
      </c>
      <c r="H476" s="745">
        <f>+'[2]MARZO 2025'!H476+'[2]FEBRERO 2025'!H476+'[2]ENERO 2025'!H476+Hoja5!H473</f>
        <v>0</v>
      </c>
      <c r="I476" s="745">
        <v>0</v>
      </c>
      <c r="J476" s="745">
        <f t="shared" si="16"/>
        <v>0</v>
      </c>
      <c r="K476" s="752"/>
    </row>
    <row r="477" spans="1:11" x14ac:dyDescent="0.2">
      <c r="A477" s="756">
        <v>2</v>
      </c>
      <c r="B477" s="748">
        <v>7</v>
      </c>
      <c r="C477" s="748">
        <v>2</v>
      </c>
      <c r="D477" s="748">
        <v>2</v>
      </c>
      <c r="E477" s="748" t="s">
        <v>4057</v>
      </c>
      <c r="F477" s="753" t="s">
        <v>4106</v>
      </c>
      <c r="G477" s="875">
        <f>+'[2]MARZO 2025'!G477+'[2]FEBRERO 2025'!G477+'[2]ENERO 2025'!G477+Hoja5!G474</f>
        <v>0</v>
      </c>
      <c r="H477" s="875">
        <f>+'[2]MARZO 2025'!H477+'[2]FEBRERO 2025'!H477+'[2]ENERO 2025'!H477+Hoja5!H474</f>
        <v>0</v>
      </c>
      <c r="I477" s="875">
        <v>0</v>
      </c>
      <c r="J477" s="875">
        <f t="shared" si="16"/>
        <v>0</v>
      </c>
      <c r="K477" s="751">
        <f>J477/$J$25</f>
        <v>0</v>
      </c>
    </row>
    <row r="478" spans="1:11" x14ac:dyDescent="0.2">
      <c r="A478" s="755">
        <v>2</v>
      </c>
      <c r="B478" s="744">
        <v>7</v>
      </c>
      <c r="C478" s="744">
        <v>2</v>
      </c>
      <c r="D478" s="744">
        <v>3</v>
      </c>
      <c r="E478" s="758"/>
      <c r="F478" s="762" t="s">
        <v>4107</v>
      </c>
      <c r="G478" s="745">
        <f>+'[2]MARZO 2025'!G478+'[2]FEBRERO 2025'!G478+'[2]ENERO 2025'!G478+Hoja5!G475</f>
        <v>0</v>
      </c>
      <c r="H478" s="745">
        <f>+'[2]MARZO 2025'!H478+'[2]FEBRERO 2025'!H478+'[2]ENERO 2025'!H478+Hoja5!H475</f>
        <v>0</v>
      </c>
      <c r="I478" s="745">
        <v>0</v>
      </c>
      <c r="J478" s="745">
        <f t="shared" ref="J478:J501" si="17">SUM(G478:I478)</f>
        <v>0</v>
      </c>
      <c r="K478" s="752"/>
    </row>
    <row r="479" spans="1:11" x14ac:dyDescent="0.2">
      <c r="A479" s="756">
        <v>2</v>
      </c>
      <c r="B479" s="748">
        <v>7</v>
      </c>
      <c r="C479" s="748">
        <v>2</v>
      </c>
      <c r="D479" s="748">
        <v>3</v>
      </c>
      <c r="E479" s="748" t="s">
        <v>4057</v>
      </c>
      <c r="F479" s="753" t="s">
        <v>4107</v>
      </c>
      <c r="G479" s="875">
        <f>+'[2]MARZO 2025'!G479+'[2]FEBRERO 2025'!G479+'[2]ENERO 2025'!G479+Hoja5!G476</f>
        <v>0</v>
      </c>
      <c r="H479" s="875">
        <f>+'[2]MARZO 2025'!H479+'[2]FEBRERO 2025'!H479+'[2]ENERO 2025'!H479+Hoja5!H476</f>
        <v>0</v>
      </c>
      <c r="I479" s="875">
        <v>0</v>
      </c>
      <c r="J479" s="875">
        <f t="shared" si="17"/>
        <v>0</v>
      </c>
      <c r="K479" s="751">
        <f>J479/$J$25</f>
        <v>0</v>
      </c>
    </row>
    <row r="480" spans="1:11" x14ac:dyDescent="0.2">
      <c r="A480" s="755">
        <v>2</v>
      </c>
      <c r="B480" s="744">
        <v>7</v>
      </c>
      <c r="C480" s="744">
        <v>2</v>
      </c>
      <c r="D480" s="744">
        <v>4</v>
      </c>
      <c r="E480" s="758"/>
      <c r="F480" s="762" t="s">
        <v>4108</v>
      </c>
      <c r="G480" s="745">
        <f>+'[2]MARZO 2025'!G480+'[2]FEBRERO 2025'!G480+'[2]ENERO 2025'!G480+Hoja5!G477</f>
        <v>0</v>
      </c>
      <c r="H480" s="745">
        <f>+'[2]MARZO 2025'!H480+'[2]FEBRERO 2025'!H480+'[2]ENERO 2025'!H480+Hoja5!H477</f>
        <v>0</v>
      </c>
      <c r="I480" s="745">
        <v>0</v>
      </c>
      <c r="J480" s="745">
        <f t="shared" si="17"/>
        <v>0</v>
      </c>
      <c r="K480" s="752"/>
    </row>
    <row r="481" spans="1:11" x14ac:dyDescent="0.2">
      <c r="A481" s="756">
        <v>2</v>
      </c>
      <c r="B481" s="748">
        <v>7</v>
      </c>
      <c r="C481" s="748">
        <v>2</v>
      </c>
      <c r="D481" s="748">
        <v>4</v>
      </c>
      <c r="E481" s="748" t="s">
        <v>4057</v>
      </c>
      <c r="F481" s="753" t="s">
        <v>4108</v>
      </c>
      <c r="G481" s="875">
        <f>+'[2]MARZO 2025'!G481+'[2]FEBRERO 2025'!G481+'[2]ENERO 2025'!G481+Hoja5!G478</f>
        <v>0</v>
      </c>
      <c r="H481" s="875">
        <f>+'[2]MARZO 2025'!H481+'[2]FEBRERO 2025'!H481+'[2]ENERO 2025'!H481+Hoja5!H478</f>
        <v>0</v>
      </c>
      <c r="I481" s="875">
        <v>0</v>
      </c>
      <c r="J481" s="875">
        <f t="shared" si="17"/>
        <v>0</v>
      </c>
      <c r="K481" s="751">
        <f>J481/$J$25</f>
        <v>0</v>
      </c>
    </row>
    <row r="482" spans="1:11" x14ac:dyDescent="0.2">
      <c r="A482" s="755">
        <v>2</v>
      </c>
      <c r="B482" s="744">
        <v>7</v>
      </c>
      <c r="C482" s="744">
        <v>2</v>
      </c>
      <c r="D482" s="744">
        <v>5</v>
      </c>
      <c r="E482" s="758"/>
      <c r="F482" s="762" t="s">
        <v>4109</v>
      </c>
      <c r="G482" s="745">
        <f>+'[2]MARZO 2025'!G482+'[2]FEBRERO 2025'!G482+'[2]ENERO 2025'!G482+Hoja5!G479</f>
        <v>0</v>
      </c>
      <c r="H482" s="745">
        <f>+'[2]MARZO 2025'!H482+'[2]FEBRERO 2025'!H482+'[2]ENERO 2025'!H482+Hoja5!H479</f>
        <v>0</v>
      </c>
      <c r="I482" s="745">
        <v>0</v>
      </c>
      <c r="J482" s="745">
        <f t="shared" si="17"/>
        <v>0</v>
      </c>
      <c r="K482" s="752"/>
    </row>
    <row r="483" spans="1:11" x14ac:dyDescent="0.2">
      <c r="A483" s="756">
        <v>2</v>
      </c>
      <c r="B483" s="748">
        <v>7</v>
      </c>
      <c r="C483" s="748">
        <v>2</v>
      </c>
      <c r="D483" s="748">
        <v>5</v>
      </c>
      <c r="E483" s="748" t="s">
        <v>4057</v>
      </c>
      <c r="F483" s="753" t="s">
        <v>4109</v>
      </c>
      <c r="G483" s="875">
        <f>+'[2]MARZO 2025'!G483+'[2]FEBRERO 2025'!G483+'[2]ENERO 2025'!G483+Hoja5!G480</f>
        <v>0</v>
      </c>
      <c r="H483" s="875">
        <f>+'[2]MARZO 2025'!H483+'[2]FEBRERO 2025'!H483+'[2]ENERO 2025'!H483+Hoja5!H480</f>
        <v>0</v>
      </c>
      <c r="I483" s="875">
        <v>0</v>
      </c>
      <c r="J483" s="875">
        <f t="shared" si="17"/>
        <v>0</v>
      </c>
      <c r="K483" s="751">
        <f>J483/$J$25</f>
        <v>0</v>
      </c>
    </row>
    <row r="484" spans="1:11" x14ac:dyDescent="0.2">
      <c r="A484" s="755">
        <v>2</v>
      </c>
      <c r="B484" s="744">
        <v>7</v>
      </c>
      <c r="C484" s="744">
        <v>2</v>
      </c>
      <c r="D484" s="744">
        <v>6</v>
      </c>
      <c r="E484" s="758"/>
      <c r="F484" s="762" t="s">
        <v>4110</v>
      </c>
      <c r="G484" s="745">
        <f>+'[2]MARZO 2025'!G484+'[2]FEBRERO 2025'!G484+'[2]ENERO 2025'!G484+Hoja5!G481</f>
        <v>0</v>
      </c>
      <c r="H484" s="745">
        <f>+'[2]MARZO 2025'!H484+'[2]FEBRERO 2025'!H484+'[2]ENERO 2025'!H484+Hoja5!H481</f>
        <v>0</v>
      </c>
      <c r="I484" s="745">
        <v>0</v>
      </c>
      <c r="J484" s="745">
        <f t="shared" si="17"/>
        <v>0</v>
      </c>
      <c r="K484" s="752"/>
    </row>
    <row r="485" spans="1:11" x14ac:dyDescent="0.2">
      <c r="A485" s="756">
        <v>2</v>
      </c>
      <c r="B485" s="748">
        <v>7</v>
      </c>
      <c r="C485" s="748">
        <v>2</v>
      </c>
      <c r="D485" s="748">
        <v>6</v>
      </c>
      <c r="E485" s="748" t="s">
        <v>4057</v>
      </c>
      <c r="F485" s="753" t="s">
        <v>4110</v>
      </c>
      <c r="G485" s="875">
        <f>+'[2]MARZO 2025'!G485+'[2]FEBRERO 2025'!G485+'[2]ENERO 2025'!G485+Hoja5!G482</f>
        <v>0</v>
      </c>
      <c r="H485" s="875">
        <f>+'[2]MARZO 2025'!H485+'[2]FEBRERO 2025'!H485+'[2]ENERO 2025'!H485+Hoja5!H482</f>
        <v>0</v>
      </c>
      <c r="I485" s="875">
        <v>0</v>
      </c>
      <c r="J485" s="875">
        <f t="shared" si="17"/>
        <v>0</v>
      </c>
      <c r="K485" s="751">
        <f>J485/$J$25</f>
        <v>0</v>
      </c>
    </row>
    <row r="486" spans="1:11" x14ac:dyDescent="0.2">
      <c r="A486" s="755">
        <v>2</v>
      </c>
      <c r="B486" s="744">
        <v>7</v>
      </c>
      <c r="C486" s="744">
        <v>2</v>
      </c>
      <c r="D486" s="744">
        <v>7</v>
      </c>
      <c r="E486" s="758"/>
      <c r="F486" s="762" t="s">
        <v>4111</v>
      </c>
      <c r="G486" s="745">
        <f>+'[2]MARZO 2025'!G486+'[2]FEBRERO 2025'!G486+'[2]ENERO 2025'!G486+Hoja5!G483</f>
        <v>0</v>
      </c>
      <c r="H486" s="745">
        <f>+'[2]MARZO 2025'!H486+'[2]FEBRERO 2025'!H486+'[2]ENERO 2025'!H486+Hoja5!H483</f>
        <v>0</v>
      </c>
      <c r="I486" s="745">
        <v>0</v>
      </c>
      <c r="J486" s="745">
        <f t="shared" si="17"/>
        <v>0</v>
      </c>
      <c r="K486" s="752"/>
    </row>
    <row r="487" spans="1:11" x14ac:dyDescent="0.2">
      <c r="A487" s="756">
        <v>2</v>
      </c>
      <c r="B487" s="748">
        <v>7</v>
      </c>
      <c r="C487" s="748">
        <v>2</v>
      </c>
      <c r="D487" s="748">
        <v>7</v>
      </c>
      <c r="E487" s="748" t="s">
        <v>4057</v>
      </c>
      <c r="F487" s="753" t="s">
        <v>4111</v>
      </c>
      <c r="G487" s="875">
        <f>+'[2]MARZO 2025'!G487+'[2]FEBRERO 2025'!G487+'[2]ENERO 2025'!G487+Hoja5!G484</f>
        <v>0</v>
      </c>
      <c r="H487" s="875">
        <f>+'[2]MARZO 2025'!H487+'[2]FEBRERO 2025'!H487+'[2]ENERO 2025'!H487+Hoja5!H484</f>
        <v>0</v>
      </c>
      <c r="I487" s="875">
        <v>0</v>
      </c>
      <c r="J487" s="875">
        <f t="shared" si="17"/>
        <v>0</v>
      </c>
      <c r="K487" s="751">
        <f>J487/$J$25</f>
        <v>0</v>
      </c>
    </row>
    <row r="488" spans="1:11" x14ac:dyDescent="0.2">
      <c r="A488" s="755">
        <v>2</v>
      </c>
      <c r="B488" s="744">
        <v>7</v>
      </c>
      <c r="C488" s="744">
        <v>2</v>
      </c>
      <c r="D488" s="744">
        <v>8</v>
      </c>
      <c r="E488" s="758"/>
      <c r="F488" s="762" t="s">
        <v>4112</v>
      </c>
      <c r="G488" s="745">
        <f>+'[2]MARZO 2025'!G488+'[2]FEBRERO 2025'!G488+'[2]ENERO 2025'!G488+Hoja5!G485</f>
        <v>0</v>
      </c>
      <c r="H488" s="745">
        <f>+'[2]MARZO 2025'!H488+'[2]FEBRERO 2025'!H488+'[2]ENERO 2025'!H488+Hoja5!H485</f>
        <v>0</v>
      </c>
      <c r="I488" s="745">
        <v>0</v>
      </c>
      <c r="J488" s="745">
        <f t="shared" si="17"/>
        <v>0</v>
      </c>
      <c r="K488" s="752"/>
    </row>
    <row r="489" spans="1:11" x14ac:dyDescent="0.2">
      <c r="A489" s="756">
        <v>2</v>
      </c>
      <c r="B489" s="748">
        <v>7</v>
      </c>
      <c r="C489" s="748">
        <v>2</v>
      </c>
      <c r="D489" s="748">
        <v>8</v>
      </c>
      <c r="E489" s="748" t="s">
        <v>4057</v>
      </c>
      <c r="F489" s="753" t="s">
        <v>4112</v>
      </c>
      <c r="G489" s="875">
        <f>+'[2]MARZO 2025'!G489+'[2]FEBRERO 2025'!G489+'[2]ENERO 2025'!G489+Hoja5!G486</f>
        <v>0</v>
      </c>
      <c r="H489" s="875">
        <f>+'[2]MARZO 2025'!H489+'[2]FEBRERO 2025'!H489+'[2]ENERO 2025'!H489+Hoja5!H486</f>
        <v>0</v>
      </c>
      <c r="I489" s="875">
        <v>0</v>
      </c>
      <c r="J489" s="875">
        <f t="shared" si="17"/>
        <v>0</v>
      </c>
      <c r="K489" s="751">
        <f>J489/$J$25</f>
        <v>0</v>
      </c>
    </row>
    <row r="490" spans="1:11" ht="25.5" x14ac:dyDescent="0.2">
      <c r="A490" s="755">
        <v>2</v>
      </c>
      <c r="B490" s="744">
        <v>7</v>
      </c>
      <c r="C490" s="744">
        <v>2</v>
      </c>
      <c r="D490" s="744">
        <v>9</v>
      </c>
      <c r="E490" s="758"/>
      <c r="F490" s="762" t="s">
        <v>4113</v>
      </c>
      <c r="G490" s="745">
        <f>+'[2]MARZO 2025'!G490+'[2]FEBRERO 2025'!G490+'[2]ENERO 2025'!G490+Hoja5!G487</f>
        <v>0</v>
      </c>
      <c r="H490" s="745">
        <f>+'[2]MARZO 2025'!H490+'[2]FEBRERO 2025'!H490+'[2]ENERO 2025'!H490+Hoja5!H487</f>
        <v>0</v>
      </c>
      <c r="I490" s="745">
        <v>0</v>
      </c>
      <c r="J490" s="745">
        <f t="shared" si="17"/>
        <v>0</v>
      </c>
      <c r="K490" s="752"/>
    </row>
    <row r="491" spans="1:11" ht="25.5" x14ac:dyDescent="0.2">
      <c r="A491" s="756">
        <v>2</v>
      </c>
      <c r="B491" s="748">
        <v>7</v>
      </c>
      <c r="C491" s="748">
        <v>2</v>
      </c>
      <c r="D491" s="748">
        <v>9</v>
      </c>
      <c r="E491" s="748" t="s">
        <v>4057</v>
      </c>
      <c r="F491" s="753" t="s">
        <v>4113</v>
      </c>
      <c r="G491" s="875">
        <f>+'[2]MARZO 2025'!G491+'[2]FEBRERO 2025'!G491+'[2]ENERO 2025'!G491+Hoja5!G488</f>
        <v>0</v>
      </c>
      <c r="H491" s="875">
        <f>+'[2]MARZO 2025'!H491+'[2]FEBRERO 2025'!H491+'[2]ENERO 2025'!H491+Hoja5!H488</f>
        <v>0</v>
      </c>
      <c r="I491" s="875">
        <v>0</v>
      </c>
      <c r="J491" s="875">
        <f t="shared" si="17"/>
        <v>0</v>
      </c>
      <c r="K491" s="751">
        <f>J491/$J$25</f>
        <v>0</v>
      </c>
    </row>
    <row r="492" spans="1:11" x14ac:dyDescent="0.2">
      <c r="A492" s="754">
        <v>2</v>
      </c>
      <c r="B492" s="742">
        <v>7</v>
      </c>
      <c r="C492" s="742">
        <v>3</v>
      </c>
      <c r="D492" s="742"/>
      <c r="E492" s="742"/>
      <c r="F492" s="763" t="s">
        <v>4114</v>
      </c>
      <c r="G492" s="874">
        <f>+'[2]MARZO 2025'!G492+'[2]FEBRERO 2025'!G492+'[2]ENERO 2025'!G492+Hoja5!G489</f>
        <v>0</v>
      </c>
      <c r="H492" s="874">
        <f>+'[2]MARZO 2025'!H492+'[2]FEBRERO 2025'!H492+'[2]ENERO 2025'!H492+Hoja5!H489</f>
        <v>0</v>
      </c>
      <c r="I492" s="874">
        <v>0</v>
      </c>
      <c r="J492" s="874">
        <f t="shared" si="17"/>
        <v>0</v>
      </c>
      <c r="K492" s="740"/>
    </row>
    <row r="493" spans="1:11" ht="25.5" x14ac:dyDescent="0.2">
      <c r="A493" s="755">
        <v>2</v>
      </c>
      <c r="B493" s="744">
        <v>7</v>
      </c>
      <c r="C493" s="744">
        <v>3</v>
      </c>
      <c r="D493" s="744">
        <v>1</v>
      </c>
      <c r="E493" s="758"/>
      <c r="F493" s="762" t="s">
        <v>4115</v>
      </c>
      <c r="G493" s="745">
        <f>+'[2]MARZO 2025'!G493+'[2]FEBRERO 2025'!G493+'[2]ENERO 2025'!G493+Hoja5!G490</f>
        <v>0</v>
      </c>
      <c r="H493" s="745">
        <f>+'[2]MARZO 2025'!H493+'[2]FEBRERO 2025'!H493+'[2]ENERO 2025'!H493+Hoja5!H490</f>
        <v>0</v>
      </c>
      <c r="I493" s="745">
        <v>0</v>
      </c>
      <c r="J493" s="745">
        <f t="shared" si="17"/>
        <v>0</v>
      </c>
      <c r="K493" s="752"/>
    </row>
    <row r="494" spans="1:11" ht="25.5" x14ac:dyDescent="0.2">
      <c r="A494" s="756">
        <v>2</v>
      </c>
      <c r="B494" s="748">
        <v>7</v>
      </c>
      <c r="C494" s="748">
        <v>3</v>
      </c>
      <c r="D494" s="748">
        <v>1</v>
      </c>
      <c r="E494" s="748" t="s">
        <v>4057</v>
      </c>
      <c r="F494" s="753" t="s">
        <v>4115</v>
      </c>
      <c r="G494" s="875">
        <f>+'[2]MARZO 2025'!G494+'[2]FEBRERO 2025'!G494+'[2]ENERO 2025'!G494+Hoja5!G491</f>
        <v>0</v>
      </c>
      <c r="H494" s="875">
        <f>+'[2]MARZO 2025'!H494+'[2]FEBRERO 2025'!H494+'[2]ENERO 2025'!H494+Hoja5!H491</f>
        <v>0</v>
      </c>
      <c r="I494" s="875">
        <v>0</v>
      </c>
      <c r="J494" s="875">
        <f t="shared" si="17"/>
        <v>0</v>
      </c>
      <c r="K494" s="751">
        <f>J494/$J$25</f>
        <v>0</v>
      </c>
    </row>
    <row r="495" spans="1:11" ht="25.5" x14ac:dyDescent="0.2">
      <c r="A495" s="755">
        <v>2</v>
      </c>
      <c r="B495" s="744">
        <v>7</v>
      </c>
      <c r="C495" s="744">
        <v>3</v>
      </c>
      <c r="D495" s="744">
        <v>2</v>
      </c>
      <c r="E495" s="758"/>
      <c r="F495" s="762" t="s">
        <v>4116</v>
      </c>
      <c r="G495" s="745">
        <f>+'[2]MARZO 2025'!G495+'[2]FEBRERO 2025'!G495+'[2]ENERO 2025'!G495+Hoja5!G492</f>
        <v>0</v>
      </c>
      <c r="H495" s="745">
        <f>+'[2]MARZO 2025'!H495+'[2]FEBRERO 2025'!H495+'[2]ENERO 2025'!H495+Hoja5!H492</f>
        <v>0</v>
      </c>
      <c r="I495" s="745">
        <v>0</v>
      </c>
      <c r="J495" s="745">
        <f t="shared" si="17"/>
        <v>0</v>
      </c>
      <c r="K495" s="752"/>
    </row>
    <row r="496" spans="1:11" ht="25.5" x14ac:dyDescent="0.2">
      <c r="A496" s="756">
        <v>2</v>
      </c>
      <c r="B496" s="748">
        <v>7</v>
      </c>
      <c r="C496" s="748">
        <v>3</v>
      </c>
      <c r="D496" s="748">
        <v>2</v>
      </c>
      <c r="E496" s="748" t="s">
        <v>4057</v>
      </c>
      <c r="F496" s="753" t="s">
        <v>4116</v>
      </c>
      <c r="G496" s="875">
        <f>+'[2]MARZO 2025'!G496+'[2]FEBRERO 2025'!G496+'[2]ENERO 2025'!G496+Hoja5!G493</f>
        <v>0</v>
      </c>
      <c r="H496" s="875">
        <f>+'[2]MARZO 2025'!H496+'[2]FEBRERO 2025'!H496+'[2]ENERO 2025'!H496+Hoja5!H493</f>
        <v>0</v>
      </c>
      <c r="I496" s="875">
        <v>0</v>
      </c>
      <c r="J496" s="875">
        <f t="shared" si="17"/>
        <v>0</v>
      </c>
      <c r="K496" s="751">
        <f>J496/$J$25</f>
        <v>0</v>
      </c>
    </row>
    <row r="497" spans="1:11" ht="25.5" x14ac:dyDescent="0.2">
      <c r="A497" s="754">
        <v>2</v>
      </c>
      <c r="B497" s="742">
        <v>7</v>
      </c>
      <c r="C497" s="742">
        <v>4</v>
      </c>
      <c r="D497" s="742"/>
      <c r="E497" s="742"/>
      <c r="F497" s="763" t="s">
        <v>4117</v>
      </c>
      <c r="G497" s="874">
        <f>+'[2]MARZO 2025'!G497+'[2]FEBRERO 2025'!G497+'[2]ENERO 2025'!G497+Hoja5!G494</f>
        <v>0</v>
      </c>
      <c r="H497" s="874">
        <f>+'[2]MARZO 2025'!H497+'[2]FEBRERO 2025'!H497+'[2]ENERO 2025'!H497+Hoja5!H494</f>
        <v>0</v>
      </c>
      <c r="I497" s="874">
        <v>0</v>
      </c>
      <c r="J497" s="874">
        <f t="shared" si="17"/>
        <v>0</v>
      </c>
      <c r="K497" s="740"/>
    </row>
    <row r="498" spans="1:11" ht="25.5" x14ac:dyDescent="0.2">
      <c r="A498" s="755">
        <v>2</v>
      </c>
      <c r="B498" s="744">
        <v>7</v>
      </c>
      <c r="C498" s="744">
        <v>4</v>
      </c>
      <c r="D498" s="744">
        <v>1</v>
      </c>
      <c r="E498" s="758"/>
      <c r="F498" s="762" t="s">
        <v>4118</v>
      </c>
      <c r="G498" s="745">
        <f>+'[2]MARZO 2025'!G498+'[2]FEBRERO 2025'!G498+'[2]ENERO 2025'!G498+Hoja5!G495</f>
        <v>0</v>
      </c>
      <c r="H498" s="745">
        <f>+'[2]MARZO 2025'!H498+'[2]FEBRERO 2025'!H498+'[2]ENERO 2025'!H498+Hoja5!H495</f>
        <v>0</v>
      </c>
      <c r="I498" s="745">
        <v>0</v>
      </c>
      <c r="J498" s="745">
        <f t="shared" si="17"/>
        <v>0</v>
      </c>
      <c r="K498" s="752"/>
    </row>
    <row r="499" spans="1:11" ht="25.5" x14ac:dyDescent="0.2">
      <c r="A499" s="756">
        <v>2</v>
      </c>
      <c r="B499" s="748">
        <v>7</v>
      </c>
      <c r="C499" s="748">
        <v>4</v>
      </c>
      <c r="D499" s="748">
        <v>1</v>
      </c>
      <c r="E499" s="748" t="s">
        <v>4057</v>
      </c>
      <c r="F499" s="753" t="s">
        <v>4118</v>
      </c>
      <c r="G499" s="875">
        <f>+'[2]MARZO 2025'!G499+'[2]FEBRERO 2025'!G499+'[2]ENERO 2025'!G499+Hoja5!G496</f>
        <v>0</v>
      </c>
      <c r="H499" s="875">
        <f>+'[2]MARZO 2025'!H499+'[2]FEBRERO 2025'!H499+'[2]ENERO 2025'!H499+Hoja5!H496</f>
        <v>0</v>
      </c>
      <c r="I499" s="875">
        <v>0</v>
      </c>
      <c r="J499" s="875">
        <f t="shared" si="17"/>
        <v>0</v>
      </c>
      <c r="K499" s="751">
        <f>J499/$J$25</f>
        <v>0</v>
      </c>
    </row>
    <row r="500" spans="1:11" ht="25.5" x14ac:dyDescent="0.2">
      <c r="A500" s="743">
        <v>2</v>
      </c>
      <c r="B500" s="744">
        <v>7</v>
      </c>
      <c r="C500" s="744">
        <v>4</v>
      </c>
      <c r="D500" s="744">
        <v>2</v>
      </c>
      <c r="E500" s="758"/>
      <c r="F500" s="762" t="s">
        <v>4119</v>
      </c>
      <c r="G500" s="745">
        <f>+'[2]MARZO 2025'!G500+'[2]FEBRERO 2025'!G500+'[2]ENERO 2025'!G500+Hoja5!G497</f>
        <v>0</v>
      </c>
      <c r="H500" s="745">
        <f>+'[2]MARZO 2025'!H500+'[2]FEBRERO 2025'!H500+'[2]ENERO 2025'!H500+Hoja5!H497</f>
        <v>0</v>
      </c>
      <c r="I500" s="745">
        <v>0</v>
      </c>
      <c r="J500" s="745">
        <f t="shared" si="17"/>
        <v>0</v>
      </c>
      <c r="K500" s="752"/>
    </row>
    <row r="501" spans="1:11" ht="25.5" x14ac:dyDescent="0.2">
      <c r="A501" s="747">
        <v>2</v>
      </c>
      <c r="B501" s="748">
        <v>7</v>
      </c>
      <c r="C501" s="748">
        <v>4</v>
      </c>
      <c r="D501" s="748">
        <v>2</v>
      </c>
      <c r="E501" s="748" t="s">
        <v>4057</v>
      </c>
      <c r="F501" s="753" t="s">
        <v>4119</v>
      </c>
      <c r="G501" s="875">
        <f>+'[2]MARZO 2025'!G501+'[2]FEBRERO 2025'!G501+'[2]ENERO 2025'!G501+Hoja5!G498</f>
        <v>0</v>
      </c>
      <c r="H501" s="875">
        <f>+'[2]MARZO 2025'!H501+'[2]FEBRERO 2025'!H501+'[2]ENERO 2025'!H501+Hoja5!H498</f>
        <v>0</v>
      </c>
      <c r="I501" s="875">
        <v>0</v>
      </c>
      <c r="J501" s="875">
        <f t="shared" si="17"/>
        <v>0</v>
      </c>
      <c r="K501" s="751">
        <f>J501/$J$25</f>
        <v>0</v>
      </c>
    </row>
    <row r="502" spans="1:11" ht="15" x14ac:dyDescent="0.25">
      <c r="A502" s="770"/>
      <c r="B502" s="770"/>
      <c r="C502" s="770"/>
      <c r="D502" s="770"/>
      <c r="E502" s="770"/>
      <c r="F502" s="770"/>
      <c r="G502" s="770"/>
      <c r="H502" s="770"/>
      <c r="I502" s="770"/>
      <c r="J502" s="770"/>
      <c r="K502" s="771"/>
    </row>
    <row r="503" spans="1:11" ht="15" x14ac:dyDescent="0.25">
      <c r="A503" s="770"/>
      <c r="B503" s="770"/>
      <c r="C503" s="770"/>
      <c r="D503" s="770"/>
      <c r="E503" s="770"/>
      <c r="F503" s="770"/>
      <c r="G503" s="770"/>
      <c r="H503" s="770"/>
      <c r="I503" s="770"/>
      <c r="J503" s="770"/>
      <c r="K503" s="770"/>
    </row>
    <row r="504" spans="1:11" ht="15" x14ac:dyDescent="0.25">
      <c r="A504" s="770"/>
      <c r="B504" s="770"/>
      <c r="C504" s="770"/>
      <c r="D504" s="770"/>
      <c r="E504" s="770"/>
      <c r="F504" s="770"/>
      <c r="G504" s="770"/>
      <c r="H504" s="770"/>
      <c r="I504" s="770"/>
      <c r="J504" s="770"/>
      <c r="K504" s="770"/>
    </row>
    <row r="505" spans="1:11" ht="15" x14ac:dyDescent="0.25">
      <c r="A505" s="770"/>
      <c r="B505" s="770"/>
      <c r="C505" s="770"/>
      <c r="D505" s="770"/>
      <c r="E505" s="770"/>
      <c r="F505" s="770"/>
      <c r="G505" s="770"/>
      <c r="H505" s="770"/>
      <c r="I505" s="770"/>
      <c r="J505" s="770"/>
      <c r="K505" s="770"/>
    </row>
    <row r="506" spans="1:11" ht="15" x14ac:dyDescent="0.25">
      <c r="A506" s="770"/>
      <c r="B506" s="770"/>
      <c r="C506" s="770"/>
      <c r="D506" s="770"/>
      <c r="E506" s="770"/>
      <c r="F506" s="770"/>
      <c r="G506" s="770"/>
      <c r="H506" s="770"/>
      <c r="I506" s="770"/>
      <c r="J506" s="770"/>
      <c r="K506" s="770"/>
    </row>
    <row r="507" spans="1:11" ht="15" x14ac:dyDescent="0.25">
      <c r="A507" s="770"/>
      <c r="B507" s="770"/>
      <c r="C507" s="770"/>
      <c r="D507" s="770"/>
      <c r="E507" s="770"/>
      <c r="F507" s="770"/>
      <c r="G507" s="770"/>
      <c r="H507" s="770"/>
      <c r="I507" s="770"/>
      <c r="J507" s="770"/>
      <c r="K507" s="770"/>
    </row>
    <row r="508" spans="1:11" ht="15" x14ac:dyDescent="0.25">
      <c r="A508" s="770"/>
      <c r="B508" s="770"/>
      <c r="C508" s="770"/>
      <c r="D508" s="770"/>
      <c r="E508" s="770"/>
      <c r="F508" s="770"/>
      <c r="G508" s="770"/>
      <c r="H508" s="770"/>
      <c r="I508" s="770"/>
      <c r="J508" s="770"/>
      <c r="K508" s="770"/>
    </row>
    <row r="509" spans="1:11" ht="15" x14ac:dyDescent="0.25">
      <c r="A509" s="770"/>
      <c r="B509" s="770"/>
      <c r="C509" s="770"/>
      <c r="D509" s="770"/>
      <c r="E509" s="770"/>
      <c r="F509" s="770"/>
      <c r="G509" s="770"/>
      <c r="H509" s="770"/>
      <c r="I509" s="770"/>
      <c r="J509" s="770"/>
      <c r="K509" s="770"/>
    </row>
    <row r="510" spans="1:11" ht="15" x14ac:dyDescent="0.25">
      <c r="A510" s="770"/>
      <c r="B510" s="770"/>
      <c r="C510" s="770"/>
      <c r="D510" s="770"/>
      <c r="E510" s="770"/>
      <c r="F510" s="770"/>
      <c r="G510" s="770"/>
      <c r="H510" s="770"/>
      <c r="I510" s="770"/>
      <c r="J510" s="770"/>
      <c r="K510" s="770"/>
    </row>
    <row r="511" spans="1:11" ht="15" x14ac:dyDescent="0.25">
      <c r="A511" s="770"/>
      <c r="B511" s="770"/>
      <c r="C511" s="770"/>
      <c r="D511" s="770"/>
      <c r="E511" s="770"/>
      <c r="F511" s="770"/>
      <c r="G511" s="770"/>
      <c r="H511" s="770"/>
      <c r="I511" s="770"/>
      <c r="J511" s="770"/>
      <c r="K511" s="770"/>
    </row>
  </sheetData>
  <protectedRanges>
    <protectedRange algorithmName="SHA-512" hashValue="ZAfGeYA5VbL0gG93akD1xexJu2rI3UXxHwEtGuh6c0glGlh5rE1RHQPZZ54q7AqVc1jO4jlchft9pel46vZT4g==" saltValue="JJI+A7ZZczdDIztssZc9Vg==" spinCount="100000" sqref="A6:K7 A9:K18" name="Rango1"/>
  </protectedRanges>
  <mergeCells count="22">
    <mergeCell ref="A7:K7"/>
    <mergeCell ref="A2:I2"/>
    <mergeCell ref="A3:K3"/>
    <mergeCell ref="A4:K4"/>
    <mergeCell ref="A5:K5"/>
    <mergeCell ref="A6:K6"/>
    <mergeCell ref="A21:E21"/>
    <mergeCell ref="G21:I21"/>
    <mergeCell ref="A22:E22"/>
    <mergeCell ref="F22:F24"/>
    <mergeCell ref="G22:I22"/>
    <mergeCell ref="M23:Q23"/>
    <mergeCell ref="K22:K24"/>
    <mergeCell ref="A23:A24"/>
    <mergeCell ref="B23:B24"/>
    <mergeCell ref="C23:C24"/>
    <mergeCell ref="D23:D24"/>
    <mergeCell ref="E23:E24"/>
    <mergeCell ref="G23:G24"/>
    <mergeCell ref="H23:H24"/>
    <mergeCell ref="I23:I24"/>
    <mergeCell ref="J22:J24"/>
  </mergeCells>
  <pageMargins left="0.7" right="0.7" top="0.75" bottom="0.75" header="0.3" footer="0.3"/>
  <pageSetup scale="55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K524"/>
  <sheetViews>
    <sheetView view="pageBreakPreview" topLeftCell="A28" zoomScale="112" zoomScaleNormal="100" zoomScaleSheetLayoutView="112" workbookViewId="0">
      <selection activeCell="H47" sqref="H47"/>
    </sheetView>
  </sheetViews>
  <sheetFormatPr baseColWidth="10" defaultColWidth="9.140625" defaultRowHeight="12.75" x14ac:dyDescent="0.2"/>
  <cols>
    <col min="1" max="3" width="9.140625" style="590" customWidth="1"/>
    <col min="4" max="4" width="14.42578125" style="590" bestFit="1" customWidth="1"/>
    <col min="5" max="5" width="9.140625" style="590" customWidth="1"/>
    <col min="6" max="6" width="21.28515625" style="590" customWidth="1"/>
    <col min="7" max="7" width="20.85546875" style="590" bestFit="1" customWidth="1"/>
    <col min="8" max="8" width="17.28515625" style="591" bestFit="1" customWidth="1"/>
    <col min="9" max="9" width="12.85546875" style="591" bestFit="1" customWidth="1"/>
    <col min="10" max="10" width="12.85546875" style="590" bestFit="1" customWidth="1"/>
    <col min="11" max="256" width="9.140625" style="590"/>
    <col min="257" max="259" width="9.140625" style="590" customWidth="1"/>
    <col min="260" max="260" width="14.42578125" style="590" bestFit="1" customWidth="1"/>
    <col min="261" max="261" width="9.140625" style="590" customWidth="1"/>
    <col min="262" max="262" width="21.28515625" style="590" customWidth="1"/>
    <col min="263" max="263" width="20.85546875" style="590" bestFit="1" customWidth="1"/>
    <col min="264" max="264" width="17.28515625" style="590" bestFit="1" customWidth="1"/>
    <col min="265" max="266" width="12.85546875" style="590" bestFit="1" customWidth="1"/>
    <col min="267" max="512" width="9.140625" style="590"/>
    <col min="513" max="515" width="9.140625" style="590" customWidth="1"/>
    <col min="516" max="516" width="14.42578125" style="590" bestFit="1" customWidth="1"/>
    <col min="517" max="517" width="9.140625" style="590" customWidth="1"/>
    <col min="518" max="518" width="21.28515625" style="590" customWidth="1"/>
    <col min="519" max="519" width="20.85546875" style="590" bestFit="1" customWidth="1"/>
    <col min="520" max="520" width="17.28515625" style="590" bestFit="1" customWidth="1"/>
    <col min="521" max="522" width="12.85546875" style="590" bestFit="1" customWidth="1"/>
    <col min="523" max="768" width="9.140625" style="590"/>
    <col min="769" max="771" width="9.140625" style="590" customWidth="1"/>
    <col min="772" max="772" width="14.42578125" style="590" bestFit="1" customWidth="1"/>
    <col min="773" max="773" width="9.140625" style="590" customWidth="1"/>
    <col min="774" max="774" width="21.28515625" style="590" customWidth="1"/>
    <col min="775" max="775" width="20.85546875" style="590" bestFit="1" customWidth="1"/>
    <col min="776" max="776" width="17.28515625" style="590" bestFit="1" customWidth="1"/>
    <col min="777" max="778" width="12.85546875" style="590" bestFit="1" customWidth="1"/>
    <col min="779" max="1024" width="9.140625" style="590"/>
    <col min="1025" max="1027" width="9.140625" style="590" customWidth="1"/>
    <col min="1028" max="1028" width="14.42578125" style="590" bestFit="1" customWidth="1"/>
    <col min="1029" max="1029" width="9.140625" style="590" customWidth="1"/>
    <col min="1030" max="1030" width="21.28515625" style="590" customWidth="1"/>
    <col min="1031" max="1031" width="20.85546875" style="590" bestFit="1" customWidth="1"/>
    <col min="1032" max="1032" width="17.28515625" style="590" bestFit="1" customWidth="1"/>
    <col min="1033" max="1034" width="12.85546875" style="590" bestFit="1" customWidth="1"/>
    <col min="1035" max="1280" width="9.140625" style="590"/>
    <col min="1281" max="1283" width="9.140625" style="590" customWidth="1"/>
    <col min="1284" max="1284" width="14.42578125" style="590" bestFit="1" customWidth="1"/>
    <col min="1285" max="1285" width="9.140625" style="590" customWidth="1"/>
    <col min="1286" max="1286" width="21.28515625" style="590" customWidth="1"/>
    <col min="1287" max="1287" width="20.85546875" style="590" bestFit="1" customWidth="1"/>
    <col min="1288" max="1288" width="17.28515625" style="590" bestFit="1" customWidth="1"/>
    <col min="1289" max="1290" width="12.85546875" style="590" bestFit="1" customWidth="1"/>
    <col min="1291" max="1536" width="9.140625" style="590"/>
    <col min="1537" max="1539" width="9.140625" style="590" customWidth="1"/>
    <col min="1540" max="1540" width="14.42578125" style="590" bestFit="1" customWidth="1"/>
    <col min="1541" max="1541" width="9.140625" style="590" customWidth="1"/>
    <col min="1542" max="1542" width="21.28515625" style="590" customWidth="1"/>
    <col min="1543" max="1543" width="20.85546875" style="590" bestFit="1" customWidth="1"/>
    <col min="1544" max="1544" width="17.28515625" style="590" bestFit="1" customWidth="1"/>
    <col min="1545" max="1546" width="12.85546875" style="590" bestFit="1" customWidth="1"/>
    <col min="1547" max="1792" width="9.140625" style="590"/>
    <col min="1793" max="1795" width="9.140625" style="590" customWidth="1"/>
    <col min="1796" max="1796" width="14.42578125" style="590" bestFit="1" customWidth="1"/>
    <col min="1797" max="1797" width="9.140625" style="590" customWidth="1"/>
    <col min="1798" max="1798" width="21.28515625" style="590" customWidth="1"/>
    <col min="1799" max="1799" width="20.85546875" style="590" bestFit="1" customWidth="1"/>
    <col min="1800" max="1800" width="17.28515625" style="590" bestFit="1" customWidth="1"/>
    <col min="1801" max="1802" width="12.85546875" style="590" bestFit="1" customWidth="1"/>
    <col min="1803" max="2048" width="9.140625" style="590"/>
    <col min="2049" max="2051" width="9.140625" style="590" customWidth="1"/>
    <col min="2052" max="2052" width="14.42578125" style="590" bestFit="1" customWidth="1"/>
    <col min="2053" max="2053" width="9.140625" style="590" customWidth="1"/>
    <col min="2054" max="2054" width="21.28515625" style="590" customWidth="1"/>
    <col min="2055" max="2055" width="20.85546875" style="590" bestFit="1" customWidth="1"/>
    <col min="2056" max="2056" width="17.28515625" style="590" bestFit="1" customWidth="1"/>
    <col min="2057" max="2058" width="12.85546875" style="590" bestFit="1" customWidth="1"/>
    <col min="2059" max="2304" width="9.140625" style="590"/>
    <col min="2305" max="2307" width="9.140625" style="590" customWidth="1"/>
    <col min="2308" max="2308" width="14.42578125" style="590" bestFit="1" customWidth="1"/>
    <col min="2309" max="2309" width="9.140625" style="590" customWidth="1"/>
    <col min="2310" max="2310" width="21.28515625" style="590" customWidth="1"/>
    <col min="2311" max="2311" width="20.85546875" style="590" bestFit="1" customWidth="1"/>
    <col min="2312" max="2312" width="17.28515625" style="590" bestFit="1" customWidth="1"/>
    <col min="2313" max="2314" width="12.85546875" style="590" bestFit="1" customWidth="1"/>
    <col min="2315" max="2560" width="9.140625" style="590"/>
    <col min="2561" max="2563" width="9.140625" style="590" customWidth="1"/>
    <col min="2564" max="2564" width="14.42578125" style="590" bestFit="1" customWidth="1"/>
    <col min="2565" max="2565" width="9.140625" style="590" customWidth="1"/>
    <col min="2566" max="2566" width="21.28515625" style="590" customWidth="1"/>
    <col min="2567" max="2567" width="20.85546875" style="590" bestFit="1" customWidth="1"/>
    <col min="2568" max="2568" width="17.28515625" style="590" bestFit="1" customWidth="1"/>
    <col min="2569" max="2570" width="12.85546875" style="590" bestFit="1" customWidth="1"/>
    <col min="2571" max="2816" width="9.140625" style="590"/>
    <col min="2817" max="2819" width="9.140625" style="590" customWidth="1"/>
    <col min="2820" max="2820" width="14.42578125" style="590" bestFit="1" customWidth="1"/>
    <col min="2821" max="2821" width="9.140625" style="590" customWidth="1"/>
    <col min="2822" max="2822" width="21.28515625" style="590" customWidth="1"/>
    <col min="2823" max="2823" width="20.85546875" style="590" bestFit="1" customWidth="1"/>
    <col min="2824" max="2824" width="17.28515625" style="590" bestFit="1" customWidth="1"/>
    <col min="2825" max="2826" width="12.85546875" style="590" bestFit="1" customWidth="1"/>
    <col min="2827" max="3072" width="9.140625" style="590"/>
    <col min="3073" max="3075" width="9.140625" style="590" customWidth="1"/>
    <col min="3076" max="3076" width="14.42578125" style="590" bestFit="1" customWidth="1"/>
    <col min="3077" max="3077" width="9.140625" style="590" customWidth="1"/>
    <col min="3078" max="3078" width="21.28515625" style="590" customWidth="1"/>
    <col min="3079" max="3079" width="20.85546875" style="590" bestFit="1" customWidth="1"/>
    <col min="3080" max="3080" width="17.28515625" style="590" bestFit="1" customWidth="1"/>
    <col min="3081" max="3082" width="12.85546875" style="590" bestFit="1" customWidth="1"/>
    <col min="3083" max="3328" width="9.140625" style="590"/>
    <col min="3329" max="3331" width="9.140625" style="590" customWidth="1"/>
    <col min="3332" max="3332" width="14.42578125" style="590" bestFit="1" customWidth="1"/>
    <col min="3333" max="3333" width="9.140625" style="590" customWidth="1"/>
    <col min="3334" max="3334" width="21.28515625" style="590" customWidth="1"/>
    <col min="3335" max="3335" width="20.85546875" style="590" bestFit="1" customWidth="1"/>
    <col min="3336" max="3336" width="17.28515625" style="590" bestFit="1" customWidth="1"/>
    <col min="3337" max="3338" width="12.85546875" style="590" bestFit="1" customWidth="1"/>
    <col min="3339" max="3584" width="9.140625" style="590"/>
    <col min="3585" max="3587" width="9.140625" style="590" customWidth="1"/>
    <col min="3588" max="3588" width="14.42578125" style="590" bestFit="1" customWidth="1"/>
    <col min="3589" max="3589" width="9.140625" style="590" customWidth="1"/>
    <col min="3590" max="3590" width="21.28515625" style="590" customWidth="1"/>
    <col min="3591" max="3591" width="20.85546875" style="590" bestFit="1" customWidth="1"/>
    <col min="3592" max="3592" width="17.28515625" style="590" bestFit="1" customWidth="1"/>
    <col min="3593" max="3594" width="12.85546875" style="590" bestFit="1" customWidth="1"/>
    <col min="3595" max="3840" width="9.140625" style="590"/>
    <col min="3841" max="3843" width="9.140625" style="590" customWidth="1"/>
    <col min="3844" max="3844" width="14.42578125" style="590" bestFit="1" customWidth="1"/>
    <col min="3845" max="3845" width="9.140625" style="590" customWidth="1"/>
    <col min="3846" max="3846" width="21.28515625" style="590" customWidth="1"/>
    <col min="3847" max="3847" width="20.85546875" style="590" bestFit="1" customWidth="1"/>
    <col min="3848" max="3848" width="17.28515625" style="590" bestFit="1" customWidth="1"/>
    <col min="3849" max="3850" width="12.85546875" style="590" bestFit="1" customWidth="1"/>
    <col min="3851" max="4096" width="9.140625" style="590"/>
    <col min="4097" max="4099" width="9.140625" style="590" customWidth="1"/>
    <col min="4100" max="4100" width="14.42578125" style="590" bestFit="1" customWidth="1"/>
    <col min="4101" max="4101" width="9.140625" style="590" customWidth="1"/>
    <col min="4102" max="4102" width="21.28515625" style="590" customWidth="1"/>
    <col min="4103" max="4103" width="20.85546875" style="590" bestFit="1" customWidth="1"/>
    <col min="4104" max="4104" width="17.28515625" style="590" bestFit="1" customWidth="1"/>
    <col min="4105" max="4106" width="12.85546875" style="590" bestFit="1" customWidth="1"/>
    <col min="4107" max="4352" width="9.140625" style="590"/>
    <col min="4353" max="4355" width="9.140625" style="590" customWidth="1"/>
    <col min="4356" max="4356" width="14.42578125" style="590" bestFit="1" customWidth="1"/>
    <col min="4357" max="4357" width="9.140625" style="590" customWidth="1"/>
    <col min="4358" max="4358" width="21.28515625" style="590" customWidth="1"/>
    <col min="4359" max="4359" width="20.85546875" style="590" bestFit="1" customWidth="1"/>
    <col min="4360" max="4360" width="17.28515625" style="590" bestFit="1" customWidth="1"/>
    <col min="4361" max="4362" width="12.85546875" style="590" bestFit="1" customWidth="1"/>
    <col min="4363" max="4608" width="9.140625" style="590"/>
    <col min="4609" max="4611" width="9.140625" style="590" customWidth="1"/>
    <col min="4612" max="4612" width="14.42578125" style="590" bestFit="1" customWidth="1"/>
    <col min="4613" max="4613" width="9.140625" style="590" customWidth="1"/>
    <col min="4614" max="4614" width="21.28515625" style="590" customWidth="1"/>
    <col min="4615" max="4615" width="20.85546875" style="590" bestFit="1" customWidth="1"/>
    <col min="4616" max="4616" width="17.28515625" style="590" bestFit="1" customWidth="1"/>
    <col min="4617" max="4618" width="12.85546875" style="590" bestFit="1" customWidth="1"/>
    <col min="4619" max="4864" width="9.140625" style="590"/>
    <col min="4865" max="4867" width="9.140625" style="590" customWidth="1"/>
    <col min="4868" max="4868" width="14.42578125" style="590" bestFit="1" customWidth="1"/>
    <col min="4869" max="4869" width="9.140625" style="590" customWidth="1"/>
    <col min="4870" max="4870" width="21.28515625" style="590" customWidth="1"/>
    <col min="4871" max="4871" width="20.85546875" style="590" bestFit="1" customWidth="1"/>
    <col min="4872" max="4872" width="17.28515625" style="590" bestFit="1" customWidth="1"/>
    <col min="4873" max="4874" width="12.85546875" style="590" bestFit="1" customWidth="1"/>
    <col min="4875" max="5120" width="9.140625" style="590"/>
    <col min="5121" max="5123" width="9.140625" style="590" customWidth="1"/>
    <col min="5124" max="5124" width="14.42578125" style="590" bestFit="1" customWidth="1"/>
    <col min="5125" max="5125" width="9.140625" style="590" customWidth="1"/>
    <col min="5126" max="5126" width="21.28515625" style="590" customWidth="1"/>
    <col min="5127" max="5127" width="20.85546875" style="590" bestFit="1" customWidth="1"/>
    <col min="5128" max="5128" width="17.28515625" style="590" bestFit="1" customWidth="1"/>
    <col min="5129" max="5130" width="12.85546875" style="590" bestFit="1" customWidth="1"/>
    <col min="5131" max="5376" width="9.140625" style="590"/>
    <col min="5377" max="5379" width="9.140625" style="590" customWidth="1"/>
    <col min="5380" max="5380" width="14.42578125" style="590" bestFit="1" customWidth="1"/>
    <col min="5381" max="5381" width="9.140625" style="590" customWidth="1"/>
    <col min="5382" max="5382" width="21.28515625" style="590" customWidth="1"/>
    <col min="5383" max="5383" width="20.85546875" style="590" bestFit="1" customWidth="1"/>
    <col min="5384" max="5384" width="17.28515625" style="590" bestFit="1" customWidth="1"/>
    <col min="5385" max="5386" width="12.85546875" style="590" bestFit="1" customWidth="1"/>
    <col min="5387" max="5632" width="9.140625" style="590"/>
    <col min="5633" max="5635" width="9.140625" style="590" customWidth="1"/>
    <col min="5636" max="5636" width="14.42578125" style="590" bestFit="1" customWidth="1"/>
    <col min="5637" max="5637" width="9.140625" style="590" customWidth="1"/>
    <col min="5638" max="5638" width="21.28515625" style="590" customWidth="1"/>
    <col min="5639" max="5639" width="20.85546875" style="590" bestFit="1" customWidth="1"/>
    <col min="5640" max="5640" width="17.28515625" style="590" bestFit="1" customWidth="1"/>
    <col min="5641" max="5642" width="12.85546875" style="590" bestFit="1" customWidth="1"/>
    <col min="5643" max="5888" width="9.140625" style="590"/>
    <col min="5889" max="5891" width="9.140625" style="590" customWidth="1"/>
    <col min="5892" max="5892" width="14.42578125" style="590" bestFit="1" customWidth="1"/>
    <col min="5893" max="5893" width="9.140625" style="590" customWidth="1"/>
    <col min="5894" max="5894" width="21.28515625" style="590" customWidth="1"/>
    <col min="5895" max="5895" width="20.85546875" style="590" bestFit="1" customWidth="1"/>
    <col min="5896" max="5896" width="17.28515625" style="590" bestFit="1" customWidth="1"/>
    <col min="5897" max="5898" width="12.85546875" style="590" bestFit="1" customWidth="1"/>
    <col min="5899" max="6144" width="9.140625" style="590"/>
    <col min="6145" max="6147" width="9.140625" style="590" customWidth="1"/>
    <col min="6148" max="6148" width="14.42578125" style="590" bestFit="1" customWidth="1"/>
    <col min="6149" max="6149" width="9.140625" style="590" customWidth="1"/>
    <col min="6150" max="6150" width="21.28515625" style="590" customWidth="1"/>
    <col min="6151" max="6151" width="20.85546875" style="590" bestFit="1" customWidth="1"/>
    <col min="6152" max="6152" width="17.28515625" style="590" bestFit="1" customWidth="1"/>
    <col min="6153" max="6154" width="12.85546875" style="590" bestFit="1" customWidth="1"/>
    <col min="6155" max="6400" width="9.140625" style="590"/>
    <col min="6401" max="6403" width="9.140625" style="590" customWidth="1"/>
    <col min="6404" max="6404" width="14.42578125" style="590" bestFit="1" customWidth="1"/>
    <col min="6405" max="6405" width="9.140625" style="590" customWidth="1"/>
    <col min="6406" max="6406" width="21.28515625" style="590" customWidth="1"/>
    <col min="6407" max="6407" width="20.85546875" style="590" bestFit="1" customWidth="1"/>
    <col min="6408" max="6408" width="17.28515625" style="590" bestFit="1" customWidth="1"/>
    <col min="6409" max="6410" width="12.85546875" style="590" bestFit="1" customWidth="1"/>
    <col min="6411" max="6656" width="9.140625" style="590"/>
    <col min="6657" max="6659" width="9.140625" style="590" customWidth="1"/>
    <col min="6660" max="6660" width="14.42578125" style="590" bestFit="1" customWidth="1"/>
    <col min="6661" max="6661" width="9.140625" style="590" customWidth="1"/>
    <col min="6662" max="6662" width="21.28515625" style="590" customWidth="1"/>
    <col min="6663" max="6663" width="20.85546875" style="590" bestFit="1" customWidth="1"/>
    <col min="6664" max="6664" width="17.28515625" style="590" bestFit="1" customWidth="1"/>
    <col min="6665" max="6666" width="12.85546875" style="590" bestFit="1" customWidth="1"/>
    <col min="6667" max="6912" width="9.140625" style="590"/>
    <col min="6913" max="6915" width="9.140625" style="590" customWidth="1"/>
    <col min="6916" max="6916" width="14.42578125" style="590" bestFit="1" customWidth="1"/>
    <col min="6917" max="6917" width="9.140625" style="590" customWidth="1"/>
    <col min="6918" max="6918" width="21.28515625" style="590" customWidth="1"/>
    <col min="6919" max="6919" width="20.85546875" style="590" bestFit="1" customWidth="1"/>
    <col min="6920" max="6920" width="17.28515625" style="590" bestFit="1" customWidth="1"/>
    <col min="6921" max="6922" width="12.85546875" style="590" bestFit="1" customWidth="1"/>
    <col min="6923" max="7168" width="9.140625" style="590"/>
    <col min="7169" max="7171" width="9.140625" style="590" customWidth="1"/>
    <col min="7172" max="7172" width="14.42578125" style="590" bestFit="1" customWidth="1"/>
    <col min="7173" max="7173" width="9.140625" style="590" customWidth="1"/>
    <col min="7174" max="7174" width="21.28515625" style="590" customWidth="1"/>
    <col min="7175" max="7175" width="20.85546875" style="590" bestFit="1" customWidth="1"/>
    <col min="7176" max="7176" width="17.28515625" style="590" bestFit="1" customWidth="1"/>
    <col min="7177" max="7178" width="12.85546875" style="590" bestFit="1" customWidth="1"/>
    <col min="7179" max="7424" width="9.140625" style="590"/>
    <col min="7425" max="7427" width="9.140625" style="590" customWidth="1"/>
    <col min="7428" max="7428" width="14.42578125" style="590" bestFit="1" customWidth="1"/>
    <col min="7429" max="7429" width="9.140625" style="590" customWidth="1"/>
    <col min="7430" max="7430" width="21.28515625" style="590" customWidth="1"/>
    <col min="7431" max="7431" width="20.85546875" style="590" bestFit="1" customWidth="1"/>
    <col min="7432" max="7432" width="17.28515625" style="590" bestFit="1" customWidth="1"/>
    <col min="7433" max="7434" width="12.85546875" style="590" bestFit="1" customWidth="1"/>
    <col min="7435" max="7680" width="9.140625" style="590"/>
    <col min="7681" max="7683" width="9.140625" style="590" customWidth="1"/>
    <col min="7684" max="7684" width="14.42578125" style="590" bestFit="1" customWidth="1"/>
    <col min="7685" max="7685" width="9.140625" style="590" customWidth="1"/>
    <col min="7686" max="7686" width="21.28515625" style="590" customWidth="1"/>
    <col min="7687" max="7687" width="20.85546875" style="590" bestFit="1" customWidth="1"/>
    <col min="7688" max="7688" width="17.28515625" style="590" bestFit="1" customWidth="1"/>
    <col min="7689" max="7690" width="12.85546875" style="590" bestFit="1" customWidth="1"/>
    <col min="7691" max="7936" width="9.140625" style="590"/>
    <col min="7937" max="7939" width="9.140625" style="590" customWidth="1"/>
    <col min="7940" max="7940" width="14.42578125" style="590" bestFit="1" customWidth="1"/>
    <col min="7941" max="7941" width="9.140625" style="590" customWidth="1"/>
    <col min="7942" max="7942" width="21.28515625" style="590" customWidth="1"/>
    <col min="7943" max="7943" width="20.85546875" style="590" bestFit="1" customWidth="1"/>
    <col min="7944" max="7944" width="17.28515625" style="590" bestFit="1" customWidth="1"/>
    <col min="7945" max="7946" width="12.85546875" style="590" bestFit="1" customWidth="1"/>
    <col min="7947" max="8192" width="9.140625" style="590"/>
    <col min="8193" max="8195" width="9.140625" style="590" customWidth="1"/>
    <col min="8196" max="8196" width="14.42578125" style="590" bestFit="1" customWidth="1"/>
    <col min="8197" max="8197" width="9.140625" style="590" customWidth="1"/>
    <col min="8198" max="8198" width="21.28515625" style="590" customWidth="1"/>
    <col min="8199" max="8199" width="20.85546875" style="590" bestFit="1" customWidth="1"/>
    <col min="8200" max="8200" width="17.28515625" style="590" bestFit="1" customWidth="1"/>
    <col min="8201" max="8202" width="12.85546875" style="590" bestFit="1" customWidth="1"/>
    <col min="8203" max="8448" width="9.140625" style="590"/>
    <col min="8449" max="8451" width="9.140625" style="590" customWidth="1"/>
    <col min="8452" max="8452" width="14.42578125" style="590" bestFit="1" customWidth="1"/>
    <col min="8453" max="8453" width="9.140625" style="590" customWidth="1"/>
    <col min="8454" max="8454" width="21.28515625" style="590" customWidth="1"/>
    <col min="8455" max="8455" width="20.85546875" style="590" bestFit="1" customWidth="1"/>
    <col min="8456" max="8456" width="17.28515625" style="590" bestFit="1" customWidth="1"/>
    <col min="8457" max="8458" width="12.85546875" style="590" bestFit="1" customWidth="1"/>
    <col min="8459" max="8704" width="9.140625" style="590"/>
    <col min="8705" max="8707" width="9.140625" style="590" customWidth="1"/>
    <col min="8708" max="8708" width="14.42578125" style="590" bestFit="1" customWidth="1"/>
    <col min="8709" max="8709" width="9.140625" style="590" customWidth="1"/>
    <col min="8710" max="8710" width="21.28515625" style="590" customWidth="1"/>
    <col min="8711" max="8711" width="20.85546875" style="590" bestFit="1" customWidth="1"/>
    <col min="8712" max="8712" width="17.28515625" style="590" bestFit="1" customWidth="1"/>
    <col min="8713" max="8714" width="12.85546875" style="590" bestFit="1" customWidth="1"/>
    <col min="8715" max="8960" width="9.140625" style="590"/>
    <col min="8961" max="8963" width="9.140625" style="590" customWidth="1"/>
    <col min="8964" max="8964" width="14.42578125" style="590" bestFit="1" customWidth="1"/>
    <col min="8965" max="8965" width="9.140625" style="590" customWidth="1"/>
    <col min="8966" max="8966" width="21.28515625" style="590" customWidth="1"/>
    <col min="8967" max="8967" width="20.85546875" style="590" bestFit="1" customWidth="1"/>
    <col min="8968" max="8968" width="17.28515625" style="590" bestFit="1" customWidth="1"/>
    <col min="8969" max="8970" width="12.85546875" style="590" bestFit="1" customWidth="1"/>
    <col min="8971" max="9216" width="9.140625" style="590"/>
    <col min="9217" max="9219" width="9.140625" style="590" customWidth="1"/>
    <col min="9220" max="9220" width="14.42578125" style="590" bestFit="1" customWidth="1"/>
    <col min="9221" max="9221" width="9.140625" style="590" customWidth="1"/>
    <col min="9222" max="9222" width="21.28515625" style="590" customWidth="1"/>
    <col min="9223" max="9223" width="20.85546875" style="590" bestFit="1" customWidth="1"/>
    <col min="9224" max="9224" width="17.28515625" style="590" bestFit="1" customWidth="1"/>
    <col min="9225" max="9226" width="12.85546875" style="590" bestFit="1" customWidth="1"/>
    <col min="9227" max="9472" width="9.140625" style="590"/>
    <col min="9473" max="9475" width="9.140625" style="590" customWidth="1"/>
    <col min="9476" max="9476" width="14.42578125" style="590" bestFit="1" customWidth="1"/>
    <col min="9477" max="9477" width="9.140625" style="590" customWidth="1"/>
    <col min="9478" max="9478" width="21.28515625" style="590" customWidth="1"/>
    <col min="9479" max="9479" width="20.85546875" style="590" bestFit="1" customWidth="1"/>
    <col min="9480" max="9480" width="17.28515625" style="590" bestFit="1" customWidth="1"/>
    <col min="9481" max="9482" width="12.85546875" style="590" bestFit="1" customWidth="1"/>
    <col min="9483" max="9728" width="9.140625" style="590"/>
    <col min="9729" max="9731" width="9.140625" style="590" customWidth="1"/>
    <col min="9732" max="9732" width="14.42578125" style="590" bestFit="1" customWidth="1"/>
    <col min="9733" max="9733" width="9.140625" style="590" customWidth="1"/>
    <col min="9734" max="9734" width="21.28515625" style="590" customWidth="1"/>
    <col min="9735" max="9735" width="20.85546875" style="590" bestFit="1" customWidth="1"/>
    <col min="9736" max="9736" width="17.28515625" style="590" bestFit="1" customWidth="1"/>
    <col min="9737" max="9738" width="12.85546875" style="590" bestFit="1" customWidth="1"/>
    <col min="9739" max="9984" width="9.140625" style="590"/>
    <col min="9985" max="9987" width="9.140625" style="590" customWidth="1"/>
    <col min="9988" max="9988" width="14.42578125" style="590" bestFit="1" customWidth="1"/>
    <col min="9989" max="9989" width="9.140625" style="590" customWidth="1"/>
    <col min="9990" max="9990" width="21.28515625" style="590" customWidth="1"/>
    <col min="9991" max="9991" width="20.85546875" style="590" bestFit="1" customWidth="1"/>
    <col min="9992" max="9992" width="17.28515625" style="590" bestFit="1" customWidth="1"/>
    <col min="9993" max="9994" width="12.85546875" style="590" bestFit="1" customWidth="1"/>
    <col min="9995" max="10240" width="9.140625" style="590"/>
    <col min="10241" max="10243" width="9.140625" style="590" customWidth="1"/>
    <col min="10244" max="10244" width="14.42578125" style="590" bestFit="1" customWidth="1"/>
    <col min="10245" max="10245" width="9.140625" style="590" customWidth="1"/>
    <col min="10246" max="10246" width="21.28515625" style="590" customWidth="1"/>
    <col min="10247" max="10247" width="20.85546875" style="590" bestFit="1" customWidth="1"/>
    <col min="10248" max="10248" width="17.28515625" style="590" bestFit="1" customWidth="1"/>
    <col min="10249" max="10250" width="12.85546875" style="590" bestFit="1" customWidth="1"/>
    <col min="10251" max="10496" width="9.140625" style="590"/>
    <col min="10497" max="10499" width="9.140625" style="590" customWidth="1"/>
    <col min="10500" max="10500" width="14.42578125" style="590" bestFit="1" customWidth="1"/>
    <col min="10501" max="10501" width="9.140625" style="590" customWidth="1"/>
    <col min="10502" max="10502" width="21.28515625" style="590" customWidth="1"/>
    <col min="10503" max="10503" width="20.85546875" style="590" bestFit="1" customWidth="1"/>
    <col min="10504" max="10504" width="17.28515625" style="590" bestFit="1" customWidth="1"/>
    <col min="10505" max="10506" width="12.85546875" style="590" bestFit="1" customWidth="1"/>
    <col min="10507" max="10752" width="9.140625" style="590"/>
    <col min="10753" max="10755" width="9.140625" style="590" customWidth="1"/>
    <col min="10756" max="10756" width="14.42578125" style="590" bestFit="1" customWidth="1"/>
    <col min="10757" max="10757" width="9.140625" style="590" customWidth="1"/>
    <col min="10758" max="10758" width="21.28515625" style="590" customWidth="1"/>
    <col min="10759" max="10759" width="20.85546875" style="590" bestFit="1" customWidth="1"/>
    <col min="10760" max="10760" width="17.28515625" style="590" bestFit="1" customWidth="1"/>
    <col min="10761" max="10762" width="12.85546875" style="590" bestFit="1" customWidth="1"/>
    <col min="10763" max="11008" width="9.140625" style="590"/>
    <col min="11009" max="11011" width="9.140625" style="590" customWidth="1"/>
    <col min="11012" max="11012" width="14.42578125" style="590" bestFit="1" customWidth="1"/>
    <col min="11013" max="11013" width="9.140625" style="590" customWidth="1"/>
    <col min="11014" max="11014" width="21.28515625" style="590" customWidth="1"/>
    <col min="11015" max="11015" width="20.85546875" style="590" bestFit="1" customWidth="1"/>
    <col min="11016" max="11016" width="17.28515625" style="590" bestFit="1" customWidth="1"/>
    <col min="11017" max="11018" width="12.85546875" style="590" bestFit="1" customWidth="1"/>
    <col min="11019" max="11264" width="9.140625" style="590"/>
    <col min="11265" max="11267" width="9.140625" style="590" customWidth="1"/>
    <col min="11268" max="11268" width="14.42578125" style="590" bestFit="1" customWidth="1"/>
    <col min="11269" max="11269" width="9.140625" style="590" customWidth="1"/>
    <col min="11270" max="11270" width="21.28515625" style="590" customWidth="1"/>
    <col min="11271" max="11271" width="20.85546875" style="590" bestFit="1" customWidth="1"/>
    <col min="11272" max="11272" width="17.28515625" style="590" bestFit="1" customWidth="1"/>
    <col min="11273" max="11274" width="12.85546875" style="590" bestFit="1" customWidth="1"/>
    <col min="11275" max="11520" width="9.140625" style="590"/>
    <col min="11521" max="11523" width="9.140625" style="590" customWidth="1"/>
    <col min="11524" max="11524" width="14.42578125" style="590" bestFit="1" customWidth="1"/>
    <col min="11525" max="11525" width="9.140625" style="590" customWidth="1"/>
    <col min="11526" max="11526" width="21.28515625" style="590" customWidth="1"/>
    <col min="11527" max="11527" width="20.85546875" style="590" bestFit="1" customWidth="1"/>
    <col min="11528" max="11528" width="17.28515625" style="590" bestFit="1" customWidth="1"/>
    <col min="11529" max="11530" width="12.85546875" style="590" bestFit="1" customWidth="1"/>
    <col min="11531" max="11776" width="9.140625" style="590"/>
    <col min="11777" max="11779" width="9.140625" style="590" customWidth="1"/>
    <col min="11780" max="11780" width="14.42578125" style="590" bestFit="1" customWidth="1"/>
    <col min="11781" max="11781" width="9.140625" style="590" customWidth="1"/>
    <col min="11782" max="11782" width="21.28515625" style="590" customWidth="1"/>
    <col min="11783" max="11783" width="20.85546875" style="590" bestFit="1" customWidth="1"/>
    <col min="11784" max="11784" width="17.28515625" style="590" bestFit="1" customWidth="1"/>
    <col min="11785" max="11786" width="12.85546875" style="590" bestFit="1" customWidth="1"/>
    <col min="11787" max="12032" width="9.140625" style="590"/>
    <col min="12033" max="12035" width="9.140625" style="590" customWidth="1"/>
    <col min="12036" max="12036" width="14.42578125" style="590" bestFit="1" customWidth="1"/>
    <col min="12037" max="12037" width="9.140625" style="590" customWidth="1"/>
    <col min="12038" max="12038" width="21.28515625" style="590" customWidth="1"/>
    <col min="12039" max="12039" width="20.85546875" style="590" bestFit="1" customWidth="1"/>
    <col min="12040" max="12040" width="17.28515625" style="590" bestFit="1" customWidth="1"/>
    <col min="12041" max="12042" width="12.85546875" style="590" bestFit="1" customWidth="1"/>
    <col min="12043" max="12288" width="9.140625" style="590"/>
    <col min="12289" max="12291" width="9.140625" style="590" customWidth="1"/>
    <col min="12292" max="12292" width="14.42578125" style="590" bestFit="1" customWidth="1"/>
    <col min="12293" max="12293" width="9.140625" style="590" customWidth="1"/>
    <col min="12294" max="12294" width="21.28515625" style="590" customWidth="1"/>
    <col min="12295" max="12295" width="20.85546875" style="590" bestFit="1" customWidth="1"/>
    <col min="12296" max="12296" width="17.28515625" style="590" bestFit="1" customWidth="1"/>
    <col min="12297" max="12298" width="12.85546875" style="590" bestFit="1" customWidth="1"/>
    <col min="12299" max="12544" width="9.140625" style="590"/>
    <col min="12545" max="12547" width="9.140625" style="590" customWidth="1"/>
    <col min="12548" max="12548" width="14.42578125" style="590" bestFit="1" customWidth="1"/>
    <col min="12549" max="12549" width="9.140625" style="590" customWidth="1"/>
    <col min="12550" max="12550" width="21.28515625" style="590" customWidth="1"/>
    <col min="12551" max="12551" width="20.85546875" style="590" bestFit="1" customWidth="1"/>
    <col min="12552" max="12552" width="17.28515625" style="590" bestFit="1" customWidth="1"/>
    <col min="12553" max="12554" width="12.85546875" style="590" bestFit="1" customWidth="1"/>
    <col min="12555" max="12800" width="9.140625" style="590"/>
    <col min="12801" max="12803" width="9.140625" style="590" customWidth="1"/>
    <col min="12804" max="12804" width="14.42578125" style="590" bestFit="1" customWidth="1"/>
    <col min="12805" max="12805" width="9.140625" style="590" customWidth="1"/>
    <col min="12806" max="12806" width="21.28515625" style="590" customWidth="1"/>
    <col min="12807" max="12807" width="20.85546875" style="590" bestFit="1" customWidth="1"/>
    <col min="12808" max="12808" width="17.28515625" style="590" bestFit="1" customWidth="1"/>
    <col min="12809" max="12810" width="12.85546875" style="590" bestFit="1" customWidth="1"/>
    <col min="12811" max="13056" width="9.140625" style="590"/>
    <col min="13057" max="13059" width="9.140625" style="590" customWidth="1"/>
    <col min="13060" max="13060" width="14.42578125" style="590" bestFit="1" customWidth="1"/>
    <col min="13061" max="13061" width="9.140625" style="590" customWidth="1"/>
    <col min="13062" max="13062" width="21.28515625" style="590" customWidth="1"/>
    <col min="13063" max="13063" width="20.85546875" style="590" bestFit="1" customWidth="1"/>
    <col min="13064" max="13064" width="17.28515625" style="590" bestFit="1" customWidth="1"/>
    <col min="13065" max="13066" width="12.85546875" style="590" bestFit="1" customWidth="1"/>
    <col min="13067" max="13312" width="9.140625" style="590"/>
    <col min="13313" max="13315" width="9.140625" style="590" customWidth="1"/>
    <col min="13316" max="13316" width="14.42578125" style="590" bestFit="1" customWidth="1"/>
    <col min="13317" max="13317" width="9.140625" style="590" customWidth="1"/>
    <col min="13318" max="13318" width="21.28515625" style="590" customWidth="1"/>
    <col min="13319" max="13319" width="20.85546875" style="590" bestFit="1" customWidth="1"/>
    <col min="13320" max="13320" width="17.28515625" style="590" bestFit="1" customWidth="1"/>
    <col min="13321" max="13322" width="12.85546875" style="590" bestFit="1" customWidth="1"/>
    <col min="13323" max="13568" width="9.140625" style="590"/>
    <col min="13569" max="13571" width="9.140625" style="590" customWidth="1"/>
    <col min="13572" max="13572" width="14.42578125" style="590" bestFit="1" customWidth="1"/>
    <col min="13573" max="13573" width="9.140625" style="590" customWidth="1"/>
    <col min="13574" max="13574" width="21.28515625" style="590" customWidth="1"/>
    <col min="13575" max="13575" width="20.85546875" style="590" bestFit="1" customWidth="1"/>
    <col min="13576" max="13576" width="17.28515625" style="590" bestFit="1" customWidth="1"/>
    <col min="13577" max="13578" width="12.85546875" style="590" bestFit="1" customWidth="1"/>
    <col min="13579" max="13824" width="9.140625" style="590"/>
    <col min="13825" max="13827" width="9.140625" style="590" customWidth="1"/>
    <col min="13828" max="13828" width="14.42578125" style="590" bestFit="1" customWidth="1"/>
    <col min="13829" max="13829" width="9.140625" style="590" customWidth="1"/>
    <col min="13830" max="13830" width="21.28515625" style="590" customWidth="1"/>
    <col min="13831" max="13831" width="20.85546875" style="590" bestFit="1" customWidth="1"/>
    <col min="13832" max="13832" width="17.28515625" style="590" bestFit="1" customWidth="1"/>
    <col min="13833" max="13834" width="12.85546875" style="590" bestFit="1" customWidth="1"/>
    <col min="13835" max="14080" width="9.140625" style="590"/>
    <col min="14081" max="14083" width="9.140625" style="590" customWidth="1"/>
    <col min="14084" max="14084" width="14.42578125" style="590" bestFit="1" customWidth="1"/>
    <col min="14085" max="14085" width="9.140625" style="590" customWidth="1"/>
    <col min="14086" max="14086" width="21.28515625" style="590" customWidth="1"/>
    <col min="14087" max="14087" width="20.85546875" style="590" bestFit="1" customWidth="1"/>
    <col min="14088" max="14088" width="17.28515625" style="590" bestFit="1" customWidth="1"/>
    <col min="14089" max="14090" width="12.85546875" style="590" bestFit="1" customWidth="1"/>
    <col min="14091" max="14336" width="9.140625" style="590"/>
    <col min="14337" max="14339" width="9.140625" style="590" customWidth="1"/>
    <col min="14340" max="14340" width="14.42578125" style="590" bestFit="1" customWidth="1"/>
    <col min="14341" max="14341" width="9.140625" style="590" customWidth="1"/>
    <col min="14342" max="14342" width="21.28515625" style="590" customWidth="1"/>
    <col min="14343" max="14343" width="20.85546875" style="590" bestFit="1" customWidth="1"/>
    <col min="14344" max="14344" width="17.28515625" style="590" bestFit="1" customWidth="1"/>
    <col min="14345" max="14346" width="12.85546875" style="590" bestFit="1" customWidth="1"/>
    <col min="14347" max="14592" width="9.140625" style="590"/>
    <col min="14593" max="14595" width="9.140625" style="590" customWidth="1"/>
    <col min="14596" max="14596" width="14.42578125" style="590" bestFit="1" customWidth="1"/>
    <col min="14597" max="14597" width="9.140625" style="590" customWidth="1"/>
    <col min="14598" max="14598" width="21.28515625" style="590" customWidth="1"/>
    <col min="14599" max="14599" width="20.85546875" style="590" bestFit="1" customWidth="1"/>
    <col min="14600" max="14600" width="17.28515625" style="590" bestFit="1" customWidth="1"/>
    <col min="14601" max="14602" width="12.85546875" style="590" bestFit="1" customWidth="1"/>
    <col min="14603" max="14848" width="9.140625" style="590"/>
    <col min="14849" max="14851" width="9.140625" style="590" customWidth="1"/>
    <col min="14852" max="14852" width="14.42578125" style="590" bestFit="1" customWidth="1"/>
    <col min="14853" max="14853" width="9.140625" style="590" customWidth="1"/>
    <col min="14854" max="14854" width="21.28515625" style="590" customWidth="1"/>
    <col min="14855" max="14855" width="20.85546875" style="590" bestFit="1" customWidth="1"/>
    <col min="14856" max="14856" width="17.28515625" style="590" bestFit="1" customWidth="1"/>
    <col min="14857" max="14858" width="12.85546875" style="590" bestFit="1" customWidth="1"/>
    <col min="14859" max="15104" width="9.140625" style="590"/>
    <col min="15105" max="15107" width="9.140625" style="590" customWidth="1"/>
    <col min="15108" max="15108" width="14.42578125" style="590" bestFit="1" customWidth="1"/>
    <col min="15109" max="15109" width="9.140625" style="590" customWidth="1"/>
    <col min="15110" max="15110" width="21.28515625" style="590" customWidth="1"/>
    <col min="15111" max="15111" width="20.85546875" style="590" bestFit="1" customWidth="1"/>
    <col min="15112" max="15112" width="17.28515625" style="590" bestFit="1" customWidth="1"/>
    <col min="15113" max="15114" width="12.85546875" style="590" bestFit="1" customWidth="1"/>
    <col min="15115" max="15360" width="9.140625" style="590"/>
    <col min="15361" max="15363" width="9.140625" style="590" customWidth="1"/>
    <col min="15364" max="15364" width="14.42578125" style="590" bestFit="1" customWidth="1"/>
    <col min="15365" max="15365" width="9.140625" style="590" customWidth="1"/>
    <col min="15366" max="15366" width="21.28515625" style="590" customWidth="1"/>
    <col min="15367" max="15367" width="20.85546875" style="590" bestFit="1" customWidth="1"/>
    <col min="15368" max="15368" width="17.28515625" style="590" bestFit="1" customWidth="1"/>
    <col min="15369" max="15370" width="12.85546875" style="590" bestFit="1" customWidth="1"/>
    <col min="15371" max="15616" width="9.140625" style="590"/>
    <col min="15617" max="15619" width="9.140625" style="590" customWidth="1"/>
    <col min="15620" max="15620" width="14.42578125" style="590" bestFit="1" customWidth="1"/>
    <col min="15621" max="15621" width="9.140625" style="590" customWidth="1"/>
    <col min="15622" max="15622" width="21.28515625" style="590" customWidth="1"/>
    <col min="15623" max="15623" width="20.85546875" style="590" bestFit="1" customWidth="1"/>
    <col min="15624" max="15624" width="17.28515625" style="590" bestFit="1" customWidth="1"/>
    <col min="15625" max="15626" width="12.85546875" style="590" bestFit="1" customWidth="1"/>
    <col min="15627" max="15872" width="9.140625" style="590"/>
    <col min="15873" max="15875" width="9.140625" style="590" customWidth="1"/>
    <col min="15876" max="15876" width="14.42578125" style="590" bestFit="1" customWidth="1"/>
    <col min="15877" max="15877" width="9.140625" style="590" customWidth="1"/>
    <col min="15878" max="15878" width="21.28515625" style="590" customWidth="1"/>
    <col min="15879" max="15879" width="20.85546875" style="590" bestFit="1" customWidth="1"/>
    <col min="15880" max="15880" width="17.28515625" style="590" bestFit="1" customWidth="1"/>
    <col min="15881" max="15882" width="12.85546875" style="590" bestFit="1" customWidth="1"/>
    <col min="15883" max="16128" width="9.140625" style="590"/>
    <col min="16129" max="16131" width="9.140625" style="590" customWidth="1"/>
    <col min="16132" max="16132" width="14.42578125" style="590" bestFit="1" customWidth="1"/>
    <col min="16133" max="16133" width="9.140625" style="590" customWidth="1"/>
    <col min="16134" max="16134" width="21.28515625" style="590" customWidth="1"/>
    <col min="16135" max="16135" width="20.85546875" style="590" bestFit="1" customWidth="1"/>
    <col min="16136" max="16136" width="17.28515625" style="590" bestFit="1" customWidth="1"/>
    <col min="16137" max="16138" width="12.85546875" style="590" bestFit="1" customWidth="1"/>
    <col min="16139" max="16384" width="9.140625" style="590"/>
  </cols>
  <sheetData>
    <row r="6" spans="1:8" ht="13.5" thickBot="1" x14ac:dyDescent="0.25">
      <c r="A6" s="1004" t="s">
        <v>229</v>
      </c>
      <c r="B6" s="1004"/>
      <c r="C6" s="1004"/>
      <c r="D6" s="1004"/>
      <c r="E6" s="1004"/>
      <c r="F6" s="1004"/>
      <c r="G6" s="1004"/>
    </row>
    <row r="7" spans="1:8" ht="14.25" thickBot="1" x14ac:dyDescent="0.3">
      <c r="A7" s="1005" t="s">
        <v>4240</v>
      </c>
      <c r="B7" s="1006"/>
      <c r="C7" s="1006"/>
      <c r="D7" s="1006"/>
      <c r="E7" s="1006"/>
      <c r="F7" s="1006"/>
      <c r="G7" s="1007"/>
    </row>
    <row r="8" spans="1:8" ht="13.5" x14ac:dyDescent="0.25">
      <c r="A8" s="1008"/>
      <c r="B8" s="1009"/>
      <c r="C8" s="1009"/>
      <c r="D8" s="1009"/>
      <c r="E8" s="1009"/>
      <c r="F8" s="1009"/>
      <c r="G8" s="1010"/>
    </row>
    <row r="9" spans="1:8" x14ac:dyDescent="0.2">
      <c r="A9" s="190"/>
      <c r="B9" s="170"/>
      <c r="C9" s="187"/>
      <c r="D9" s="172"/>
      <c r="E9" s="172"/>
      <c r="F9" s="172"/>
      <c r="G9" s="173"/>
    </row>
    <row r="10" spans="1:8" x14ac:dyDescent="0.2">
      <c r="A10" s="174" t="s">
        <v>399</v>
      </c>
      <c r="B10" s="175" t="s">
        <v>400</v>
      </c>
      <c r="C10" s="175"/>
      <c r="D10" s="175"/>
      <c r="E10" s="176" t="s">
        <v>401</v>
      </c>
      <c r="F10" s="187"/>
      <c r="G10" s="177"/>
    </row>
    <row r="11" spans="1:8" x14ac:dyDescent="0.2">
      <c r="A11" s="174"/>
      <c r="B11" s="175"/>
      <c r="C11" s="175"/>
      <c r="D11" s="175"/>
      <c r="E11" s="176"/>
      <c r="F11" s="187"/>
      <c r="G11" s="177"/>
    </row>
    <row r="12" spans="1:8" x14ac:dyDescent="0.2">
      <c r="A12" s="1011"/>
      <c r="B12" s="1001"/>
      <c r="C12" s="1001"/>
      <c r="D12" s="1001"/>
      <c r="E12" s="1001"/>
      <c r="F12" s="1001"/>
      <c r="G12" s="178" t="s">
        <v>402</v>
      </c>
    </row>
    <row r="13" spans="1:8" x14ac:dyDescent="0.2">
      <c r="A13" s="179" t="s">
        <v>4241</v>
      </c>
      <c r="B13" s="180"/>
      <c r="C13" s="180"/>
      <c r="D13" s="180"/>
      <c r="E13" s="181"/>
      <c r="F13" s="181"/>
      <c r="G13" s="214">
        <v>4614.79</v>
      </c>
    </row>
    <row r="14" spans="1:8" x14ac:dyDescent="0.2">
      <c r="A14" s="185" t="s">
        <v>404</v>
      </c>
      <c r="B14" s="186"/>
      <c r="C14" s="186"/>
      <c r="D14" s="186"/>
      <c r="E14" s="187"/>
      <c r="F14" s="187"/>
      <c r="G14" s="188"/>
      <c r="H14" s="772"/>
    </row>
    <row r="15" spans="1:8" x14ac:dyDescent="0.2">
      <c r="A15" s="190"/>
      <c r="B15" s="187"/>
      <c r="C15" s="187"/>
      <c r="D15" s="187"/>
      <c r="E15" s="1012"/>
      <c r="F15" s="1012"/>
      <c r="G15" s="191">
        <v>0</v>
      </c>
    </row>
    <row r="16" spans="1:8" x14ac:dyDescent="0.2">
      <c r="A16" s="190" t="s">
        <v>446</v>
      </c>
      <c r="B16" s="187"/>
      <c r="C16" s="187"/>
      <c r="D16" s="187"/>
      <c r="E16" s="901"/>
      <c r="F16" s="901"/>
      <c r="G16" s="268">
        <v>0</v>
      </c>
    </row>
    <row r="17" spans="1:10" x14ac:dyDescent="0.2">
      <c r="A17" s="190" t="s">
        <v>407</v>
      </c>
      <c r="B17" s="187"/>
      <c r="C17" s="187"/>
      <c r="D17" s="187"/>
      <c r="E17" s="901"/>
      <c r="F17" s="901"/>
      <c r="G17" s="773">
        <f>+'[11]TRANSFERENCIA RECIBIDAS'!B10</f>
        <v>6415962.71</v>
      </c>
    </row>
    <row r="18" spans="1:10" x14ac:dyDescent="0.2">
      <c r="A18" s="190" t="s">
        <v>4242</v>
      </c>
      <c r="B18" s="187"/>
      <c r="C18" s="187"/>
      <c r="D18" s="187"/>
      <c r="E18" s="901"/>
      <c r="F18" s="901"/>
      <c r="G18" s="774">
        <v>7482.49</v>
      </c>
    </row>
    <row r="19" spans="1:10" x14ac:dyDescent="0.2">
      <c r="A19" s="179"/>
      <c r="B19" s="180"/>
      <c r="C19" s="180"/>
      <c r="D19" s="180"/>
      <c r="E19" s="187"/>
      <c r="F19" s="187"/>
      <c r="G19" s="196">
        <f>+G13+G16+G18+G17</f>
        <v>6428059.9900000002</v>
      </c>
    </row>
    <row r="20" spans="1:10" x14ac:dyDescent="0.2">
      <c r="A20" s="185" t="s">
        <v>409</v>
      </c>
      <c r="B20" s="186"/>
      <c r="C20" s="187"/>
      <c r="D20" s="187"/>
      <c r="E20" s="187"/>
      <c r="F20" s="187"/>
      <c r="G20" s="188"/>
      <c r="H20" s="775"/>
      <c r="J20" s="591"/>
    </row>
    <row r="21" spans="1:10" x14ac:dyDescent="0.2">
      <c r="A21" s="190" t="s">
        <v>410</v>
      </c>
      <c r="B21" s="187"/>
      <c r="C21" s="186"/>
      <c r="D21" s="186"/>
      <c r="E21" s="187"/>
      <c r="F21" s="187"/>
      <c r="G21" s="776">
        <f>+'[11]CHEQUES EMITIDO '!D21</f>
        <v>222114.61</v>
      </c>
      <c r="H21" s="777"/>
      <c r="J21" s="591"/>
    </row>
    <row r="22" spans="1:10" x14ac:dyDescent="0.2">
      <c r="A22" s="200" t="s">
        <v>411</v>
      </c>
      <c r="B22" s="201"/>
      <c r="C22" s="202"/>
      <c r="D22" s="203"/>
      <c r="E22" s="201"/>
      <c r="F22" s="201"/>
      <c r="G22" s="204">
        <f>+'[11]NOMINA '!D9</f>
        <v>0</v>
      </c>
      <c r="H22" s="777"/>
    </row>
    <row r="23" spans="1:10" x14ac:dyDescent="0.2">
      <c r="A23" s="205" t="s">
        <v>412</v>
      </c>
      <c r="B23" s="206"/>
      <c r="C23" s="206"/>
      <c r="D23" s="201"/>
      <c r="E23" s="207"/>
      <c r="F23" s="208"/>
      <c r="G23" s="778">
        <f>+[11]comisiones!E40</f>
        <v>17193.48</v>
      </c>
      <c r="H23" s="777"/>
    </row>
    <row r="24" spans="1:10" x14ac:dyDescent="0.2">
      <c r="A24" s="205" t="s">
        <v>413</v>
      </c>
      <c r="B24" s="206"/>
      <c r="C24" s="206"/>
      <c r="D24" s="201"/>
      <c r="E24" s="207"/>
      <c r="F24" s="207"/>
      <c r="G24" s="268">
        <f>+[11]TRANSFERENCIAS!D40</f>
        <v>4457635.2699999996</v>
      </c>
      <c r="H24" s="777"/>
      <c r="I24" s="211"/>
      <c r="J24" s="591"/>
    </row>
    <row r="25" spans="1:10" x14ac:dyDescent="0.2">
      <c r="A25" s="190"/>
      <c r="B25" s="206"/>
      <c r="C25" s="206"/>
      <c r="D25" s="201"/>
      <c r="E25" s="207"/>
      <c r="F25" s="207"/>
      <c r="G25" s="268"/>
      <c r="H25" s="777"/>
      <c r="I25" s="211"/>
    </row>
    <row r="26" spans="1:10" x14ac:dyDescent="0.2">
      <c r="A26" s="179" t="s">
        <v>415</v>
      </c>
      <c r="B26" s="180"/>
      <c r="C26" s="180"/>
      <c r="D26" s="180"/>
      <c r="E26" s="180"/>
      <c r="F26" s="180"/>
      <c r="G26" s="779">
        <f>SUM(G21:G25)</f>
        <v>4696943.3599999994</v>
      </c>
      <c r="H26" s="777"/>
      <c r="I26" s="211"/>
    </row>
    <row r="27" spans="1:10" ht="12.75" customHeight="1" x14ac:dyDescent="0.2">
      <c r="A27" s="179"/>
      <c r="B27" s="180"/>
      <c r="C27" s="180"/>
      <c r="D27" s="180"/>
      <c r="E27" s="180"/>
      <c r="F27" s="180"/>
      <c r="G27" s="780"/>
      <c r="H27" s="777"/>
      <c r="I27" s="211"/>
    </row>
    <row r="28" spans="1:10" ht="12.75" customHeight="1" thickBot="1" x14ac:dyDescent="0.25">
      <c r="A28" s="998" t="s">
        <v>416</v>
      </c>
      <c r="B28" s="999"/>
      <c r="C28" s="999"/>
      <c r="D28" s="215"/>
      <c r="E28" s="1000"/>
      <c r="F28" s="1000"/>
      <c r="G28" s="216">
        <f>+G19-G26</f>
        <v>1731116.6300000008</v>
      </c>
    </row>
    <row r="29" spans="1:10" ht="12.75" customHeight="1" thickTop="1" x14ac:dyDescent="0.2">
      <c r="A29" s="217"/>
      <c r="B29" s="218"/>
      <c r="C29" s="215"/>
      <c r="D29" s="215"/>
      <c r="E29" s="902"/>
      <c r="F29" s="902"/>
      <c r="G29" s="220"/>
      <c r="H29" s="781"/>
    </row>
    <row r="30" spans="1:10" ht="12.75" customHeight="1" x14ac:dyDescent="0.2">
      <c r="A30" s="217"/>
      <c r="B30" s="218"/>
      <c r="C30" s="215"/>
      <c r="D30" s="215"/>
      <c r="E30" s="223"/>
      <c r="F30" s="902"/>
      <c r="G30" s="220"/>
      <c r="H30" s="781"/>
    </row>
    <row r="31" spans="1:10" ht="12.75" customHeight="1" x14ac:dyDescent="0.2">
      <c r="A31" s="190"/>
      <c r="B31" s="187"/>
      <c r="C31" s="187"/>
      <c r="D31" s="187"/>
      <c r="E31" s="187"/>
      <c r="F31" s="187"/>
      <c r="G31" s="178" t="s">
        <v>417</v>
      </c>
    </row>
    <row r="32" spans="1:10" ht="12.75" customHeight="1" x14ac:dyDescent="0.2">
      <c r="A32" s="179" t="s">
        <v>418</v>
      </c>
      <c r="B32" s="180"/>
      <c r="C32" s="180"/>
      <c r="D32" s="180"/>
      <c r="E32" s="1001"/>
      <c r="F32" s="1001"/>
      <c r="G32" s="225">
        <v>3051985.88</v>
      </c>
    </row>
    <row r="33" spans="1:11" ht="12.75" customHeight="1" x14ac:dyDescent="0.2">
      <c r="A33" s="185" t="s">
        <v>404</v>
      </c>
      <c r="B33" s="186"/>
      <c r="C33" s="186"/>
      <c r="D33" s="186"/>
      <c r="E33" s="187"/>
      <c r="F33" s="187"/>
      <c r="G33" s="227"/>
    </row>
    <row r="34" spans="1:11" ht="12.75" customHeight="1" x14ac:dyDescent="0.2">
      <c r="A34" s="190" t="s">
        <v>419</v>
      </c>
      <c r="B34" s="187"/>
      <c r="C34" s="187"/>
      <c r="D34" s="187"/>
      <c r="E34" s="1001"/>
      <c r="F34" s="1001"/>
      <c r="G34" s="188"/>
    </row>
    <row r="35" spans="1:11" ht="12.75" customHeight="1" x14ac:dyDescent="0.2">
      <c r="A35" s="179"/>
      <c r="B35" s="180"/>
      <c r="C35" s="180"/>
      <c r="D35" s="180"/>
      <c r="E35" s="782"/>
      <c r="F35" s="782"/>
      <c r="G35" s="188">
        <v>0</v>
      </c>
    </row>
    <row r="36" spans="1:11" ht="12.75" customHeight="1" x14ac:dyDescent="0.2">
      <c r="A36" s="179" t="s">
        <v>420</v>
      </c>
      <c r="B36" s="180"/>
      <c r="C36" s="180"/>
      <c r="D36" s="180"/>
      <c r="E36" s="1003"/>
      <c r="F36" s="1003"/>
      <c r="G36" s="783">
        <f>SUM(G32:G35)</f>
        <v>3051985.88</v>
      </c>
    </row>
    <row r="37" spans="1:11" ht="12.75" customHeight="1" x14ac:dyDescent="0.2">
      <c r="A37" s="179"/>
      <c r="B37" s="180"/>
      <c r="C37" s="180"/>
      <c r="D37" s="180"/>
      <c r="E37" s="180"/>
      <c r="F37" s="180"/>
      <c r="G37" s="227"/>
    </row>
    <row r="38" spans="1:11" ht="12.75" customHeight="1" x14ac:dyDescent="0.2">
      <c r="A38" s="185" t="s">
        <v>409</v>
      </c>
      <c r="B38" s="186"/>
      <c r="C38" s="186"/>
      <c r="D38" s="186"/>
      <c r="E38" s="180"/>
      <c r="F38" s="180"/>
      <c r="G38" s="188"/>
    </row>
    <row r="39" spans="1:11" ht="12.75" customHeight="1" x14ac:dyDescent="0.2">
      <c r="A39" s="205" t="s">
        <v>421</v>
      </c>
      <c r="B39" s="187"/>
      <c r="C39" s="180"/>
      <c r="D39" s="180"/>
      <c r="E39" s="903"/>
      <c r="F39" s="903"/>
      <c r="G39" s="204">
        <f>-'[11]TRANSF EN TRANSITO'!D17</f>
        <v>-1320869.25</v>
      </c>
      <c r="H39" s="258"/>
      <c r="I39" s="233"/>
      <c r="J39" s="234"/>
      <c r="K39" s="235"/>
    </row>
    <row r="40" spans="1:11" ht="12.75" customHeight="1" x14ac:dyDescent="0.2">
      <c r="A40" s="205" t="s">
        <v>422</v>
      </c>
      <c r="B40" s="187"/>
      <c r="C40" s="180"/>
      <c r="D40" s="180"/>
      <c r="E40" s="903"/>
      <c r="F40" s="903"/>
      <c r="G40" s="204">
        <f>-'[11]CHEQUES EN TRAN'!D8</f>
        <v>0</v>
      </c>
      <c r="H40" s="258"/>
      <c r="I40" s="233"/>
      <c r="J40" s="234"/>
      <c r="K40" s="235"/>
    </row>
    <row r="41" spans="1:11" ht="12.75" customHeight="1" x14ac:dyDescent="0.2">
      <c r="A41" s="205" t="s">
        <v>4239</v>
      </c>
      <c r="B41" s="187"/>
      <c r="C41" s="180"/>
      <c r="D41" s="180"/>
      <c r="E41" s="903"/>
      <c r="F41" s="903"/>
      <c r="G41" s="204">
        <v>0</v>
      </c>
      <c r="H41" s="258"/>
      <c r="I41" s="233"/>
      <c r="J41" s="234"/>
      <c r="K41" s="235"/>
    </row>
    <row r="42" spans="1:11" ht="12.75" customHeight="1" x14ac:dyDescent="0.2">
      <c r="A42" s="179"/>
      <c r="B42" s="180"/>
      <c r="C42" s="180"/>
      <c r="D42" s="180"/>
      <c r="E42" s="903"/>
      <c r="F42" s="903"/>
      <c r="G42" s="784">
        <f>SUM(G39:G41)</f>
        <v>-1320869.25</v>
      </c>
      <c r="H42" s="258"/>
      <c r="I42" s="233"/>
      <c r="J42" s="234"/>
      <c r="K42" s="235"/>
    </row>
    <row r="43" spans="1:11" ht="12.75" customHeight="1" x14ac:dyDescent="0.2">
      <c r="A43" s="179"/>
      <c r="B43" s="180"/>
      <c r="C43" s="180"/>
      <c r="D43" s="180"/>
      <c r="E43" s="903"/>
      <c r="F43" s="903"/>
      <c r="G43" s="188"/>
      <c r="H43" s="258"/>
      <c r="I43" s="233"/>
      <c r="K43" s="235"/>
    </row>
    <row r="44" spans="1:11" ht="12.75" customHeight="1" thickBot="1" x14ac:dyDescent="0.25">
      <c r="A44" s="998" t="s">
        <v>416</v>
      </c>
      <c r="B44" s="999"/>
      <c r="C44" s="999"/>
      <c r="D44" s="215"/>
      <c r="E44" s="236"/>
      <c r="F44" s="236"/>
      <c r="G44" s="216">
        <f>+G36+G42</f>
        <v>1731116.63</v>
      </c>
    </row>
    <row r="45" spans="1:11" ht="12.75" customHeight="1" thickTop="1" thickBot="1" x14ac:dyDescent="0.25">
      <c r="A45" s="237"/>
      <c r="B45" s="238"/>
      <c r="C45" s="238"/>
      <c r="D45" s="238"/>
      <c r="E45" s="239"/>
      <c r="F45" s="239"/>
      <c r="G45" s="240"/>
      <c r="J45" s="897"/>
    </row>
    <row r="46" spans="1:11" ht="12.75" customHeight="1" x14ac:dyDescent="0.2">
      <c r="A46" s="180"/>
      <c r="B46" s="180"/>
      <c r="C46" s="180"/>
      <c r="D46" s="180"/>
      <c r="E46" s="187"/>
      <c r="F46" s="187"/>
      <c r="G46" s="241"/>
    </row>
    <row r="47" spans="1:11" ht="12.75" customHeight="1" x14ac:dyDescent="0.2">
      <c r="A47" s="180"/>
      <c r="B47" s="180"/>
      <c r="C47" s="180"/>
      <c r="D47" s="180"/>
      <c r="E47" s="187"/>
      <c r="F47" s="187"/>
      <c r="G47" s="241"/>
    </row>
    <row r="48" spans="1:11" ht="12.75" customHeight="1" x14ac:dyDescent="0.2">
      <c r="A48" s="180"/>
      <c r="B48" s="180"/>
      <c r="C48" s="180"/>
      <c r="D48" s="180"/>
      <c r="E48" s="187"/>
      <c r="F48" s="187"/>
      <c r="G48" s="241"/>
    </row>
    <row r="49" spans="1:8" ht="12.75" customHeight="1" x14ac:dyDescent="0.2">
      <c r="A49" s="180"/>
      <c r="B49" s="180"/>
      <c r="C49" s="180"/>
      <c r="D49" s="180"/>
      <c r="E49" s="187"/>
      <c r="F49" s="187"/>
      <c r="G49" s="241"/>
    </row>
    <row r="50" spans="1:8" ht="12.75" customHeight="1" x14ac:dyDescent="0.2">
      <c r="A50" s="180"/>
      <c r="B50" s="180"/>
      <c r="C50" s="180"/>
      <c r="D50" s="180"/>
      <c r="E50" s="187"/>
      <c r="F50" s="187"/>
      <c r="G50" s="241"/>
    </row>
    <row r="51" spans="1:8" ht="12.75" customHeight="1" x14ac:dyDescent="0.2">
      <c r="A51" s="785"/>
      <c r="B51" s="170"/>
      <c r="C51" s="180"/>
      <c r="D51" s="180"/>
      <c r="E51" s="187"/>
      <c r="F51" s="187"/>
      <c r="G51" s="241"/>
      <c r="H51" s="775"/>
    </row>
    <row r="52" spans="1:8" ht="12.75" customHeight="1" x14ac:dyDescent="0.2">
      <c r="A52" s="785"/>
      <c r="B52" s="170"/>
      <c r="C52" s="180"/>
      <c r="D52" s="180"/>
      <c r="E52" s="187"/>
      <c r="F52" s="187"/>
      <c r="G52" s="241"/>
    </row>
    <row r="53" spans="1:8" ht="12.75" customHeight="1" x14ac:dyDescent="0.2">
      <c r="A53" s="785" t="s">
        <v>430</v>
      </c>
      <c r="B53" s="170"/>
      <c r="C53" s="180"/>
      <c r="D53" s="1002" t="s">
        <v>213</v>
      </c>
      <c r="E53" s="1002"/>
      <c r="F53" s="1002"/>
      <c r="G53" s="1002"/>
    </row>
    <row r="54" spans="1:8" ht="12.75" customHeight="1" x14ac:dyDescent="0.2">
      <c r="A54" s="785"/>
      <c r="B54" s="170"/>
      <c r="C54" s="180"/>
      <c r="D54" s="997" t="s">
        <v>214</v>
      </c>
      <c r="E54" s="997"/>
      <c r="F54" s="997"/>
      <c r="G54" s="997"/>
    </row>
    <row r="55" spans="1:8" ht="12.75" customHeight="1" x14ac:dyDescent="0.2">
      <c r="A55" s="786"/>
      <c r="B55" s="787"/>
    </row>
    <row r="56" spans="1:8" ht="12.75" customHeight="1" x14ac:dyDescent="0.2">
      <c r="A56" s="788"/>
      <c r="B56" s="789"/>
    </row>
    <row r="57" spans="1:8" ht="12.75" customHeight="1" x14ac:dyDescent="0.2">
      <c r="A57" s="788"/>
      <c r="B57" s="789"/>
    </row>
    <row r="58" spans="1:8" ht="12.75" customHeight="1" x14ac:dyDescent="0.2">
      <c r="A58" s="788"/>
      <c r="B58" s="789"/>
    </row>
    <row r="59" spans="1:8" ht="12.75" customHeight="1" x14ac:dyDescent="0.2">
      <c r="A59" s="788"/>
      <c r="B59" s="789"/>
    </row>
    <row r="60" spans="1:8" ht="12.75" customHeight="1" x14ac:dyDescent="0.2">
      <c r="A60" s="788" t="s">
        <v>432</v>
      </c>
      <c r="B60" s="789"/>
      <c r="D60" s="1002" t="s">
        <v>433</v>
      </c>
      <c r="E60" s="1002"/>
      <c r="F60" s="1002"/>
      <c r="G60" s="1002"/>
    </row>
    <row r="61" spans="1:8" x14ac:dyDescent="0.2">
      <c r="A61" s="788"/>
      <c r="B61" s="789"/>
      <c r="D61" s="997" t="s">
        <v>434</v>
      </c>
      <c r="E61" s="997"/>
      <c r="F61" s="997"/>
      <c r="G61" s="997"/>
    </row>
    <row r="62" spans="1:8" ht="12.75" customHeight="1" x14ac:dyDescent="0.2">
      <c r="A62" s="786"/>
      <c r="B62" s="787"/>
    </row>
    <row r="63" spans="1:8" ht="12.75" customHeight="1" x14ac:dyDescent="0.2">
      <c r="A63" s="786"/>
      <c r="B63" s="787"/>
    </row>
    <row r="64" spans="1:8" ht="12.75" customHeight="1" x14ac:dyDescent="0.2"/>
    <row r="65" spans="10:10" ht="12.75" customHeight="1" x14ac:dyDescent="0.2"/>
    <row r="66" spans="10:10" ht="12.75" customHeight="1" x14ac:dyDescent="0.2"/>
    <row r="67" spans="10:10" ht="12.75" customHeight="1" x14ac:dyDescent="0.2"/>
    <row r="68" spans="10:10" ht="12.75" customHeight="1" x14ac:dyDescent="0.2"/>
    <row r="69" spans="10:10" ht="12.75" customHeight="1" x14ac:dyDescent="0.2"/>
    <row r="70" spans="10:10" ht="12.75" customHeight="1" x14ac:dyDescent="0.2"/>
    <row r="71" spans="10:10" ht="12.75" customHeight="1" x14ac:dyDescent="0.2"/>
    <row r="72" spans="10:10" ht="12.75" customHeight="1" x14ac:dyDescent="0.2"/>
    <row r="73" spans="10:10" ht="12.75" customHeight="1" x14ac:dyDescent="0.2"/>
    <row r="74" spans="10:10" ht="12.75" customHeight="1" x14ac:dyDescent="0.2"/>
    <row r="75" spans="10:10" ht="12.75" customHeight="1" x14ac:dyDescent="0.2">
      <c r="J75" s="598"/>
    </row>
    <row r="76" spans="10:10" ht="12.75" customHeight="1" x14ac:dyDescent="0.2">
      <c r="J76" s="598"/>
    </row>
    <row r="77" spans="10:10" ht="12.75" customHeight="1" x14ac:dyDescent="0.2">
      <c r="J77" s="598"/>
    </row>
    <row r="78" spans="10:10" ht="12.75" customHeight="1" x14ac:dyDescent="0.2">
      <c r="J78" s="598"/>
    </row>
    <row r="79" spans="10:10" ht="12.75" customHeight="1" x14ac:dyDescent="0.2"/>
    <row r="80" spans="10:1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9.9499999999999993" customHeight="1" x14ac:dyDescent="0.2"/>
    <row r="91" ht="9.9499999999999993" customHeight="1" x14ac:dyDescent="0.2"/>
    <row r="92" ht="9.9499999999999993" customHeight="1" x14ac:dyDescent="0.2"/>
    <row r="93" ht="9.9499999999999993" customHeight="1" x14ac:dyDescent="0.2"/>
    <row r="94" ht="9.9499999999999993" customHeight="1" x14ac:dyDescent="0.2"/>
    <row r="95" ht="9.9499999999999993" customHeight="1" x14ac:dyDescent="0.2"/>
    <row r="96" ht="9.9499999999999993" customHeight="1" x14ac:dyDescent="0.2"/>
    <row r="97" ht="9.9499999999999993" customHeight="1" x14ac:dyDescent="0.2"/>
    <row r="98" ht="9.9499999999999993" customHeight="1" x14ac:dyDescent="0.2"/>
    <row r="99" ht="9.9499999999999993" customHeight="1" x14ac:dyDescent="0.2"/>
    <row r="100" ht="9.9499999999999993" customHeight="1" x14ac:dyDescent="0.2"/>
    <row r="101" ht="9.9499999999999993" customHeight="1" x14ac:dyDescent="0.2"/>
    <row r="102" ht="9.9499999999999993" customHeight="1" x14ac:dyDescent="0.2"/>
    <row r="103" ht="9.9499999999999993" customHeight="1" x14ac:dyDescent="0.2"/>
    <row r="104" ht="9.9499999999999993" customHeight="1" x14ac:dyDescent="0.2"/>
    <row r="105" ht="9.9499999999999993" customHeight="1" x14ac:dyDescent="0.2"/>
    <row r="106" ht="9.9499999999999993" customHeight="1" x14ac:dyDescent="0.2"/>
    <row r="107" ht="9.9499999999999993" customHeight="1" x14ac:dyDescent="0.2"/>
    <row r="108" ht="9.9499999999999993" customHeight="1" x14ac:dyDescent="0.2"/>
    <row r="109" ht="9.9499999999999993" customHeight="1" x14ac:dyDescent="0.2"/>
    <row r="110" ht="9.9499999999999993" customHeight="1" x14ac:dyDescent="0.2"/>
    <row r="111" ht="9.9499999999999993" customHeight="1" x14ac:dyDescent="0.2"/>
    <row r="112" ht="9.9499999999999993" customHeight="1" x14ac:dyDescent="0.2"/>
    <row r="113" ht="9.9499999999999993" customHeight="1" x14ac:dyDescent="0.2"/>
    <row r="114" ht="9.9499999999999993" customHeight="1" x14ac:dyDescent="0.2"/>
    <row r="115" ht="9.9499999999999993" customHeight="1" x14ac:dyDescent="0.2"/>
    <row r="116" ht="9.9499999999999993" customHeight="1" x14ac:dyDescent="0.2"/>
    <row r="117" ht="9.9499999999999993" customHeight="1" x14ac:dyDescent="0.2"/>
    <row r="118" ht="9.9499999999999993" customHeight="1" x14ac:dyDescent="0.2"/>
    <row r="119" ht="9.9499999999999993" customHeight="1" x14ac:dyDescent="0.2"/>
    <row r="120" ht="9.9499999999999993" customHeight="1" x14ac:dyDescent="0.2"/>
    <row r="121" ht="9.9499999999999993" customHeight="1" x14ac:dyDescent="0.2"/>
    <row r="122" ht="9.9499999999999993" customHeight="1" x14ac:dyDescent="0.2"/>
    <row r="123" ht="9.9499999999999993" customHeight="1" x14ac:dyDescent="0.2"/>
    <row r="124" ht="9.9499999999999993" customHeight="1" x14ac:dyDescent="0.2"/>
    <row r="125" ht="9.9499999999999993" customHeight="1" x14ac:dyDescent="0.2"/>
    <row r="126" ht="9.9499999999999993" customHeight="1" x14ac:dyDescent="0.2"/>
    <row r="127" ht="9.9499999999999993" customHeight="1" x14ac:dyDescent="0.2"/>
    <row r="128" ht="9.9499999999999993" customHeight="1" x14ac:dyDescent="0.2"/>
    <row r="129" ht="9.9499999999999993" customHeight="1" x14ac:dyDescent="0.2"/>
    <row r="130" ht="9.9499999999999993" customHeight="1" x14ac:dyDescent="0.2"/>
    <row r="131" ht="9.9499999999999993" customHeight="1" x14ac:dyDescent="0.2"/>
    <row r="132" ht="9.9499999999999993" customHeight="1" x14ac:dyDescent="0.2"/>
    <row r="133" ht="9.9499999999999993" customHeight="1" x14ac:dyDescent="0.2"/>
    <row r="134" ht="9.9499999999999993" customHeight="1" x14ac:dyDescent="0.2"/>
    <row r="135" ht="9.9499999999999993" customHeight="1" x14ac:dyDescent="0.2"/>
    <row r="136" ht="9.9499999999999993" customHeight="1" x14ac:dyDescent="0.2"/>
    <row r="137" ht="9.9499999999999993" customHeight="1" x14ac:dyDescent="0.2"/>
    <row r="138" ht="9.9499999999999993" customHeight="1" x14ac:dyDescent="0.2"/>
    <row r="139" ht="9.9499999999999993" customHeight="1" x14ac:dyDescent="0.2"/>
    <row r="140" ht="9.9499999999999993" customHeight="1" x14ac:dyDescent="0.2"/>
    <row r="141" ht="9.9499999999999993" customHeight="1" x14ac:dyDescent="0.2"/>
    <row r="142" ht="9.9499999999999993" customHeight="1" x14ac:dyDescent="0.2"/>
    <row r="143" ht="9.9499999999999993" customHeight="1" x14ac:dyDescent="0.2"/>
    <row r="144" ht="9.9499999999999993" customHeight="1" x14ac:dyDescent="0.2"/>
    <row r="145" ht="9.9499999999999993" customHeight="1" x14ac:dyDescent="0.2"/>
    <row r="146" ht="9.9499999999999993" customHeight="1" x14ac:dyDescent="0.2"/>
    <row r="147" ht="9.9499999999999993" customHeight="1" x14ac:dyDescent="0.2"/>
    <row r="148" ht="9.9499999999999993" customHeight="1" x14ac:dyDescent="0.2"/>
    <row r="149" ht="9.9499999999999993" customHeight="1" x14ac:dyDescent="0.2"/>
    <row r="150" ht="9.9499999999999993" customHeight="1" x14ac:dyDescent="0.2"/>
    <row r="151" ht="9.9499999999999993" customHeight="1" x14ac:dyDescent="0.2"/>
    <row r="152" ht="9.9499999999999993" customHeight="1" x14ac:dyDescent="0.2"/>
    <row r="153" ht="9.9499999999999993" customHeight="1" x14ac:dyDescent="0.2"/>
    <row r="154" ht="9.9499999999999993" customHeight="1" x14ac:dyDescent="0.2"/>
    <row r="155" ht="9.9499999999999993" customHeight="1" x14ac:dyDescent="0.2"/>
    <row r="156" ht="9.9499999999999993" customHeight="1" x14ac:dyDescent="0.2"/>
    <row r="157" ht="9.9499999999999993" customHeight="1" x14ac:dyDescent="0.2"/>
    <row r="158" ht="9.9499999999999993" customHeight="1" x14ac:dyDescent="0.2"/>
    <row r="159" ht="9.9499999999999993" customHeight="1" x14ac:dyDescent="0.2"/>
    <row r="160" ht="9.9499999999999993" customHeight="1" x14ac:dyDescent="0.2"/>
    <row r="161" ht="9.9499999999999993" customHeight="1" x14ac:dyDescent="0.2"/>
    <row r="162" ht="9.9499999999999993" customHeight="1" x14ac:dyDescent="0.2"/>
    <row r="163" ht="9.9499999999999993" customHeight="1" x14ac:dyDescent="0.2"/>
    <row r="164" ht="9.9499999999999993" customHeight="1" x14ac:dyDescent="0.2"/>
    <row r="165" ht="9.9499999999999993" customHeight="1" x14ac:dyDescent="0.2"/>
    <row r="166" ht="9.9499999999999993" customHeight="1" x14ac:dyDescent="0.2"/>
    <row r="167" ht="9.9499999999999993" customHeight="1" x14ac:dyDescent="0.2"/>
    <row r="168" ht="9.9499999999999993" customHeight="1" x14ac:dyDescent="0.2"/>
    <row r="169" ht="9.9499999999999993" customHeight="1" x14ac:dyDescent="0.2"/>
    <row r="170" ht="9.9499999999999993" customHeight="1" x14ac:dyDescent="0.2"/>
    <row r="171" ht="9.9499999999999993" customHeight="1" x14ac:dyDescent="0.2"/>
    <row r="172" ht="9.9499999999999993" customHeight="1" x14ac:dyDescent="0.2"/>
    <row r="173" ht="9.9499999999999993" customHeight="1" x14ac:dyDescent="0.2"/>
    <row r="174" ht="9.9499999999999993" customHeight="1" x14ac:dyDescent="0.2"/>
    <row r="175" ht="9.9499999999999993" customHeight="1" x14ac:dyDescent="0.2"/>
    <row r="176" ht="9.9499999999999993" customHeight="1" x14ac:dyDescent="0.2"/>
    <row r="177" ht="9.9499999999999993" customHeight="1" x14ac:dyDescent="0.2"/>
    <row r="178" ht="9.9499999999999993" customHeight="1" x14ac:dyDescent="0.2"/>
    <row r="179" ht="9.9499999999999993" customHeight="1" x14ac:dyDescent="0.2"/>
    <row r="180" ht="9.9499999999999993" customHeight="1" x14ac:dyDescent="0.2"/>
    <row r="181" ht="9.9499999999999993" customHeight="1" x14ac:dyDescent="0.2"/>
    <row r="182" ht="9.9499999999999993" customHeight="1" x14ac:dyDescent="0.2"/>
    <row r="183" ht="9.9499999999999993" customHeight="1" x14ac:dyDescent="0.2"/>
    <row r="184" ht="9.9499999999999993" customHeight="1" x14ac:dyDescent="0.2"/>
    <row r="185" ht="9.9499999999999993" customHeight="1" x14ac:dyDescent="0.2"/>
    <row r="186" ht="9.9499999999999993" customHeight="1" x14ac:dyDescent="0.2"/>
    <row r="187" ht="9.9499999999999993" customHeight="1" x14ac:dyDescent="0.2"/>
    <row r="188" ht="9.9499999999999993" customHeight="1" x14ac:dyDescent="0.2"/>
    <row r="189" ht="9.9499999999999993" customHeight="1" x14ac:dyDescent="0.2"/>
    <row r="190" ht="9.9499999999999993" customHeight="1" x14ac:dyDescent="0.2"/>
    <row r="191" ht="9.9499999999999993" customHeight="1" x14ac:dyDescent="0.2"/>
    <row r="192" ht="9.9499999999999993" customHeight="1" x14ac:dyDescent="0.2"/>
    <row r="193" ht="9.9499999999999993" customHeight="1" x14ac:dyDescent="0.2"/>
    <row r="194" ht="9.9499999999999993" customHeight="1" x14ac:dyDescent="0.2"/>
    <row r="195" ht="9.9499999999999993" customHeight="1" x14ac:dyDescent="0.2"/>
    <row r="196" ht="9.9499999999999993" customHeight="1" x14ac:dyDescent="0.2"/>
    <row r="197" ht="9.9499999999999993" customHeight="1" x14ac:dyDescent="0.2"/>
    <row r="198" ht="9.9499999999999993" customHeight="1" x14ac:dyDescent="0.2"/>
    <row r="199" ht="9.9499999999999993" customHeight="1" x14ac:dyDescent="0.2"/>
    <row r="200" ht="9.9499999999999993" customHeight="1" x14ac:dyDescent="0.2"/>
    <row r="201" ht="9.9499999999999993" customHeight="1" x14ac:dyDescent="0.2"/>
    <row r="202" ht="9.9499999999999993" customHeight="1" x14ac:dyDescent="0.2"/>
    <row r="203" ht="9.9499999999999993" customHeight="1" x14ac:dyDescent="0.2"/>
    <row r="204" ht="9.9499999999999993" customHeight="1" x14ac:dyDescent="0.2"/>
    <row r="205" ht="9.9499999999999993" customHeight="1" x14ac:dyDescent="0.2"/>
    <row r="206" ht="9.9499999999999993" customHeight="1" x14ac:dyDescent="0.2"/>
    <row r="207" ht="9.9499999999999993" customHeight="1" x14ac:dyDescent="0.2"/>
    <row r="208" ht="9.9499999999999993" customHeight="1" x14ac:dyDescent="0.2"/>
    <row r="209" ht="9.9499999999999993" customHeight="1" x14ac:dyDescent="0.2"/>
    <row r="210" ht="9.9499999999999993" customHeight="1" x14ac:dyDescent="0.2"/>
    <row r="211" ht="9.9499999999999993" customHeight="1" x14ac:dyDescent="0.2"/>
    <row r="212" ht="9.9499999999999993" customHeight="1" x14ac:dyDescent="0.2"/>
    <row r="213" ht="9.9499999999999993" customHeight="1" x14ac:dyDescent="0.2"/>
    <row r="214" ht="9.9499999999999993" customHeight="1" x14ac:dyDescent="0.2"/>
    <row r="215" ht="9.9499999999999993" customHeight="1" x14ac:dyDescent="0.2"/>
    <row r="216" ht="9.9499999999999993" customHeight="1" x14ac:dyDescent="0.2"/>
    <row r="217" ht="9.9499999999999993" customHeight="1" x14ac:dyDescent="0.2"/>
    <row r="218" ht="9.9499999999999993" customHeight="1" x14ac:dyDescent="0.2"/>
    <row r="219" ht="9.9499999999999993" customHeight="1" x14ac:dyDescent="0.2"/>
    <row r="220" ht="9.9499999999999993" customHeight="1" x14ac:dyDescent="0.2"/>
    <row r="221" ht="9.9499999999999993" customHeight="1" x14ac:dyDescent="0.2"/>
    <row r="222" ht="9.9499999999999993" customHeight="1" x14ac:dyDescent="0.2"/>
    <row r="223" ht="9.9499999999999993" customHeight="1" x14ac:dyDescent="0.2"/>
    <row r="224" ht="9.9499999999999993" customHeight="1" x14ac:dyDescent="0.2"/>
    <row r="225" ht="9.9499999999999993" customHeight="1" x14ac:dyDescent="0.2"/>
    <row r="226" ht="9.9499999999999993" customHeight="1" x14ac:dyDescent="0.2"/>
    <row r="227" ht="9.9499999999999993" customHeight="1" x14ac:dyDescent="0.2"/>
    <row r="228" ht="9.9499999999999993" customHeight="1" x14ac:dyDescent="0.2"/>
    <row r="229" ht="9.9499999999999993" customHeight="1" x14ac:dyDescent="0.2"/>
    <row r="230" ht="9.9499999999999993" customHeight="1" x14ac:dyDescent="0.2"/>
    <row r="231" ht="9.9499999999999993" customHeight="1" x14ac:dyDescent="0.2"/>
    <row r="232" ht="9.9499999999999993" customHeight="1" x14ac:dyDescent="0.2"/>
    <row r="233" ht="9.9499999999999993" customHeight="1" x14ac:dyDescent="0.2"/>
    <row r="234" ht="9.9499999999999993" customHeight="1" x14ac:dyDescent="0.2"/>
    <row r="235" ht="9.9499999999999993" customHeight="1" x14ac:dyDescent="0.2"/>
    <row r="236" ht="9.9499999999999993" customHeight="1" x14ac:dyDescent="0.2"/>
    <row r="237" ht="9.9499999999999993" customHeight="1" x14ac:dyDescent="0.2"/>
    <row r="238" ht="9.9499999999999993" customHeight="1" x14ac:dyDescent="0.2"/>
    <row r="239" ht="9.9499999999999993" customHeight="1" x14ac:dyDescent="0.2"/>
    <row r="240" ht="9.9499999999999993" customHeight="1" x14ac:dyDescent="0.2"/>
    <row r="241" ht="9.9499999999999993" customHeight="1" x14ac:dyDescent="0.2"/>
    <row r="242" ht="9.9499999999999993" customHeight="1" x14ac:dyDescent="0.2"/>
    <row r="243" ht="9.9499999999999993" customHeight="1" x14ac:dyDescent="0.2"/>
    <row r="244" ht="9.9499999999999993" customHeight="1" x14ac:dyDescent="0.2"/>
    <row r="245" ht="9.9499999999999993" customHeight="1" x14ac:dyDescent="0.2"/>
    <row r="246" ht="9.9499999999999993" customHeight="1" x14ac:dyDescent="0.2"/>
    <row r="247" ht="9.9499999999999993" customHeight="1" x14ac:dyDescent="0.2"/>
    <row r="248" ht="9.9499999999999993" customHeight="1" x14ac:dyDescent="0.2"/>
    <row r="249" ht="9.9499999999999993" customHeight="1" x14ac:dyDescent="0.2"/>
    <row r="250" ht="9.9499999999999993" customHeight="1" x14ac:dyDescent="0.2"/>
    <row r="251" ht="9.9499999999999993" customHeight="1" x14ac:dyDescent="0.2"/>
    <row r="252" ht="9.9499999999999993" customHeight="1" x14ac:dyDescent="0.2"/>
    <row r="253" ht="9.9499999999999993" customHeight="1" x14ac:dyDescent="0.2"/>
    <row r="254" ht="9.9499999999999993" customHeight="1" x14ac:dyDescent="0.2"/>
    <row r="255" ht="9.9499999999999993" customHeight="1" x14ac:dyDescent="0.2"/>
    <row r="256" ht="9.9499999999999993" customHeight="1" x14ac:dyDescent="0.2"/>
    <row r="257" ht="9.9499999999999993" customHeight="1" x14ac:dyDescent="0.2"/>
    <row r="258" ht="9.9499999999999993" customHeight="1" x14ac:dyDescent="0.2"/>
    <row r="259" ht="9.9499999999999993" customHeight="1" x14ac:dyDescent="0.2"/>
    <row r="260" ht="9.9499999999999993" customHeight="1" x14ac:dyDescent="0.2"/>
    <row r="261" ht="9.9499999999999993" customHeight="1" x14ac:dyDescent="0.2"/>
    <row r="262" ht="9.9499999999999993" customHeight="1" x14ac:dyDescent="0.2"/>
    <row r="263" ht="9.9499999999999993" customHeight="1" x14ac:dyDescent="0.2"/>
    <row r="264" ht="9.9499999999999993" customHeight="1" x14ac:dyDescent="0.2"/>
    <row r="265" ht="9.9499999999999993" customHeight="1" x14ac:dyDescent="0.2"/>
    <row r="266" ht="9.9499999999999993" customHeight="1" x14ac:dyDescent="0.2"/>
    <row r="267" ht="9.9499999999999993" customHeight="1" x14ac:dyDescent="0.2"/>
    <row r="268" ht="9.9499999999999993" customHeight="1" x14ac:dyDescent="0.2"/>
    <row r="269" ht="9.9499999999999993" customHeight="1" x14ac:dyDescent="0.2"/>
    <row r="270" ht="9.9499999999999993" customHeight="1" x14ac:dyDescent="0.2"/>
    <row r="271" ht="9.9499999999999993" customHeight="1" x14ac:dyDescent="0.2"/>
    <row r="272" ht="9.9499999999999993" customHeight="1" x14ac:dyDescent="0.2"/>
    <row r="273" ht="9.9499999999999993" customHeight="1" x14ac:dyDescent="0.2"/>
    <row r="274" ht="9.9499999999999993" customHeight="1" x14ac:dyDescent="0.2"/>
    <row r="275" ht="9.9499999999999993" customHeight="1" x14ac:dyDescent="0.2"/>
    <row r="276" ht="9.9499999999999993" customHeight="1" x14ac:dyDescent="0.2"/>
    <row r="277" ht="9.9499999999999993" customHeight="1" x14ac:dyDescent="0.2"/>
    <row r="278" ht="9.9499999999999993" customHeight="1" x14ac:dyDescent="0.2"/>
    <row r="279" ht="9.9499999999999993" customHeight="1" x14ac:dyDescent="0.2"/>
    <row r="280" ht="9.9499999999999993" customHeight="1" x14ac:dyDescent="0.2"/>
    <row r="281" ht="9.9499999999999993" customHeight="1" x14ac:dyDescent="0.2"/>
    <row r="282" ht="9.9499999999999993" customHeight="1" x14ac:dyDescent="0.2"/>
    <row r="283" ht="9.9499999999999993" customHeight="1" x14ac:dyDescent="0.2"/>
    <row r="284" ht="9.9499999999999993" customHeight="1" x14ac:dyDescent="0.2"/>
    <row r="285" ht="9.9499999999999993" customHeight="1" x14ac:dyDescent="0.2"/>
    <row r="286" ht="9.9499999999999993" customHeight="1" x14ac:dyDescent="0.2"/>
    <row r="287" ht="9.9499999999999993" customHeight="1" x14ac:dyDescent="0.2"/>
    <row r="288" ht="9.9499999999999993" customHeight="1" x14ac:dyDescent="0.2"/>
    <row r="289" ht="9.9499999999999993" customHeight="1" x14ac:dyDescent="0.2"/>
    <row r="290" ht="9.9499999999999993" customHeight="1" x14ac:dyDescent="0.2"/>
    <row r="291" ht="9.9499999999999993" customHeight="1" x14ac:dyDescent="0.2"/>
    <row r="292" ht="9.9499999999999993" customHeight="1" x14ac:dyDescent="0.2"/>
    <row r="293" ht="9.9499999999999993" customHeight="1" x14ac:dyDescent="0.2"/>
    <row r="294" ht="9.9499999999999993" customHeight="1" x14ac:dyDescent="0.2"/>
    <row r="295" ht="9.9499999999999993" customHeight="1" x14ac:dyDescent="0.2"/>
    <row r="296" ht="9.9499999999999993" customHeight="1" x14ac:dyDescent="0.2"/>
    <row r="297" ht="9.9499999999999993" customHeight="1" x14ac:dyDescent="0.2"/>
    <row r="298" ht="9.9499999999999993" customHeight="1" x14ac:dyDescent="0.2"/>
    <row r="299" ht="9.9499999999999993" customHeight="1" x14ac:dyDescent="0.2"/>
    <row r="300" ht="9.9499999999999993" customHeight="1" x14ac:dyDescent="0.2"/>
    <row r="301" ht="9.9499999999999993" customHeight="1" x14ac:dyDescent="0.2"/>
    <row r="302" ht="9.9499999999999993" customHeight="1" x14ac:dyDescent="0.2"/>
    <row r="303" ht="9.9499999999999993" customHeight="1" x14ac:dyDescent="0.2"/>
    <row r="304" ht="9.9499999999999993" customHeight="1" x14ac:dyDescent="0.2"/>
    <row r="305" ht="9.9499999999999993" customHeight="1" x14ac:dyDescent="0.2"/>
    <row r="306" ht="9.9499999999999993" customHeight="1" x14ac:dyDescent="0.2"/>
    <row r="307" ht="9.9499999999999993" customHeight="1" x14ac:dyDescent="0.2"/>
    <row r="308" ht="9.9499999999999993" customHeight="1" x14ac:dyDescent="0.2"/>
    <row r="309" ht="9.9499999999999993" customHeight="1" x14ac:dyDescent="0.2"/>
    <row r="310" ht="9.9499999999999993" customHeight="1" x14ac:dyDescent="0.2"/>
    <row r="311" ht="9.9499999999999993" customHeight="1" x14ac:dyDescent="0.2"/>
    <row r="312" ht="9.9499999999999993" customHeight="1" x14ac:dyDescent="0.2"/>
    <row r="313" ht="9.9499999999999993" customHeight="1" x14ac:dyDescent="0.2"/>
    <row r="314" ht="9.9499999999999993" customHeight="1" x14ac:dyDescent="0.2"/>
    <row r="315" ht="9.9499999999999993" customHeight="1" x14ac:dyDescent="0.2"/>
    <row r="316" ht="9.9499999999999993" customHeight="1" x14ac:dyDescent="0.2"/>
    <row r="317" ht="9.9499999999999993" customHeight="1" x14ac:dyDescent="0.2"/>
    <row r="318" ht="9.9499999999999993" customHeight="1" x14ac:dyDescent="0.2"/>
    <row r="319" ht="9.9499999999999993" customHeight="1" x14ac:dyDescent="0.2"/>
    <row r="320" ht="9.9499999999999993" customHeight="1" x14ac:dyDescent="0.2"/>
    <row r="321" ht="9.9499999999999993" customHeight="1" x14ac:dyDescent="0.2"/>
    <row r="322" ht="9.9499999999999993" customHeight="1" x14ac:dyDescent="0.2"/>
    <row r="323" ht="9.9499999999999993" customHeight="1" x14ac:dyDescent="0.2"/>
    <row r="324" ht="9.9499999999999993" customHeight="1" x14ac:dyDescent="0.2"/>
    <row r="325" ht="9.9499999999999993" customHeight="1" x14ac:dyDescent="0.2"/>
    <row r="326" ht="9.9499999999999993" customHeight="1" x14ac:dyDescent="0.2"/>
    <row r="327" ht="9.9499999999999993" customHeight="1" x14ac:dyDescent="0.2"/>
    <row r="328" ht="9.9499999999999993" customHeight="1" x14ac:dyDescent="0.2"/>
    <row r="329" ht="9.9499999999999993" customHeight="1" x14ac:dyDescent="0.2"/>
    <row r="330" ht="9.9499999999999993" customHeight="1" x14ac:dyDescent="0.2"/>
    <row r="331" ht="9.9499999999999993" customHeight="1" x14ac:dyDescent="0.2"/>
    <row r="332" ht="9.9499999999999993" customHeight="1" x14ac:dyDescent="0.2"/>
    <row r="333" ht="9.9499999999999993" customHeight="1" x14ac:dyDescent="0.2"/>
    <row r="334" ht="9.9499999999999993" customHeight="1" x14ac:dyDescent="0.2"/>
    <row r="335" ht="9.9499999999999993" customHeight="1" x14ac:dyDescent="0.2"/>
    <row r="336" ht="9.9499999999999993" customHeight="1" x14ac:dyDescent="0.2"/>
    <row r="337" ht="9.9499999999999993" customHeight="1" x14ac:dyDescent="0.2"/>
    <row r="338" ht="9.9499999999999993" customHeight="1" x14ac:dyDescent="0.2"/>
    <row r="339" ht="9.9499999999999993" customHeight="1" x14ac:dyDescent="0.2"/>
    <row r="340" ht="9.9499999999999993" customHeight="1" x14ac:dyDescent="0.2"/>
    <row r="341" ht="9.9499999999999993" customHeight="1" x14ac:dyDescent="0.2"/>
    <row r="342" ht="9.9499999999999993" customHeight="1" x14ac:dyDescent="0.2"/>
    <row r="343" ht="9.9499999999999993" customHeight="1" x14ac:dyDescent="0.2"/>
    <row r="344" ht="9.9499999999999993" customHeight="1" x14ac:dyDescent="0.2"/>
    <row r="345" ht="9.9499999999999993" customHeight="1" x14ac:dyDescent="0.2"/>
    <row r="346" ht="9.9499999999999993" customHeight="1" x14ac:dyDescent="0.2"/>
    <row r="347" ht="9.9499999999999993" customHeight="1" x14ac:dyDescent="0.2"/>
    <row r="348" ht="9.9499999999999993" customHeight="1" x14ac:dyDescent="0.2"/>
    <row r="349" ht="9.9499999999999993" customHeight="1" x14ac:dyDescent="0.2"/>
    <row r="350" ht="9.9499999999999993" customHeight="1" x14ac:dyDescent="0.2"/>
    <row r="351" ht="9.9499999999999993" customHeight="1" x14ac:dyDescent="0.2"/>
    <row r="352" ht="9.9499999999999993" customHeight="1" x14ac:dyDescent="0.2"/>
    <row r="353" ht="9.9499999999999993" customHeight="1" x14ac:dyDescent="0.2"/>
    <row r="354" ht="9.9499999999999993" customHeight="1" x14ac:dyDescent="0.2"/>
    <row r="355" ht="9.9499999999999993" customHeight="1" x14ac:dyDescent="0.2"/>
    <row r="356" ht="9.9499999999999993" customHeight="1" x14ac:dyDescent="0.2"/>
    <row r="357" ht="9.9499999999999993" customHeight="1" x14ac:dyDescent="0.2"/>
    <row r="358" ht="9.9499999999999993" customHeight="1" x14ac:dyDescent="0.2"/>
    <row r="359" ht="9.9499999999999993" customHeight="1" x14ac:dyDescent="0.2"/>
    <row r="360" ht="9.9499999999999993" customHeight="1" x14ac:dyDescent="0.2"/>
    <row r="361" ht="9.9499999999999993" customHeight="1" x14ac:dyDescent="0.2"/>
    <row r="362" ht="9.9499999999999993" customHeight="1" x14ac:dyDescent="0.2"/>
    <row r="363" ht="9.9499999999999993" customHeight="1" x14ac:dyDescent="0.2"/>
    <row r="364" ht="9.9499999999999993" customHeight="1" x14ac:dyDescent="0.2"/>
    <row r="365" ht="9.9499999999999993" customHeight="1" x14ac:dyDescent="0.2"/>
    <row r="366" ht="9.9499999999999993" customHeight="1" x14ac:dyDescent="0.2"/>
    <row r="367" ht="9.9499999999999993" customHeight="1" x14ac:dyDescent="0.2"/>
    <row r="368" ht="9.9499999999999993" customHeight="1" x14ac:dyDescent="0.2"/>
    <row r="369" ht="9.9499999999999993" customHeight="1" x14ac:dyDescent="0.2"/>
    <row r="370" ht="9.9499999999999993" customHeight="1" x14ac:dyDescent="0.2"/>
    <row r="371" ht="9.9499999999999993" customHeight="1" x14ac:dyDescent="0.2"/>
    <row r="372" ht="9.9499999999999993" customHeight="1" x14ac:dyDescent="0.2"/>
    <row r="373" ht="9.9499999999999993" customHeight="1" x14ac:dyDescent="0.2"/>
    <row r="374" ht="9.9499999999999993" customHeight="1" x14ac:dyDescent="0.2"/>
    <row r="375" ht="9.9499999999999993" customHeight="1" x14ac:dyDescent="0.2"/>
    <row r="376" ht="9.9499999999999993" customHeight="1" x14ac:dyDescent="0.2"/>
    <row r="377" ht="9.9499999999999993" customHeight="1" x14ac:dyDescent="0.2"/>
    <row r="378" ht="9.9499999999999993" customHeight="1" x14ac:dyDescent="0.2"/>
    <row r="379" ht="9.9499999999999993" customHeight="1" x14ac:dyDescent="0.2"/>
    <row r="380" ht="9.9499999999999993" customHeight="1" x14ac:dyDescent="0.2"/>
    <row r="381" ht="9.9499999999999993" customHeight="1" x14ac:dyDescent="0.2"/>
    <row r="382" ht="9.9499999999999993" customHeight="1" x14ac:dyDescent="0.2"/>
    <row r="383" ht="9.9499999999999993" customHeight="1" x14ac:dyDescent="0.2"/>
    <row r="384" ht="9.9499999999999993" customHeight="1" x14ac:dyDescent="0.2"/>
    <row r="385" ht="9.9499999999999993" customHeight="1" x14ac:dyDescent="0.2"/>
    <row r="386" ht="9.9499999999999993" customHeight="1" x14ac:dyDescent="0.2"/>
    <row r="387" ht="9.9499999999999993" customHeight="1" x14ac:dyDescent="0.2"/>
    <row r="388" ht="9.9499999999999993" customHeight="1" x14ac:dyDescent="0.2"/>
    <row r="389" ht="9.9499999999999993" customHeight="1" x14ac:dyDescent="0.2"/>
    <row r="390" ht="9.9499999999999993" customHeight="1" x14ac:dyDescent="0.2"/>
    <row r="391" ht="9.9499999999999993" customHeight="1" x14ac:dyDescent="0.2"/>
    <row r="392" ht="9.9499999999999993" customHeight="1" x14ac:dyDescent="0.2"/>
    <row r="393" ht="9.9499999999999993" customHeight="1" x14ac:dyDescent="0.2"/>
    <row r="394" ht="9.9499999999999993" customHeight="1" x14ac:dyDescent="0.2"/>
    <row r="395" ht="9.9499999999999993" customHeight="1" x14ac:dyDescent="0.2"/>
    <row r="396" ht="9.9499999999999993" customHeight="1" x14ac:dyDescent="0.2"/>
    <row r="397" ht="9.9499999999999993" customHeight="1" x14ac:dyDescent="0.2"/>
    <row r="398" ht="9.9499999999999993" customHeight="1" x14ac:dyDescent="0.2"/>
    <row r="399" ht="9.9499999999999993" customHeight="1" x14ac:dyDescent="0.2"/>
    <row r="400" ht="9.9499999999999993" customHeight="1" x14ac:dyDescent="0.2"/>
    <row r="401" ht="9.9499999999999993" customHeight="1" x14ac:dyDescent="0.2"/>
    <row r="402" ht="9.9499999999999993" customHeight="1" x14ac:dyDescent="0.2"/>
    <row r="403" ht="9.9499999999999993" customHeight="1" x14ac:dyDescent="0.2"/>
    <row r="404" ht="9.9499999999999993" customHeight="1" x14ac:dyDescent="0.2"/>
    <row r="405" ht="9.9499999999999993" customHeight="1" x14ac:dyDescent="0.2"/>
    <row r="406" ht="9.9499999999999993" customHeight="1" x14ac:dyDescent="0.2"/>
    <row r="407" ht="9.9499999999999993" customHeight="1" x14ac:dyDescent="0.2"/>
    <row r="408" ht="9.9499999999999993" customHeight="1" x14ac:dyDescent="0.2"/>
    <row r="409" ht="9.9499999999999993" customHeight="1" x14ac:dyDescent="0.2"/>
    <row r="410" ht="9.9499999999999993" customHeight="1" x14ac:dyDescent="0.2"/>
    <row r="411" ht="9.9499999999999993" customHeight="1" x14ac:dyDescent="0.2"/>
    <row r="412" ht="9.9499999999999993" customHeight="1" x14ac:dyDescent="0.2"/>
    <row r="413" ht="9.9499999999999993" customHeight="1" x14ac:dyDescent="0.2"/>
    <row r="414" ht="9.9499999999999993" customHeight="1" x14ac:dyDescent="0.2"/>
    <row r="415" ht="9.9499999999999993" customHeight="1" x14ac:dyDescent="0.2"/>
    <row r="416" ht="9.9499999999999993" customHeight="1" x14ac:dyDescent="0.2"/>
    <row r="417" ht="9.9499999999999993" customHeight="1" x14ac:dyDescent="0.2"/>
    <row r="418" ht="9.9499999999999993" customHeight="1" x14ac:dyDescent="0.2"/>
    <row r="419" ht="9.9499999999999993" customHeight="1" x14ac:dyDescent="0.2"/>
    <row r="420" ht="9.9499999999999993" customHeight="1" x14ac:dyDescent="0.2"/>
    <row r="421" ht="9.9499999999999993" customHeight="1" x14ac:dyDescent="0.2"/>
    <row r="422" ht="9.9499999999999993" customHeight="1" x14ac:dyDescent="0.2"/>
    <row r="423" ht="9.9499999999999993" customHeight="1" x14ac:dyDescent="0.2"/>
    <row r="424" ht="9.9499999999999993" customHeight="1" x14ac:dyDescent="0.2"/>
    <row r="425" ht="9.9499999999999993" customHeight="1" x14ac:dyDescent="0.2"/>
    <row r="426" ht="9.9499999999999993" customHeight="1" x14ac:dyDescent="0.2"/>
    <row r="427" ht="9.9499999999999993" customHeight="1" x14ac:dyDescent="0.2"/>
    <row r="428" ht="9.9499999999999993" customHeight="1" x14ac:dyDescent="0.2"/>
    <row r="429" ht="9.9499999999999993" customHeight="1" x14ac:dyDescent="0.2"/>
    <row r="430" ht="9.9499999999999993" customHeight="1" x14ac:dyDescent="0.2"/>
    <row r="431" ht="9.9499999999999993" customHeight="1" x14ac:dyDescent="0.2"/>
    <row r="432" ht="9.9499999999999993" customHeight="1" x14ac:dyDescent="0.2"/>
    <row r="433" ht="9.9499999999999993" customHeight="1" x14ac:dyDescent="0.2"/>
    <row r="434" ht="9.9499999999999993" customHeight="1" x14ac:dyDescent="0.2"/>
    <row r="435" ht="9.9499999999999993" customHeight="1" x14ac:dyDescent="0.2"/>
    <row r="436" ht="9.9499999999999993" customHeight="1" x14ac:dyDescent="0.2"/>
    <row r="437" ht="9.9499999999999993" customHeight="1" x14ac:dyDescent="0.2"/>
    <row r="438" ht="9.9499999999999993" customHeight="1" x14ac:dyDescent="0.2"/>
    <row r="439" ht="9.9499999999999993" customHeight="1" x14ac:dyDescent="0.2"/>
    <row r="440" ht="9.9499999999999993" customHeight="1" x14ac:dyDescent="0.2"/>
    <row r="441" ht="9.9499999999999993" customHeight="1" x14ac:dyDescent="0.2"/>
    <row r="442" ht="9.9499999999999993" customHeight="1" x14ac:dyDescent="0.2"/>
    <row r="443" ht="9.9499999999999993" customHeight="1" x14ac:dyDescent="0.2"/>
    <row r="444" ht="9.9499999999999993" customHeight="1" x14ac:dyDescent="0.2"/>
    <row r="445" ht="9.9499999999999993" customHeight="1" x14ac:dyDescent="0.2"/>
    <row r="446" ht="9.9499999999999993" customHeight="1" x14ac:dyDescent="0.2"/>
    <row r="447" ht="9.9499999999999993" customHeight="1" x14ac:dyDescent="0.2"/>
    <row r="448" ht="9.9499999999999993" customHeight="1" x14ac:dyDescent="0.2"/>
    <row r="449" ht="9.9499999999999993" customHeight="1" x14ac:dyDescent="0.2"/>
    <row r="450" ht="9.9499999999999993" customHeight="1" x14ac:dyDescent="0.2"/>
    <row r="451" ht="9.9499999999999993" customHeight="1" x14ac:dyDescent="0.2"/>
    <row r="452" ht="9.9499999999999993" customHeight="1" x14ac:dyDescent="0.2"/>
    <row r="453" ht="9.9499999999999993" customHeight="1" x14ac:dyDescent="0.2"/>
    <row r="454" ht="9.9499999999999993" customHeight="1" x14ac:dyDescent="0.2"/>
    <row r="455" ht="9.9499999999999993" customHeight="1" x14ac:dyDescent="0.2"/>
    <row r="456" ht="9.9499999999999993" customHeight="1" x14ac:dyDescent="0.2"/>
    <row r="457" ht="9.9499999999999993" customHeight="1" x14ac:dyDescent="0.2"/>
    <row r="458" ht="9.9499999999999993" customHeight="1" x14ac:dyDescent="0.2"/>
    <row r="459" ht="9.9499999999999993" customHeight="1" x14ac:dyDescent="0.2"/>
    <row r="460" ht="9.9499999999999993" customHeight="1" x14ac:dyDescent="0.2"/>
    <row r="461" ht="9.9499999999999993" customHeight="1" x14ac:dyDescent="0.2"/>
    <row r="462" ht="9.9499999999999993" customHeight="1" x14ac:dyDescent="0.2"/>
    <row r="463" ht="9.9499999999999993" customHeight="1" x14ac:dyDescent="0.2"/>
    <row r="464" ht="9.9499999999999993" customHeight="1" x14ac:dyDescent="0.2"/>
    <row r="465" ht="9.9499999999999993" customHeight="1" x14ac:dyDescent="0.2"/>
    <row r="466" ht="9.9499999999999993" customHeight="1" x14ac:dyDescent="0.2"/>
    <row r="467" ht="9.9499999999999993" customHeight="1" x14ac:dyDescent="0.2"/>
    <row r="468" ht="9.9499999999999993" customHeight="1" x14ac:dyDescent="0.2"/>
    <row r="469" ht="9.9499999999999993" customHeight="1" x14ac:dyDescent="0.2"/>
    <row r="470" ht="9.9499999999999993" customHeight="1" x14ac:dyDescent="0.2"/>
    <row r="471" ht="9.9499999999999993" customHeight="1" x14ac:dyDescent="0.2"/>
    <row r="472" ht="9.9499999999999993" customHeight="1" x14ac:dyDescent="0.2"/>
    <row r="473" ht="9.9499999999999993" customHeight="1" x14ac:dyDescent="0.2"/>
    <row r="474" ht="9.9499999999999993" customHeight="1" x14ac:dyDescent="0.2"/>
    <row r="475" ht="9.9499999999999993" customHeight="1" x14ac:dyDescent="0.2"/>
    <row r="476" ht="9.9499999999999993" customHeight="1" x14ac:dyDescent="0.2"/>
    <row r="477" ht="9.9499999999999993" customHeight="1" x14ac:dyDescent="0.2"/>
    <row r="478" ht="9.9499999999999993" customHeight="1" x14ac:dyDescent="0.2"/>
    <row r="479" ht="9.9499999999999993" customHeight="1" x14ac:dyDescent="0.2"/>
    <row r="480" ht="9.9499999999999993" customHeight="1" x14ac:dyDescent="0.2"/>
    <row r="481" ht="9.9499999999999993" customHeight="1" x14ac:dyDescent="0.2"/>
    <row r="482" ht="9.9499999999999993" customHeight="1" x14ac:dyDescent="0.2"/>
    <row r="483" ht="9.9499999999999993" customHeight="1" x14ac:dyDescent="0.2"/>
    <row r="484" ht="9.9499999999999993" customHeight="1" x14ac:dyDescent="0.2"/>
    <row r="485" ht="9.9499999999999993" customHeight="1" x14ac:dyDescent="0.2"/>
    <row r="486" ht="9.9499999999999993" customHeight="1" x14ac:dyDescent="0.2"/>
    <row r="487" ht="9.9499999999999993" customHeight="1" x14ac:dyDescent="0.2"/>
    <row r="488" ht="9.9499999999999993" customHeight="1" x14ac:dyDescent="0.2"/>
    <row r="489" ht="9.9499999999999993" customHeight="1" x14ac:dyDescent="0.2"/>
    <row r="490" ht="9.9499999999999993" customHeight="1" x14ac:dyDescent="0.2"/>
    <row r="491" ht="9.9499999999999993" customHeight="1" x14ac:dyDescent="0.2"/>
    <row r="492" ht="9.9499999999999993" customHeight="1" x14ac:dyDescent="0.2"/>
    <row r="493" ht="9.9499999999999993" customHeight="1" x14ac:dyDescent="0.2"/>
    <row r="494" ht="9.9499999999999993" customHeight="1" x14ac:dyDescent="0.2"/>
    <row r="495" ht="9.9499999999999993" customHeight="1" x14ac:dyDescent="0.2"/>
    <row r="496" ht="9.9499999999999993" customHeight="1" x14ac:dyDescent="0.2"/>
    <row r="497" ht="9.9499999999999993" customHeight="1" x14ac:dyDescent="0.2"/>
    <row r="498" ht="9.9499999999999993" customHeight="1" x14ac:dyDescent="0.2"/>
    <row r="499" ht="9.9499999999999993" customHeight="1" x14ac:dyDescent="0.2"/>
    <row r="500" ht="9.9499999999999993" customHeight="1" x14ac:dyDescent="0.2"/>
    <row r="501" ht="9.9499999999999993" customHeight="1" x14ac:dyDescent="0.2"/>
    <row r="502" ht="9.9499999999999993" customHeight="1" x14ac:dyDescent="0.2"/>
    <row r="503" ht="9.9499999999999993" customHeight="1" x14ac:dyDescent="0.2"/>
    <row r="504" ht="9.9499999999999993" customHeight="1" x14ac:dyDescent="0.2"/>
    <row r="505" ht="9.9499999999999993" customHeight="1" x14ac:dyDescent="0.2"/>
    <row r="506" ht="9.9499999999999993" customHeight="1" x14ac:dyDescent="0.2"/>
    <row r="507" ht="9.9499999999999993" customHeight="1" x14ac:dyDescent="0.2"/>
    <row r="508" ht="9.9499999999999993" customHeight="1" x14ac:dyDescent="0.2"/>
    <row r="509" ht="9.9499999999999993" customHeight="1" x14ac:dyDescent="0.2"/>
    <row r="510" ht="9.9499999999999993" customHeight="1" x14ac:dyDescent="0.2"/>
    <row r="511" ht="9.9499999999999993" customHeight="1" x14ac:dyDescent="0.2"/>
    <row r="512" ht="9.9499999999999993" customHeight="1" x14ac:dyDescent="0.2"/>
    <row r="513" ht="9.9499999999999993" customHeight="1" x14ac:dyDescent="0.2"/>
    <row r="514" ht="9.9499999999999993" customHeight="1" x14ac:dyDescent="0.2"/>
    <row r="515" ht="9.9499999999999993" customHeight="1" x14ac:dyDescent="0.2"/>
    <row r="516" ht="9.9499999999999993" customHeight="1" x14ac:dyDescent="0.2"/>
    <row r="517" ht="9.9499999999999993" customHeight="1" x14ac:dyDescent="0.2"/>
    <row r="518" ht="9.9499999999999993" customHeight="1" x14ac:dyDescent="0.2"/>
    <row r="519" ht="9.9499999999999993" customHeight="1" x14ac:dyDescent="0.2"/>
    <row r="520" ht="9.9499999999999993" customHeight="1" x14ac:dyDescent="0.2"/>
    <row r="521" ht="9.9499999999999993" customHeight="1" x14ac:dyDescent="0.2"/>
    <row r="522" ht="9.9499999999999993" customHeight="1" x14ac:dyDescent="0.2"/>
    <row r="523" ht="9.9499999999999993" customHeight="1" x14ac:dyDescent="0.2"/>
    <row r="524" ht="9.9499999999999993" customHeight="1" x14ac:dyDescent="0.2"/>
  </sheetData>
  <mergeCells count="15">
    <mergeCell ref="A6:G6"/>
    <mergeCell ref="A7:G7"/>
    <mergeCell ref="A8:G8"/>
    <mergeCell ref="A12:F12"/>
    <mergeCell ref="E15:F15"/>
    <mergeCell ref="D61:G61"/>
    <mergeCell ref="A28:C28"/>
    <mergeCell ref="E28:F28"/>
    <mergeCell ref="E32:F32"/>
    <mergeCell ref="D60:G60"/>
    <mergeCell ref="E34:F34"/>
    <mergeCell ref="E36:F36"/>
    <mergeCell ref="D53:G53"/>
    <mergeCell ref="A44:C44"/>
    <mergeCell ref="D54:G54"/>
  </mergeCells>
  <pageMargins left="0.7" right="0.7" top="0.75" bottom="0.75" header="0.3" footer="0.3"/>
  <pageSetup scale="58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Views>
    <sheetView view="pageBreakPreview" zoomScale="96" zoomScaleNormal="100" zoomScaleSheetLayoutView="96" workbookViewId="0">
      <selection activeCell="E9" sqref="E9"/>
    </sheetView>
  </sheetViews>
  <sheetFormatPr baseColWidth="10" defaultRowHeight="15" x14ac:dyDescent="0.25"/>
  <cols>
    <col min="1" max="1" width="20.85546875" customWidth="1"/>
    <col min="2" max="2" width="26.85546875" style="46" customWidth="1"/>
    <col min="3" max="3" width="12.28515625" customWidth="1"/>
    <col min="4" max="4" width="23" customWidth="1"/>
    <col min="5" max="5" width="21.5703125" bestFit="1" customWidth="1"/>
    <col min="6" max="6" width="17.28515625" style="81" bestFit="1" customWidth="1"/>
    <col min="7" max="7" width="13.85546875" style="290" bestFit="1" customWidth="1"/>
    <col min="8" max="8" width="12" style="290" bestFit="1" customWidth="1"/>
  </cols>
  <sheetData>
    <row r="1" spans="1:6" x14ac:dyDescent="0.25">
      <c r="B1"/>
      <c r="E1" s="290"/>
    </row>
    <row r="2" spans="1:6" x14ac:dyDescent="0.25">
      <c r="B2"/>
      <c r="E2" s="290"/>
    </row>
    <row r="3" spans="1:6" ht="23.25" x14ac:dyDescent="0.35">
      <c r="A3" s="947" t="s">
        <v>3800</v>
      </c>
      <c r="B3" s="947"/>
      <c r="C3" s="947"/>
      <c r="D3" s="947"/>
      <c r="E3" s="947"/>
    </row>
    <row r="4" spans="1:6" ht="18.75" x14ac:dyDescent="0.3">
      <c r="A4" s="937" t="s">
        <v>4168</v>
      </c>
      <c r="B4" s="937"/>
      <c r="C4" s="937"/>
      <c r="D4" s="937"/>
      <c r="E4" s="937"/>
    </row>
    <row r="5" spans="1:6" ht="18.75" x14ac:dyDescent="0.3">
      <c r="A5" s="899"/>
      <c r="B5" s="899"/>
      <c r="C5" s="899"/>
      <c r="D5" s="899"/>
      <c r="E5" s="814"/>
    </row>
    <row r="6" spans="1:6" x14ac:dyDescent="0.25">
      <c r="A6" s="1014" t="s">
        <v>3801</v>
      </c>
      <c r="B6" s="1014"/>
      <c r="C6" s="1014"/>
      <c r="D6" s="1014"/>
      <c r="E6" s="1014"/>
    </row>
    <row r="7" spans="1:6" ht="15.75" thickBot="1" x14ac:dyDescent="0.3">
      <c r="A7" s="1035" t="s">
        <v>4243</v>
      </c>
      <c r="B7" s="1035"/>
      <c r="C7" s="1035"/>
      <c r="D7" s="1035"/>
      <c r="E7" s="1035"/>
      <c r="F7" s="687"/>
    </row>
    <row r="8" spans="1:6" ht="30" x14ac:dyDescent="0.25">
      <c r="A8" s="815" t="s">
        <v>4219</v>
      </c>
      <c r="B8" s="816" t="s">
        <v>991</v>
      </c>
      <c r="C8" s="816" t="s">
        <v>4170</v>
      </c>
      <c r="D8" s="817" t="s">
        <v>3803</v>
      </c>
      <c r="E8" s="818" t="s">
        <v>3804</v>
      </c>
    </row>
    <row r="9" spans="1:6" x14ac:dyDescent="0.25">
      <c r="A9" s="1036" t="s">
        <v>4172</v>
      </c>
      <c r="B9" s="819" t="s">
        <v>4173</v>
      </c>
      <c r="C9" s="820"/>
      <c r="D9" s="821"/>
      <c r="E9" s="822">
        <f>4931430+462506+79621891.83</f>
        <v>85015827.829999998</v>
      </c>
    </row>
    <row r="10" spans="1:6" x14ac:dyDescent="0.25">
      <c r="A10" s="1037"/>
      <c r="B10" s="686" t="s">
        <v>4220</v>
      </c>
      <c r="C10" s="877"/>
      <c r="D10" s="878"/>
      <c r="E10" s="304">
        <v>12593841.17</v>
      </c>
    </row>
    <row r="11" spans="1:6" x14ac:dyDescent="0.25">
      <c r="A11" s="1038"/>
      <c r="B11" s="686" t="s">
        <v>4221</v>
      </c>
      <c r="C11" s="877"/>
      <c r="D11" s="878"/>
      <c r="E11" s="304">
        <v>3169632.08</v>
      </c>
    </row>
    <row r="12" spans="1:6" x14ac:dyDescent="0.25">
      <c r="A12" s="1016" t="s">
        <v>4174</v>
      </c>
      <c r="B12" s="1016"/>
      <c r="C12" s="823"/>
      <c r="D12" s="823"/>
      <c r="E12" s="824">
        <f>SUM(E9:E11)</f>
        <v>100779301.08</v>
      </c>
    </row>
    <row r="13" spans="1:6" x14ac:dyDescent="0.25">
      <c r="A13" s="1020"/>
      <c r="B13" s="305" t="s">
        <v>4222</v>
      </c>
      <c r="C13" s="302">
        <v>45748</v>
      </c>
      <c r="D13" s="825"/>
      <c r="E13" s="303">
        <v>50000</v>
      </c>
    </row>
    <row r="14" spans="1:6" x14ac:dyDescent="0.25">
      <c r="A14" s="1020"/>
      <c r="B14" s="305" t="s">
        <v>4222</v>
      </c>
      <c r="C14" s="302">
        <v>45750</v>
      </c>
      <c r="D14" s="825"/>
      <c r="E14" s="303">
        <v>50000</v>
      </c>
    </row>
    <row r="15" spans="1:6" x14ac:dyDescent="0.25">
      <c r="A15" s="1020"/>
      <c r="B15" s="305" t="s">
        <v>4147</v>
      </c>
      <c r="C15" s="302">
        <v>45748</v>
      </c>
      <c r="D15" s="827"/>
      <c r="E15" s="303">
        <v>2942930.33</v>
      </c>
    </row>
    <row r="16" spans="1:6" x14ac:dyDescent="0.25">
      <c r="A16" s="1020"/>
      <c r="B16" s="305" t="s">
        <v>1012</v>
      </c>
      <c r="C16" s="302">
        <v>45754</v>
      </c>
      <c r="D16" s="827"/>
      <c r="E16" s="303">
        <v>73057.08</v>
      </c>
    </row>
    <row r="17" spans="1:8" x14ac:dyDescent="0.25">
      <c r="A17" s="1020"/>
      <c r="B17" s="305" t="s">
        <v>4175</v>
      </c>
      <c r="C17" s="1054">
        <v>45756</v>
      </c>
      <c r="D17" s="821"/>
      <c r="E17" s="822">
        <v>10949.64</v>
      </c>
    </row>
    <row r="18" spans="1:8" x14ac:dyDescent="0.25">
      <c r="A18" s="1020"/>
      <c r="B18" s="830" t="s">
        <v>3749</v>
      </c>
      <c r="C18" s="302">
        <v>45757</v>
      </c>
      <c r="D18" s="305"/>
      <c r="E18" s="303">
        <v>19489.759999999998</v>
      </c>
    </row>
    <row r="19" spans="1:8" x14ac:dyDescent="0.25">
      <c r="A19" s="1020"/>
      <c r="B19" s="830" t="s">
        <v>3750</v>
      </c>
      <c r="C19" s="302">
        <v>45758</v>
      </c>
      <c r="D19" s="305"/>
      <c r="E19" s="303">
        <v>22435.77</v>
      </c>
    </row>
    <row r="20" spans="1:8" x14ac:dyDescent="0.25">
      <c r="A20" s="1020"/>
      <c r="B20" s="305" t="s">
        <v>4175</v>
      </c>
      <c r="C20" s="302">
        <v>45762</v>
      </c>
      <c r="D20" s="305"/>
      <c r="E20" s="303">
        <v>2326714.9500000002</v>
      </c>
    </row>
    <row r="21" spans="1:8" x14ac:dyDescent="0.25">
      <c r="A21" s="1020"/>
      <c r="B21" s="305" t="s">
        <v>1014</v>
      </c>
      <c r="C21" s="302">
        <v>45762</v>
      </c>
      <c r="D21" s="305"/>
      <c r="E21" s="303">
        <v>28868.13</v>
      </c>
    </row>
    <row r="22" spans="1:8" x14ac:dyDescent="0.25">
      <c r="A22" s="1020"/>
      <c r="B22" s="830" t="s">
        <v>4244</v>
      </c>
      <c r="C22" s="302">
        <v>45763</v>
      </c>
      <c r="D22" s="305"/>
      <c r="E22" s="303">
        <v>51140.7</v>
      </c>
    </row>
    <row r="23" spans="1:8" x14ac:dyDescent="0.25">
      <c r="A23" s="1020"/>
      <c r="B23" s="830" t="s">
        <v>4244</v>
      </c>
      <c r="C23" s="302">
        <v>45763</v>
      </c>
      <c r="D23" s="305"/>
      <c r="E23" s="303">
        <v>129754.16</v>
      </c>
    </row>
    <row r="24" spans="1:8" x14ac:dyDescent="0.25">
      <c r="A24" s="1020"/>
      <c r="B24" s="830" t="s">
        <v>4244</v>
      </c>
      <c r="C24" s="302">
        <v>45763</v>
      </c>
      <c r="D24" s="305"/>
      <c r="E24" s="879">
        <v>6696.74</v>
      </c>
      <c r="F24" s="687"/>
      <c r="H24"/>
    </row>
    <row r="25" spans="1:8" x14ac:dyDescent="0.25">
      <c r="A25" s="1020"/>
      <c r="B25" s="830" t="s">
        <v>1014</v>
      </c>
      <c r="C25" s="302">
        <v>45771</v>
      </c>
      <c r="D25" s="305"/>
      <c r="E25" s="879">
        <v>6393.05</v>
      </c>
      <c r="H25"/>
    </row>
    <row r="26" spans="1:8" x14ac:dyDescent="0.25">
      <c r="A26" s="1020"/>
      <c r="B26" s="830" t="s">
        <v>3746</v>
      </c>
      <c r="C26" s="302">
        <v>45771</v>
      </c>
      <c r="D26" s="305"/>
      <c r="E26" s="879">
        <v>6619.63</v>
      </c>
      <c r="H26"/>
    </row>
    <row r="27" spans="1:8" x14ac:dyDescent="0.25">
      <c r="A27" s="1020"/>
      <c r="B27" s="830" t="s">
        <v>3747</v>
      </c>
      <c r="C27" s="302">
        <v>45776</v>
      </c>
      <c r="D27" s="305"/>
      <c r="E27" s="879">
        <v>388735.9</v>
      </c>
      <c r="H27"/>
    </row>
    <row r="28" spans="1:8" x14ac:dyDescent="0.25">
      <c r="A28" s="1020"/>
      <c r="B28" s="830" t="s">
        <v>4214</v>
      </c>
      <c r="C28" s="302">
        <v>45775</v>
      </c>
      <c r="D28" s="305"/>
      <c r="E28" s="879">
        <v>97704.2</v>
      </c>
      <c r="G28" s="295"/>
      <c r="H28"/>
    </row>
    <row r="29" spans="1:8" x14ac:dyDescent="0.25">
      <c r="A29" s="1020"/>
      <c r="B29" s="830" t="s">
        <v>4223</v>
      </c>
      <c r="C29" s="302">
        <v>45775</v>
      </c>
      <c r="D29" s="305"/>
      <c r="E29" s="879">
        <v>534014.43000000005</v>
      </c>
      <c r="F29" s="92"/>
      <c r="G29" s="295"/>
      <c r="H29"/>
    </row>
    <row r="30" spans="1:8" x14ac:dyDescent="0.25">
      <c r="A30" s="1020"/>
      <c r="B30" s="830" t="s">
        <v>3751</v>
      </c>
      <c r="C30" s="302">
        <v>45775</v>
      </c>
      <c r="D30" s="305"/>
      <c r="E30" s="879">
        <v>146560.32000000001</v>
      </c>
      <c r="G30" s="295"/>
      <c r="H30"/>
    </row>
    <row r="31" spans="1:8" x14ac:dyDescent="0.25">
      <c r="A31" s="904"/>
      <c r="B31" s="880" t="s">
        <v>4178</v>
      </c>
      <c r="C31" s="881"/>
      <c r="D31" s="881"/>
      <c r="E31" s="882"/>
      <c r="G31"/>
      <c r="H31"/>
    </row>
    <row r="32" spans="1:8" ht="15" customHeight="1" x14ac:dyDescent="0.25">
      <c r="A32" s="1016" t="s">
        <v>4174</v>
      </c>
      <c r="B32" s="1016"/>
      <c r="C32" s="823"/>
      <c r="D32" s="823"/>
      <c r="E32" s="824">
        <f>SUM(E13:E31)</f>
        <v>6892064.790000001</v>
      </c>
      <c r="G32"/>
      <c r="H32"/>
    </row>
    <row r="33" spans="1:8" x14ac:dyDescent="0.25">
      <c r="A33" s="1028" t="s">
        <v>4225</v>
      </c>
      <c r="B33" s="305" t="s">
        <v>4179</v>
      </c>
      <c r="C33" s="1030" t="s">
        <v>4226</v>
      </c>
      <c r="D33" s="1031"/>
      <c r="E33" s="1032"/>
      <c r="G33"/>
      <c r="H33"/>
    </row>
    <row r="34" spans="1:8" ht="45" x14ac:dyDescent="0.25">
      <c r="A34" s="1020"/>
      <c r="B34" s="883" t="s">
        <v>4227</v>
      </c>
      <c r="C34" s="884" t="s">
        <v>4245</v>
      </c>
      <c r="D34" s="885"/>
      <c r="E34" s="886">
        <v>214750</v>
      </c>
      <c r="G34"/>
      <c r="H34"/>
    </row>
    <row r="35" spans="1:8" x14ac:dyDescent="0.25">
      <c r="A35" s="1020"/>
      <c r="B35" s="887" t="s">
        <v>4180</v>
      </c>
      <c r="C35" s="887"/>
      <c r="D35" s="885"/>
      <c r="E35" s="304"/>
      <c r="G35"/>
      <c r="H35"/>
    </row>
    <row r="36" spans="1:8" ht="30" x14ac:dyDescent="0.25">
      <c r="A36" s="1020"/>
      <c r="B36" s="888" t="s">
        <v>3807</v>
      </c>
      <c r="C36" s="887"/>
      <c r="D36" s="885"/>
      <c r="E36" s="304"/>
      <c r="G36"/>
      <c r="H36"/>
    </row>
    <row r="37" spans="1:8" ht="60" x14ac:dyDescent="0.25">
      <c r="A37" s="1020"/>
      <c r="B37" s="888" t="s">
        <v>4182</v>
      </c>
      <c r="C37" s="884"/>
      <c r="D37" s="885"/>
      <c r="E37" s="889"/>
      <c r="G37"/>
      <c r="H37"/>
    </row>
    <row r="38" spans="1:8" ht="15" customHeight="1" x14ac:dyDescent="0.25">
      <c r="A38" s="1029"/>
      <c r="B38" s="890" t="s">
        <v>4183</v>
      </c>
      <c r="C38" s="884"/>
      <c r="D38" s="885"/>
      <c r="E38" s="889"/>
      <c r="G38"/>
      <c r="H38"/>
    </row>
    <row r="39" spans="1:8" x14ac:dyDescent="0.25">
      <c r="A39" s="1021" t="s">
        <v>4174</v>
      </c>
      <c r="B39" s="1022"/>
      <c r="C39" s="823"/>
      <c r="D39" s="823"/>
      <c r="E39" s="824">
        <f>SUM(E33:E36)</f>
        <v>214750</v>
      </c>
      <c r="G39"/>
      <c r="H39"/>
    </row>
    <row r="40" spans="1:8" x14ac:dyDescent="0.25">
      <c r="A40" s="1023" t="s">
        <v>4184</v>
      </c>
      <c r="B40" s="1024"/>
      <c r="C40" s="837"/>
      <c r="D40" s="837"/>
      <c r="E40" s="838">
        <f>E32+E39+E12</f>
        <v>107886115.87</v>
      </c>
      <c r="G40"/>
      <c r="H40"/>
    </row>
    <row r="41" spans="1:8" x14ac:dyDescent="0.25">
      <c r="A41" s="839"/>
      <c r="B41" s="839"/>
      <c r="C41" s="840"/>
      <c r="D41" s="840"/>
      <c r="E41" s="841"/>
      <c r="G41"/>
      <c r="H41"/>
    </row>
    <row r="42" spans="1:8" x14ac:dyDescent="0.25">
      <c r="A42" s="839"/>
      <c r="B42" s="839"/>
      <c r="C42" s="840"/>
      <c r="D42" s="840"/>
      <c r="E42" s="841"/>
      <c r="G42"/>
      <c r="H42"/>
    </row>
    <row r="43" spans="1:8" x14ac:dyDescent="0.25">
      <c r="G43"/>
      <c r="H43"/>
    </row>
    <row r="44" spans="1:8" x14ac:dyDescent="0.25">
      <c r="G44"/>
      <c r="H44"/>
    </row>
  </sheetData>
  <mergeCells count="12">
    <mergeCell ref="A39:B39"/>
    <mergeCell ref="A40:B40"/>
    <mergeCell ref="A9:A11"/>
    <mergeCell ref="A12:B12"/>
    <mergeCell ref="A13:A30"/>
    <mergeCell ref="A32:B32"/>
    <mergeCell ref="A33:A38"/>
    <mergeCell ref="C33:E33"/>
    <mergeCell ref="A3:E3"/>
    <mergeCell ref="A4:E4"/>
    <mergeCell ref="A6:E6"/>
    <mergeCell ref="A7:E7"/>
  </mergeCells>
  <pageMargins left="0.7" right="0.7" top="0.75" bottom="0.75" header="0.3" footer="0.3"/>
  <pageSetup scale="74"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53"/>
  <sheetViews>
    <sheetView view="pageBreakPreview" topLeftCell="A6" zoomScale="60" zoomScaleNormal="100" workbookViewId="0">
      <selection activeCell="E33" sqref="E33:E34"/>
    </sheetView>
  </sheetViews>
  <sheetFormatPr baseColWidth="10" defaultRowHeight="15" x14ac:dyDescent="0.25"/>
  <cols>
    <col min="2" max="2" width="42.28515625" customWidth="1"/>
    <col min="3" max="3" width="20.140625" customWidth="1"/>
    <col min="4" max="4" width="21.42578125" customWidth="1"/>
    <col min="5" max="5" width="45.7109375" style="290" customWidth="1"/>
  </cols>
  <sheetData>
    <row r="3" spans="1:8" ht="23.25" x14ac:dyDescent="0.35">
      <c r="A3" s="947" t="s">
        <v>3800</v>
      </c>
      <c r="B3" s="947"/>
      <c r="C3" s="947"/>
      <c r="D3" s="947"/>
      <c r="E3" s="947"/>
    </row>
    <row r="4" spans="1:8" ht="18.75" x14ac:dyDescent="0.3">
      <c r="A4" s="937" t="s">
        <v>4168</v>
      </c>
      <c r="B4" s="937"/>
      <c r="C4" s="937"/>
      <c r="D4" s="937"/>
      <c r="E4" s="937"/>
    </row>
    <row r="5" spans="1:8" ht="18.75" x14ac:dyDescent="0.3">
      <c r="A5" s="792"/>
      <c r="B5" s="792"/>
      <c r="C5" s="792"/>
      <c r="D5" s="792"/>
      <c r="E5" s="814"/>
    </row>
    <row r="6" spans="1:8" x14ac:dyDescent="0.25">
      <c r="A6" s="1014" t="s">
        <v>3801</v>
      </c>
      <c r="B6" s="1014"/>
      <c r="C6" s="1014"/>
      <c r="D6" s="1014"/>
      <c r="E6" s="1014"/>
    </row>
    <row r="7" spans="1:8" ht="15.75" thickBot="1" x14ac:dyDescent="0.3">
      <c r="A7" s="1015" t="s">
        <v>4169</v>
      </c>
      <c r="B7" s="1015"/>
      <c r="C7" s="1015"/>
      <c r="D7" s="1015"/>
      <c r="E7" s="1015"/>
    </row>
    <row r="8" spans="1:8" ht="30" x14ac:dyDescent="0.25">
      <c r="A8" s="815" t="s">
        <v>3802</v>
      </c>
      <c r="B8" s="816" t="s">
        <v>991</v>
      </c>
      <c r="C8" s="816" t="s">
        <v>4170</v>
      </c>
      <c r="D8" s="817" t="s">
        <v>3803</v>
      </c>
      <c r="E8" s="818" t="s">
        <v>4171</v>
      </c>
    </row>
    <row r="9" spans="1:8" x14ac:dyDescent="0.25">
      <c r="A9" s="470" t="s">
        <v>4172</v>
      </c>
      <c r="B9" s="819" t="s">
        <v>4173</v>
      </c>
      <c r="C9" s="820"/>
      <c r="D9" s="821"/>
      <c r="E9" s="822">
        <v>84553321.829999998</v>
      </c>
    </row>
    <row r="10" spans="1:8" x14ac:dyDescent="0.25">
      <c r="A10" s="470"/>
      <c r="B10" s="819" t="s">
        <v>3805</v>
      </c>
      <c r="C10" s="820"/>
      <c r="D10" s="821"/>
      <c r="E10" s="822">
        <f>+'[4]CONS. FUENTES FINAN'!G15</f>
        <v>100316795.08</v>
      </c>
    </row>
    <row r="11" spans="1:8" x14ac:dyDescent="0.25">
      <c r="A11" s="1016" t="s">
        <v>4174</v>
      </c>
      <c r="B11" s="1016"/>
      <c r="C11" s="823"/>
      <c r="D11" s="823"/>
      <c r="E11" s="824">
        <f>SUM(E9:E10)</f>
        <v>184870116.91</v>
      </c>
    </row>
    <row r="12" spans="1:8" x14ac:dyDescent="0.25">
      <c r="A12" s="1017" t="s">
        <v>3806</v>
      </c>
      <c r="B12" s="305" t="s">
        <v>4147</v>
      </c>
      <c r="C12" s="293">
        <v>45693</v>
      </c>
      <c r="D12" s="825"/>
      <c r="E12" s="303">
        <f>3928001.9+9500+1904171.25</f>
        <v>5841673.1500000004</v>
      </c>
      <c r="H12" s="826"/>
    </row>
    <row r="13" spans="1:8" x14ac:dyDescent="0.25">
      <c r="A13" s="1018"/>
      <c r="B13" s="305" t="s">
        <v>4175</v>
      </c>
      <c r="C13" s="293">
        <v>45694</v>
      </c>
      <c r="D13" s="827"/>
      <c r="E13" s="303">
        <v>2152926.5099999998</v>
      </c>
      <c r="H13" s="826"/>
    </row>
    <row r="14" spans="1:8" s="367" customFormat="1" x14ac:dyDescent="0.25">
      <c r="A14" s="1018"/>
      <c r="B14" s="828" t="s">
        <v>4176</v>
      </c>
      <c r="C14" s="820"/>
      <c r="D14" s="821"/>
      <c r="E14" s="822"/>
      <c r="H14" s="829"/>
    </row>
    <row r="15" spans="1:8" x14ac:dyDescent="0.25">
      <c r="A15" s="1018"/>
      <c r="B15" s="830" t="s">
        <v>3752</v>
      </c>
      <c r="C15" s="293">
        <v>45706</v>
      </c>
      <c r="D15" s="305"/>
      <c r="E15" s="303">
        <v>272552.44</v>
      </c>
    </row>
    <row r="16" spans="1:8" x14ac:dyDescent="0.25">
      <c r="A16" s="1018"/>
      <c r="B16" s="830" t="s">
        <v>1011</v>
      </c>
      <c r="C16" s="293">
        <v>45709</v>
      </c>
      <c r="D16" s="305"/>
      <c r="E16" s="303">
        <v>8262.07</v>
      </c>
    </row>
    <row r="17" spans="1:5" x14ac:dyDescent="0.25">
      <c r="A17" s="1018"/>
      <c r="B17" s="830" t="s">
        <v>1018</v>
      </c>
      <c r="C17" s="293">
        <v>45698</v>
      </c>
      <c r="D17" s="305"/>
      <c r="E17" s="303">
        <v>4869.5200000000004</v>
      </c>
    </row>
    <row r="18" spans="1:5" x14ac:dyDescent="0.25">
      <c r="A18" s="1018"/>
      <c r="B18" s="830" t="s">
        <v>1022</v>
      </c>
      <c r="C18" s="293">
        <v>45714</v>
      </c>
      <c r="D18" s="305"/>
      <c r="E18" s="303">
        <v>7848.94</v>
      </c>
    </row>
    <row r="19" spans="1:5" x14ac:dyDescent="0.25">
      <c r="A19" s="1018"/>
      <c r="B19" s="830" t="s">
        <v>1026</v>
      </c>
      <c r="C19" s="293">
        <v>45714</v>
      </c>
      <c r="D19" s="305"/>
      <c r="E19" s="303">
        <v>41071.9</v>
      </c>
    </row>
    <row r="20" spans="1:5" x14ac:dyDescent="0.25">
      <c r="A20" s="1018"/>
      <c r="B20" s="830" t="s">
        <v>4144</v>
      </c>
      <c r="C20" s="293">
        <v>45716</v>
      </c>
      <c r="D20" s="305"/>
      <c r="E20" s="303">
        <v>9531.6</v>
      </c>
    </row>
    <row r="21" spans="1:5" x14ac:dyDescent="0.25">
      <c r="A21" s="1018"/>
      <c r="B21" s="830" t="s">
        <v>1010</v>
      </c>
      <c r="C21" s="293">
        <v>45709</v>
      </c>
      <c r="D21" s="305"/>
      <c r="E21" s="303">
        <v>97648.3</v>
      </c>
    </row>
    <row r="22" spans="1:5" x14ac:dyDescent="0.25">
      <c r="A22" s="1018"/>
      <c r="B22" s="830" t="s">
        <v>4177</v>
      </c>
      <c r="C22" s="293">
        <v>45709</v>
      </c>
      <c r="D22" s="305"/>
      <c r="E22" s="303">
        <f>836513.99+34076.26</f>
        <v>870590.25</v>
      </c>
    </row>
    <row r="23" spans="1:5" x14ac:dyDescent="0.25">
      <c r="A23" s="1019"/>
      <c r="B23" s="830" t="s">
        <v>2182</v>
      </c>
      <c r="C23" s="293">
        <v>45712</v>
      </c>
      <c r="D23" s="305"/>
      <c r="E23" s="303">
        <v>31949.94</v>
      </c>
    </row>
    <row r="24" spans="1:5" x14ac:dyDescent="0.25">
      <c r="A24" s="831"/>
      <c r="B24" s="832" t="s">
        <v>4178</v>
      </c>
      <c r="C24" s="828"/>
      <c r="D24" s="828"/>
      <c r="E24" s="822"/>
    </row>
    <row r="25" spans="1:5" x14ac:dyDescent="0.25">
      <c r="A25" s="1016" t="s">
        <v>4174</v>
      </c>
      <c r="B25" s="1016"/>
      <c r="C25" s="823"/>
      <c r="D25" s="823"/>
      <c r="E25" s="824">
        <f>SUM(E12:E24)</f>
        <v>9338924.620000001</v>
      </c>
    </row>
    <row r="26" spans="1:5" x14ac:dyDescent="0.25">
      <c r="A26" s="1020"/>
      <c r="B26" s="305" t="s">
        <v>4179</v>
      </c>
      <c r="C26" s="305"/>
      <c r="D26" s="827"/>
      <c r="E26" s="303">
        <v>0</v>
      </c>
    </row>
    <row r="27" spans="1:5" x14ac:dyDescent="0.25">
      <c r="A27" s="1020"/>
      <c r="B27" s="305" t="s">
        <v>4180</v>
      </c>
      <c r="C27" s="305"/>
      <c r="D27" s="827"/>
      <c r="E27" s="303">
        <v>0</v>
      </c>
    </row>
    <row r="28" spans="1:5" ht="30" x14ac:dyDescent="0.25">
      <c r="A28" s="1020"/>
      <c r="B28" s="688" t="s">
        <v>4181</v>
      </c>
      <c r="C28" s="305"/>
      <c r="D28" s="827"/>
      <c r="E28" s="303">
        <v>20000</v>
      </c>
    </row>
    <row r="29" spans="1:5" ht="45" x14ac:dyDescent="0.25">
      <c r="A29" s="833"/>
      <c r="B29" s="834" t="s">
        <v>4182</v>
      </c>
      <c r="C29" s="835"/>
      <c r="D29" s="821"/>
      <c r="E29" s="836">
        <v>190100</v>
      </c>
    </row>
    <row r="30" spans="1:5" ht="15.75" x14ac:dyDescent="0.25">
      <c r="A30" s="833"/>
      <c r="B30" s="689" t="s">
        <v>4183</v>
      </c>
      <c r="C30" s="835"/>
      <c r="D30" s="827"/>
      <c r="E30" s="836"/>
    </row>
    <row r="31" spans="1:5" x14ac:dyDescent="0.25">
      <c r="A31" s="1021" t="s">
        <v>4174</v>
      </c>
      <c r="B31" s="1022"/>
      <c r="C31" s="823"/>
      <c r="D31" s="823"/>
      <c r="E31" s="824">
        <f>SUM(E26:E30)</f>
        <v>210100</v>
      </c>
    </row>
    <row r="32" spans="1:5" x14ac:dyDescent="0.25">
      <c r="A32" s="1023" t="s">
        <v>4184</v>
      </c>
      <c r="B32" s="1024"/>
      <c r="C32" s="837"/>
      <c r="D32" s="837"/>
      <c r="E32" s="838">
        <f>E25+E31+E11</f>
        <v>194419141.53</v>
      </c>
    </row>
    <row r="33" spans="1:5" x14ac:dyDescent="0.25">
      <c r="A33" s="839"/>
      <c r="B33" s="839"/>
      <c r="C33" s="840"/>
      <c r="D33" s="840"/>
      <c r="E33" s="841"/>
    </row>
    <row r="34" spans="1:5" x14ac:dyDescent="0.25">
      <c r="A34" s="839"/>
      <c r="B34" s="839"/>
      <c r="C34" s="840"/>
      <c r="D34" s="840"/>
      <c r="E34" s="841"/>
    </row>
    <row r="35" spans="1:5" x14ac:dyDescent="0.25">
      <c r="A35" s="427"/>
    </row>
    <row r="36" spans="1:5" x14ac:dyDescent="0.25">
      <c r="A36" s="427"/>
    </row>
    <row r="37" spans="1:5" x14ac:dyDescent="0.25">
      <c r="A37" s="1025" t="s">
        <v>4185</v>
      </c>
      <c r="B37" s="1025"/>
      <c r="C37" s="1025"/>
      <c r="D37" s="1025"/>
      <c r="E37" s="1025"/>
    </row>
    <row r="38" spans="1:5" x14ac:dyDescent="0.25">
      <c r="A38" s="1025"/>
      <c r="B38" s="1025"/>
      <c r="C38" s="1025"/>
      <c r="D38" s="1025"/>
      <c r="E38" s="1025"/>
    </row>
    <row r="39" spans="1:5" x14ac:dyDescent="0.25">
      <c r="A39" s="1013" t="s">
        <v>4186</v>
      </c>
      <c r="B39" s="1013"/>
      <c r="C39" s="1013"/>
      <c r="D39" s="1013"/>
      <c r="E39" s="1013"/>
    </row>
    <row r="40" spans="1:5" x14ac:dyDescent="0.25">
      <c r="A40" s="793"/>
      <c r="B40" s="793"/>
      <c r="C40" s="793"/>
      <c r="D40" s="793"/>
      <c r="E40" s="842"/>
    </row>
    <row r="42" spans="1:5" x14ac:dyDescent="0.25">
      <c r="A42" s="928"/>
      <c r="B42" s="928"/>
      <c r="D42" s="928"/>
      <c r="E42" s="928"/>
    </row>
    <row r="43" spans="1:5" x14ac:dyDescent="0.25">
      <c r="A43" s="928" t="s">
        <v>430</v>
      </c>
      <c r="B43" s="928"/>
      <c r="D43" s="928" t="s">
        <v>1722</v>
      </c>
      <c r="E43" s="928"/>
    </row>
    <row r="46" spans="1:5" x14ac:dyDescent="0.25">
      <c r="A46" s="941"/>
      <c r="B46" s="941"/>
      <c r="D46" s="941"/>
      <c r="E46" s="941"/>
    </row>
    <row r="47" spans="1:5" x14ac:dyDescent="0.25">
      <c r="A47" s="1026"/>
      <c r="B47" s="1026"/>
      <c r="D47" s="1026"/>
      <c r="E47" s="1026"/>
    </row>
    <row r="48" spans="1:5" x14ac:dyDescent="0.25">
      <c r="A48" s="796"/>
      <c r="B48" s="796"/>
    </row>
    <row r="49" spans="1:5" x14ac:dyDescent="0.25">
      <c r="A49" s="928" t="s">
        <v>4187</v>
      </c>
      <c r="B49" s="928"/>
      <c r="C49" s="928"/>
      <c r="D49" s="928"/>
      <c r="E49" s="928"/>
    </row>
    <row r="50" spans="1:5" x14ac:dyDescent="0.25">
      <c r="A50" s="791"/>
      <c r="B50" s="791" t="s">
        <v>4188</v>
      </c>
      <c r="C50" s="791"/>
      <c r="D50" s="791"/>
      <c r="E50" s="843"/>
    </row>
    <row r="52" spans="1:5" x14ac:dyDescent="0.25">
      <c r="A52" s="1027"/>
      <c r="B52" s="1027"/>
      <c r="C52" s="1027"/>
      <c r="D52" s="1027"/>
      <c r="E52" s="1027"/>
    </row>
    <row r="53" spans="1:5" x14ac:dyDescent="0.25">
      <c r="A53" s="928"/>
      <c r="B53" s="928"/>
      <c r="C53" s="928"/>
      <c r="D53" s="928"/>
      <c r="E53" s="928"/>
    </row>
  </sheetData>
  <mergeCells count="23">
    <mergeCell ref="A47:B47"/>
    <mergeCell ref="D47:E47"/>
    <mergeCell ref="A49:E49"/>
    <mergeCell ref="A52:E52"/>
    <mergeCell ref="A53:E53"/>
    <mergeCell ref="A42:B42"/>
    <mergeCell ref="D42:E42"/>
    <mergeCell ref="A43:B43"/>
    <mergeCell ref="D43:E43"/>
    <mergeCell ref="A46:B46"/>
    <mergeCell ref="D46:E46"/>
    <mergeCell ref="A39:E39"/>
    <mergeCell ref="A3:E3"/>
    <mergeCell ref="A4:E4"/>
    <mergeCell ref="A6:E6"/>
    <mergeCell ref="A7:E7"/>
    <mergeCell ref="A11:B11"/>
    <mergeCell ref="A12:A23"/>
    <mergeCell ref="A25:B25"/>
    <mergeCell ref="A26:A28"/>
    <mergeCell ref="A31:B31"/>
    <mergeCell ref="A32:B32"/>
    <mergeCell ref="A37:E38"/>
  </mergeCells>
  <pageMargins left="0.7" right="0.7" top="0.75" bottom="0.75" header="0.3" footer="0.3"/>
  <pageSetup scale="64" orientation="portrait" verticalDpi="0" r:id="rId1"/>
  <colBreaks count="1" manualBreakCount="1">
    <brk id="5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63"/>
  <sheetViews>
    <sheetView view="pageBreakPreview" topLeftCell="A33" zoomScale="60" zoomScaleNormal="100" workbookViewId="0">
      <selection activeCell="I43" sqref="I43"/>
    </sheetView>
  </sheetViews>
  <sheetFormatPr baseColWidth="10" defaultRowHeight="15" x14ac:dyDescent="0.25"/>
  <cols>
    <col min="1" max="1" width="19.85546875" customWidth="1"/>
    <col min="2" max="2" width="43" customWidth="1"/>
    <col min="3" max="3" width="25.42578125" customWidth="1"/>
    <col min="4" max="4" width="20.85546875" customWidth="1"/>
    <col min="5" max="5" width="31" style="290" customWidth="1"/>
    <col min="6" max="6" width="13.140625" bestFit="1" customWidth="1"/>
  </cols>
  <sheetData>
    <row r="3" spans="1:7" ht="23.25" x14ac:dyDescent="0.35">
      <c r="A3" s="947" t="s">
        <v>3800</v>
      </c>
      <c r="B3" s="947"/>
      <c r="C3" s="947"/>
      <c r="D3" s="947"/>
      <c r="E3" s="947"/>
    </row>
    <row r="4" spans="1:7" ht="18.75" x14ac:dyDescent="0.3">
      <c r="A4" s="937" t="s">
        <v>4168</v>
      </c>
      <c r="B4" s="937"/>
      <c r="C4" s="937"/>
      <c r="D4" s="937"/>
      <c r="E4" s="937"/>
    </row>
    <row r="5" spans="1:7" ht="18.75" x14ac:dyDescent="0.3">
      <c r="A5" s="810"/>
      <c r="B5" s="810"/>
      <c r="C5" s="810"/>
      <c r="D5" s="810"/>
      <c r="E5" s="814"/>
    </row>
    <row r="6" spans="1:7" x14ac:dyDescent="0.25">
      <c r="A6" s="1014" t="s">
        <v>3801</v>
      </c>
      <c r="B6" s="1014"/>
      <c r="C6" s="1014"/>
      <c r="D6" s="1014"/>
      <c r="E6" s="1014"/>
    </row>
    <row r="7" spans="1:7" ht="15.75" thickBot="1" x14ac:dyDescent="0.3">
      <c r="A7" s="1035" t="s">
        <v>4238</v>
      </c>
      <c r="B7" s="1035"/>
      <c r="C7" s="1035"/>
      <c r="D7" s="1035"/>
      <c r="E7" s="1035"/>
    </row>
    <row r="8" spans="1:7" ht="30" x14ac:dyDescent="0.25">
      <c r="A8" s="815" t="s">
        <v>4219</v>
      </c>
      <c r="B8" s="816" t="s">
        <v>991</v>
      </c>
      <c r="C8" s="816" t="s">
        <v>4170</v>
      </c>
      <c r="D8" s="817" t="s">
        <v>3803</v>
      </c>
      <c r="E8" s="818" t="s">
        <v>3804</v>
      </c>
    </row>
    <row r="9" spans="1:7" s="367" customFormat="1" x14ac:dyDescent="0.25">
      <c r="A9" s="1036" t="s">
        <v>4172</v>
      </c>
      <c r="B9" s="819" t="s">
        <v>4173</v>
      </c>
      <c r="C9" s="820"/>
      <c r="D9" s="821"/>
      <c r="E9" s="822">
        <f>79621891.83+4931430</f>
        <v>84553321.829999998</v>
      </c>
    </row>
    <row r="10" spans="1:7" x14ac:dyDescent="0.25">
      <c r="A10" s="1037"/>
      <c r="B10" s="686" t="s">
        <v>4220</v>
      </c>
      <c r="C10" s="877"/>
      <c r="D10" s="878"/>
      <c r="E10" s="304">
        <v>12593841.17</v>
      </c>
    </row>
    <row r="11" spans="1:7" x14ac:dyDescent="0.25">
      <c r="A11" s="1038"/>
      <c r="B11" s="686" t="s">
        <v>4221</v>
      </c>
      <c r="C11" s="877"/>
      <c r="D11" s="878"/>
      <c r="E11" s="304">
        <f>1000000+800000+800000+569632.08</f>
        <v>3169632.08</v>
      </c>
    </row>
    <row r="12" spans="1:7" x14ac:dyDescent="0.25">
      <c r="A12" s="1016" t="s">
        <v>4174</v>
      </c>
      <c r="B12" s="1016"/>
      <c r="C12" s="823"/>
      <c r="D12" s="823"/>
      <c r="E12" s="824">
        <f>SUM(E9:E11)</f>
        <v>100316795.08</v>
      </c>
    </row>
    <row r="13" spans="1:7" ht="15" customHeight="1" x14ac:dyDescent="0.25">
      <c r="A13" s="1028" t="s">
        <v>3806</v>
      </c>
      <c r="B13" s="305" t="s">
        <v>4147</v>
      </c>
      <c r="C13" s="293">
        <v>45719</v>
      </c>
      <c r="D13" s="825"/>
      <c r="E13" s="303">
        <v>4595181.3899999997</v>
      </c>
      <c r="G13" s="826"/>
    </row>
    <row r="14" spans="1:7" x14ac:dyDescent="0.25">
      <c r="A14" s="1020"/>
      <c r="B14" s="305" t="s">
        <v>4222</v>
      </c>
      <c r="C14" s="293">
        <v>45744</v>
      </c>
      <c r="D14" s="825"/>
      <c r="E14" s="303">
        <v>50000</v>
      </c>
      <c r="G14" s="826"/>
    </row>
    <row r="15" spans="1:7" x14ac:dyDescent="0.25">
      <c r="A15" s="1020"/>
      <c r="B15" s="305" t="s">
        <v>4175</v>
      </c>
      <c r="C15" s="293">
        <v>45730</v>
      </c>
      <c r="D15" s="827"/>
      <c r="E15" s="303">
        <v>1041144.31</v>
      </c>
      <c r="G15" s="826"/>
    </row>
    <row r="16" spans="1:7" s="367" customFormat="1" x14ac:dyDescent="0.25">
      <c r="A16" s="1020"/>
      <c r="B16" s="828" t="s">
        <v>3749</v>
      </c>
      <c r="C16" s="820">
        <v>45744</v>
      </c>
      <c r="D16" s="821"/>
      <c r="E16" s="822">
        <v>14338.35</v>
      </c>
      <c r="G16" s="829"/>
    </row>
    <row r="17" spans="1:5" x14ac:dyDescent="0.25">
      <c r="A17" s="1020"/>
      <c r="B17" s="830" t="s">
        <v>3747</v>
      </c>
      <c r="C17" s="293">
        <v>45741</v>
      </c>
      <c r="D17" s="305"/>
      <c r="E17" s="303">
        <v>356314.76</v>
      </c>
    </row>
    <row r="18" spans="1:5" x14ac:dyDescent="0.25">
      <c r="A18" s="1020"/>
      <c r="B18" s="830" t="s">
        <v>3746</v>
      </c>
      <c r="C18" s="293">
        <v>45740</v>
      </c>
      <c r="D18" s="305"/>
      <c r="E18" s="303">
        <v>102672.34</v>
      </c>
    </row>
    <row r="19" spans="1:5" x14ac:dyDescent="0.25">
      <c r="A19" s="1020"/>
      <c r="B19" s="830" t="s">
        <v>4223</v>
      </c>
      <c r="C19" s="293">
        <v>45737</v>
      </c>
      <c r="D19" s="305"/>
      <c r="E19" s="303">
        <v>262926.38</v>
      </c>
    </row>
    <row r="20" spans="1:5" x14ac:dyDescent="0.25">
      <c r="A20" s="1020"/>
      <c r="B20" s="830" t="s">
        <v>4214</v>
      </c>
      <c r="C20" s="293">
        <v>45737</v>
      </c>
      <c r="D20" s="305"/>
      <c r="E20" s="303">
        <v>34117.68</v>
      </c>
    </row>
    <row r="21" spans="1:5" x14ac:dyDescent="0.25">
      <c r="A21" s="1020"/>
      <c r="B21" s="830" t="s">
        <v>3751</v>
      </c>
      <c r="C21" s="293">
        <v>45719</v>
      </c>
      <c r="D21" s="305"/>
      <c r="E21" s="303">
        <v>237322.18</v>
      </c>
    </row>
    <row r="22" spans="1:5" x14ac:dyDescent="0.25">
      <c r="A22" s="1020"/>
      <c r="B22" s="830"/>
      <c r="C22" s="293">
        <v>45730</v>
      </c>
      <c r="D22" s="305"/>
      <c r="E22" s="303">
        <v>11220.43</v>
      </c>
    </row>
    <row r="23" spans="1:5" x14ac:dyDescent="0.25">
      <c r="A23" s="1020"/>
      <c r="B23" s="830" t="s">
        <v>4224</v>
      </c>
      <c r="C23" s="293">
        <v>45733</v>
      </c>
      <c r="D23" s="305"/>
      <c r="E23" s="879">
        <v>222620.34</v>
      </c>
    </row>
    <row r="24" spans="1:5" x14ac:dyDescent="0.25">
      <c r="A24" s="1020"/>
      <c r="B24" s="830" t="s">
        <v>3753</v>
      </c>
      <c r="C24" s="293">
        <v>45736</v>
      </c>
      <c r="D24" s="305"/>
      <c r="E24" s="879">
        <v>16298.76</v>
      </c>
    </row>
    <row r="25" spans="1:5" x14ac:dyDescent="0.25">
      <c r="A25" s="1020"/>
      <c r="B25" s="830" t="s">
        <v>3753</v>
      </c>
      <c r="C25" s="293">
        <v>45736</v>
      </c>
      <c r="D25" s="305"/>
      <c r="E25" s="879">
        <v>15397.47</v>
      </c>
    </row>
    <row r="26" spans="1:5" x14ac:dyDescent="0.25">
      <c r="A26" s="1020"/>
      <c r="B26" s="830" t="s">
        <v>3753</v>
      </c>
      <c r="C26" s="293">
        <v>45736</v>
      </c>
      <c r="D26" s="305"/>
      <c r="E26" s="879">
        <v>30434.400000000001</v>
      </c>
    </row>
    <row r="27" spans="1:5" x14ac:dyDescent="0.25">
      <c r="A27" s="1020"/>
      <c r="B27" s="830" t="s">
        <v>3753</v>
      </c>
      <c r="C27" s="293">
        <v>45736</v>
      </c>
      <c r="D27" s="305"/>
      <c r="E27" s="879">
        <v>65463.45</v>
      </c>
    </row>
    <row r="28" spans="1:5" x14ac:dyDescent="0.25">
      <c r="A28" s="1020"/>
      <c r="B28" s="830" t="s">
        <v>3753</v>
      </c>
      <c r="C28" s="293">
        <v>45736</v>
      </c>
      <c r="D28" s="305"/>
      <c r="E28" s="879">
        <v>12863.4</v>
      </c>
    </row>
    <row r="29" spans="1:5" x14ac:dyDescent="0.25">
      <c r="A29" s="1020"/>
      <c r="B29" s="830" t="s">
        <v>3753</v>
      </c>
      <c r="C29" s="293">
        <v>45736</v>
      </c>
      <c r="D29" s="305"/>
      <c r="E29" s="879">
        <v>155572.92000000001</v>
      </c>
    </row>
    <row r="30" spans="1:5" x14ac:dyDescent="0.25">
      <c r="A30" s="1020"/>
      <c r="B30" s="830" t="s">
        <v>3753</v>
      </c>
      <c r="C30" s="293">
        <v>45736</v>
      </c>
      <c r="D30" s="305"/>
      <c r="E30" s="879">
        <v>309977.48</v>
      </c>
    </row>
    <row r="31" spans="1:5" x14ac:dyDescent="0.25">
      <c r="A31" s="1020"/>
      <c r="B31" s="830" t="s">
        <v>3753</v>
      </c>
      <c r="C31" s="293">
        <v>45736</v>
      </c>
      <c r="D31" s="305"/>
      <c r="E31" s="879">
        <v>504</v>
      </c>
    </row>
    <row r="32" spans="1:5" x14ac:dyDescent="0.25">
      <c r="A32" s="1020"/>
      <c r="B32" s="830" t="s">
        <v>4215</v>
      </c>
      <c r="C32" s="293">
        <v>45736</v>
      </c>
      <c r="D32" s="305"/>
      <c r="E32" s="879">
        <v>1396</v>
      </c>
    </row>
    <row r="33" spans="1:6" x14ac:dyDescent="0.25">
      <c r="A33" s="1020"/>
      <c r="B33" s="830" t="s">
        <v>1014</v>
      </c>
      <c r="C33" s="293">
        <v>45737</v>
      </c>
      <c r="D33" s="305"/>
      <c r="E33" s="303">
        <v>77169.399999999994</v>
      </c>
    </row>
    <row r="34" spans="1:6" x14ac:dyDescent="0.25">
      <c r="A34" s="1020"/>
      <c r="B34" s="830" t="s">
        <v>4166</v>
      </c>
      <c r="C34" s="293">
        <v>45737</v>
      </c>
      <c r="D34" s="305"/>
      <c r="E34" s="303">
        <v>212345.21</v>
      </c>
    </row>
    <row r="35" spans="1:6" x14ac:dyDescent="0.25">
      <c r="A35" s="1029"/>
      <c r="B35" s="830"/>
      <c r="C35" s="305"/>
      <c r="D35" s="305"/>
      <c r="E35" s="303"/>
    </row>
    <row r="36" spans="1:6" x14ac:dyDescent="0.25">
      <c r="A36" s="831"/>
      <c r="B36" s="880" t="s">
        <v>4178</v>
      </c>
      <c r="C36" s="881"/>
      <c r="D36" s="881"/>
      <c r="E36" s="882"/>
      <c r="F36" s="290"/>
    </row>
    <row r="37" spans="1:6" x14ac:dyDescent="0.25">
      <c r="A37" s="1016" t="s">
        <v>4174</v>
      </c>
      <c r="B37" s="1016"/>
      <c r="C37" s="823"/>
      <c r="D37" s="823"/>
      <c r="E37" s="824">
        <f>SUM(E13:E36)</f>
        <v>7825280.6499999976</v>
      </c>
    </row>
    <row r="38" spans="1:6" x14ac:dyDescent="0.25">
      <c r="A38" s="1028" t="s">
        <v>4225</v>
      </c>
      <c r="B38" s="305" t="s">
        <v>4179</v>
      </c>
      <c r="C38" s="1030" t="s">
        <v>4226</v>
      </c>
      <c r="D38" s="1031"/>
      <c r="E38" s="1032"/>
    </row>
    <row r="39" spans="1:6" ht="30" x14ac:dyDescent="0.25">
      <c r="A39" s="1020"/>
      <c r="B39" s="883" t="s">
        <v>4227</v>
      </c>
      <c r="C39" s="884"/>
      <c r="D39" s="885"/>
      <c r="E39" s="886">
        <v>223625</v>
      </c>
      <c r="F39" s="46"/>
    </row>
    <row r="40" spans="1:6" x14ac:dyDescent="0.25">
      <c r="A40" s="1020"/>
      <c r="B40" s="887" t="s">
        <v>4180</v>
      </c>
      <c r="C40" s="887"/>
      <c r="D40" s="885"/>
      <c r="E40" s="304"/>
    </row>
    <row r="41" spans="1:6" ht="30" x14ac:dyDescent="0.25">
      <c r="A41" s="1020"/>
      <c r="B41" s="888" t="s">
        <v>3807</v>
      </c>
      <c r="C41" s="887"/>
      <c r="D41" s="885"/>
      <c r="E41" s="304"/>
    </row>
    <row r="42" spans="1:6" ht="45" x14ac:dyDescent="0.25">
      <c r="A42" s="1020"/>
      <c r="B42" s="888" t="s">
        <v>4182</v>
      </c>
      <c r="C42" s="884"/>
      <c r="D42" s="885"/>
      <c r="E42" s="889"/>
    </row>
    <row r="43" spans="1:6" ht="15.75" x14ac:dyDescent="0.25">
      <c r="A43" s="1029"/>
      <c r="B43" s="890" t="s">
        <v>4183</v>
      </c>
      <c r="C43" s="884"/>
      <c r="D43" s="885"/>
      <c r="E43" s="889"/>
    </row>
    <row r="44" spans="1:6" x14ac:dyDescent="0.25">
      <c r="A44" s="1021" t="s">
        <v>4174</v>
      </c>
      <c r="B44" s="1022"/>
      <c r="C44" s="823"/>
      <c r="D44" s="823"/>
      <c r="E44" s="824">
        <f>SUM(E38:E41)</f>
        <v>223625</v>
      </c>
    </row>
    <row r="45" spans="1:6" x14ac:dyDescent="0.25">
      <c r="A45" s="1023" t="s">
        <v>4184</v>
      </c>
      <c r="B45" s="1024"/>
      <c r="C45" s="837"/>
      <c r="D45" s="837"/>
      <c r="E45" s="838">
        <f>E37+E44+E12</f>
        <v>108365700.72999999</v>
      </c>
    </row>
    <row r="46" spans="1:6" x14ac:dyDescent="0.25">
      <c r="A46" s="839"/>
      <c r="B46" s="839"/>
      <c r="C46" s="840"/>
      <c r="D46" s="840"/>
      <c r="E46" s="841"/>
    </row>
    <row r="47" spans="1:6" x14ac:dyDescent="0.25">
      <c r="A47" s="839"/>
      <c r="B47" s="839"/>
      <c r="C47" s="840"/>
      <c r="D47" s="840"/>
      <c r="E47" s="841"/>
    </row>
    <row r="48" spans="1:6" x14ac:dyDescent="0.25">
      <c r="A48" s="1033" t="s">
        <v>4228</v>
      </c>
      <c r="B48" s="1033"/>
      <c r="C48" s="1033"/>
      <c r="D48" s="1033"/>
      <c r="E48" s="1033"/>
    </row>
    <row r="49" spans="1:5" x14ac:dyDescent="0.25">
      <c r="A49" s="1033"/>
      <c r="B49" s="1033"/>
      <c r="C49" s="1033"/>
      <c r="D49" s="1033"/>
      <c r="E49" s="1033"/>
    </row>
    <row r="51" spans="1:5" x14ac:dyDescent="0.25">
      <c r="A51" s="1034" t="s">
        <v>4229</v>
      </c>
      <c r="B51" s="1034"/>
      <c r="C51" s="1034"/>
      <c r="D51" s="1034"/>
      <c r="E51" s="1034"/>
    </row>
    <row r="53" spans="1:5" x14ac:dyDescent="0.25">
      <c r="A53" s="891" t="s">
        <v>4230</v>
      </c>
      <c r="B53" s="891" t="s">
        <v>4231</v>
      </c>
      <c r="C53" s="891" t="s">
        <v>4232</v>
      </c>
      <c r="D53" s="892" t="s">
        <v>4233</v>
      </c>
      <c r="E53" s="893"/>
    </row>
    <row r="54" spans="1:5" x14ac:dyDescent="0.25">
      <c r="A54" s="894" t="s">
        <v>4234</v>
      </c>
      <c r="B54" s="879">
        <v>4614.79</v>
      </c>
      <c r="C54" s="895">
        <v>7332169.6600000001</v>
      </c>
      <c r="D54" s="896">
        <v>4614.79</v>
      </c>
      <c r="E54" s="298"/>
    </row>
    <row r="55" spans="1:5" x14ac:dyDescent="0.25">
      <c r="A55" s="894"/>
      <c r="B55" s="894"/>
      <c r="C55" s="894"/>
      <c r="D55" s="894"/>
      <c r="E55" s="843"/>
    </row>
    <row r="56" spans="1:5" x14ac:dyDescent="0.25">
      <c r="A56" s="894"/>
      <c r="B56" s="894"/>
      <c r="C56" s="894"/>
      <c r="D56" s="894"/>
      <c r="E56" s="843"/>
    </row>
    <row r="57" spans="1:5" x14ac:dyDescent="0.25">
      <c r="A57" s="813"/>
      <c r="B57" s="813"/>
      <c r="C57" s="813"/>
      <c r="D57" s="813"/>
      <c r="E57" s="843"/>
    </row>
    <row r="58" spans="1:5" x14ac:dyDescent="0.25">
      <c r="A58" s="813"/>
      <c r="B58" s="813"/>
      <c r="C58" s="813"/>
      <c r="D58" s="813"/>
      <c r="E58" s="843"/>
    </row>
    <row r="59" spans="1:5" x14ac:dyDescent="0.25">
      <c r="A59" s="813"/>
      <c r="B59" s="813"/>
      <c r="C59" s="813"/>
      <c r="D59" s="813"/>
      <c r="E59" s="843"/>
    </row>
    <row r="60" spans="1:5" x14ac:dyDescent="0.25">
      <c r="A60" s="928" t="s">
        <v>430</v>
      </c>
      <c r="B60" s="928"/>
      <c r="D60" s="928" t="s">
        <v>1722</v>
      </c>
      <c r="E60" s="928"/>
    </row>
    <row r="61" spans="1:5" x14ac:dyDescent="0.25">
      <c r="A61" s="796"/>
      <c r="B61" s="796" t="s">
        <v>4235</v>
      </c>
      <c r="D61" t="s">
        <v>4236</v>
      </c>
    </row>
    <row r="62" spans="1:5" x14ac:dyDescent="0.25">
      <c r="A62" s="928" t="s">
        <v>4187</v>
      </c>
      <c r="B62" s="928"/>
      <c r="C62" s="928"/>
      <c r="D62" s="928"/>
      <c r="E62" s="928"/>
    </row>
    <row r="63" spans="1:5" x14ac:dyDescent="0.25">
      <c r="A63" s="809"/>
      <c r="B63" s="928" t="s">
        <v>4237</v>
      </c>
      <c r="C63" s="928"/>
      <c r="D63" s="928"/>
      <c r="E63" s="928"/>
    </row>
  </sheetData>
  <mergeCells count="18">
    <mergeCell ref="A12:B12"/>
    <mergeCell ref="A3:E3"/>
    <mergeCell ref="A4:E4"/>
    <mergeCell ref="A6:E6"/>
    <mergeCell ref="A7:E7"/>
    <mergeCell ref="A9:A11"/>
    <mergeCell ref="B63:E63"/>
    <mergeCell ref="A13:A35"/>
    <mergeCell ref="A37:B37"/>
    <mergeCell ref="A38:A43"/>
    <mergeCell ref="C38:E38"/>
    <mergeCell ref="A44:B44"/>
    <mergeCell ref="A45:B45"/>
    <mergeCell ref="A48:E49"/>
    <mergeCell ref="A51:E51"/>
    <mergeCell ref="A60:B60"/>
    <mergeCell ref="D60:E60"/>
    <mergeCell ref="A62:E62"/>
  </mergeCells>
  <pageMargins left="0.7" right="0.7" top="0.75" bottom="0.75" header="0.3" footer="0.3"/>
  <pageSetup scale="54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view="pageBreakPreview" topLeftCell="A16" zoomScale="60" zoomScaleNormal="100" workbookViewId="0">
      <selection activeCell="Q25" sqref="Q25"/>
    </sheetView>
  </sheetViews>
  <sheetFormatPr baseColWidth="10" defaultColWidth="10.7109375" defaultRowHeight="15" x14ac:dyDescent="0.25"/>
  <sheetData/>
  <pageMargins left="0.7" right="0.7" top="0.75" bottom="0.75" header="0.3" footer="0.3"/>
  <pageSetup scale="49" orientation="portrait" verticalDpi="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J801"/>
  <sheetViews>
    <sheetView topLeftCell="A800" workbookViewId="0">
      <selection activeCell="B2" sqref="B2"/>
    </sheetView>
  </sheetViews>
  <sheetFormatPr baseColWidth="10" defaultColWidth="11.42578125" defaultRowHeight="15.75" x14ac:dyDescent="0.25"/>
  <cols>
    <col min="1" max="1" width="94.140625" style="315" bestFit="1" customWidth="1"/>
    <col min="2" max="2" width="26.85546875" style="350" customWidth="1"/>
    <col min="3" max="3" width="42.5703125" style="352" hidden="1" customWidth="1"/>
    <col min="4" max="4" width="23.140625" style="351" hidden="1" customWidth="1"/>
    <col min="5" max="5" width="49.28515625" style="352" hidden="1" customWidth="1"/>
    <col min="6" max="6" width="18.5703125" style="315" bestFit="1" customWidth="1"/>
    <col min="7" max="7" width="8.28515625" style="315" bestFit="1" customWidth="1"/>
    <col min="8" max="8" width="6" style="315" bestFit="1" customWidth="1"/>
    <col min="9" max="9" width="18" style="315" bestFit="1" customWidth="1"/>
    <col min="10" max="10" width="20.140625" style="315" bestFit="1" customWidth="1"/>
    <col min="11" max="11" width="11.28515625" style="315" bestFit="1" customWidth="1"/>
    <col min="12" max="12" width="14.7109375" style="315" bestFit="1" customWidth="1"/>
    <col min="13" max="13" width="16.85546875" style="315" bestFit="1" customWidth="1"/>
    <col min="14" max="14" width="14.7109375" style="315" bestFit="1" customWidth="1"/>
    <col min="15" max="19" width="16.85546875" style="315" bestFit="1" customWidth="1"/>
    <col min="20" max="20" width="17.140625" style="315" bestFit="1" customWidth="1"/>
    <col min="21" max="16384" width="11.42578125" style="315"/>
  </cols>
  <sheetData>
    <row r="1" spans="1:20" s="314" customFormat="1" ht="27" x14ac:dyDescent="0.45">
      <c r="A1" s="495" t="s">
        <v>455</v>
      </c>
      <c r="C1" s="496"/>
      <c r="D1" s="496"/>
      <c r="E1" s="496"/>
      <c r="F1" s="496"/>
    </row>
    <row r="2" spans="1:20" ht="18.75" x14ac:dyDescent="0.3">
      <c r="A2" s="496" t="s">
        <v>228</v>
      </c>
      <c r="B2" s="315"/>
      <c r="C2" s="496"/>
      <c r="D2" s="496"/>
      <c r="E2" s="496"/>
      <c r="F2" s="496"/>
    </row>
    <row r="3" spans="1:20" ht="18.75" x14ac:dyDescent="0.3">
      <c r="A3" s="497" t="s">
        <v>229</v>
      </c>
      <c r="B3" s="315"/>
      <c r="C3" s="497"/>
      <c r="D3" s="497"/>
      <c r="E3" s="497"/>
      <c r="F3" s="497"/>
    </row>
    <row r="4" spans="1:20" ht="18.75" x14ac:dyDescent="0.3">
      <c r="A4" s="497" t="s">
        <v>230</v>
      </c>
      <c r="B4" s="315"/>
      <c r="C4" s="497"/>
      <c r="D4" s="497"/>
      <c r="E4" s="497"/>
      <c r="F4" s="497"/>
    </row>
    <row r="5" spans="1:20" ht="18.75" x14ac:dyDescent="0.3">
      <c r="A5" s="497"/>
      <c r="B5" s="315"/>
      <c r="C5" s="497"/>
      <c r="D5" s="497"/>
      <c r="E5" s="497"/>
      <c r="F5" s="497"/>
    </row>
    <row r="6" spans="1:20" ht="18.75" x14ac:dyDescent="0.25">
      <c r="A6" s="498" t="s">
        <v>1723</v>
      </c>
      <c r="B6" s="315"/>
      <c r="C6" s="499"/>
      <c r="D6" s="499"/>
      <c r="E6" s="499"/>
      <c r="F6" s="499"/>
    </row>
    <row r="7" spans="1:20" ht="18.75" x14ac:dyDescent="0.25">
      <c r="B7" s="500"/>
      <c r="C7" s="501"/>
      <c r="D7" s="502"/>
      <c r="E7" s="503"/>
      <c r="F7" s="503"/>
    </row>
    <row r="8" spans="1:20" ht="18.75" x14ac:dyDescent="0.3">
      <c r="B8" s="315"/>
      <c r="C8" s="504"/>
      <c r="D8" s="505"/>
      <c r="E8" s="506"/>
      <c r="F8" s="507"/>
    </row>
    <row r="9" spans="1:20" ht="63.75" x14ac:dyDescent="0.3">
      <c r="A9" s="579" t="s">
        <v>1724</v>
      </c>
      <c r="B9" s="508" t="s">
        <v>1110</v>
      </c>
      <c r="C9" s="509" t="s">
        <v>1111</v>
      </c>
      <c r="D9" s="316" t="s">
        <v>1112</v>
      </c>
      <c r="E9" s="509" t="s">
        <v>62</v>
      </c>
      <c r="F9" s="510" t="s">
        <v>1113</v>
      </c>
      <c r="G9" s="579" t="s">
        <v>1114</v>
      </c>
      <c r="H9" s="579" t="s">
        <v>456</v>
      </c>
      <c r="I9" s="317" t="s">
        <v>1725</v>
      </c>
      <c r="J9" s="317" t="s">
        <v>1726</v>
      </c>
      <c r="K9" s="317" t="s">
        <v>1727</v>
      </c>
      <c r="L9" s="317" t="s">
        <v>1728</v>
      </c>
      <c r="M9" s="511" t="s">
        <v>1729</v>
      </c>
      <c r="N9" s="318">
        <v>45292</v>
      </c>
      <c r="O9" s="318">
        <v>45323</v>
      </c>
      <c r="P9" s="318">
        <v>45352</v>
      </c>
      <c r="Q9" s="318">
        <v>45383</v>
      </c>
      <c r="R9" s="318">
        <v>45413</v>
      </c>
      <c r="S9" s="318">
        <v>45444</v>
      </c>
      <c r="T9" s="318" t="s">
        <v>457</v>
      </c>
    </row>
    <row r="10" spans="1:20" ht="18.75" x14ac:dyDescent="0.3">
      <c r="A10" s="512" t="s">
        <v>458</v>
      </c>
      <c r="B10" s="513">
        <v>37435</v>
      </c>
      <c r="C10" s="514">
        <v>13724</v>
      </c>
      <c r="D10" s="321" t="s">
        <v>459</v>
      </c>
      <c r="E10" s="322" t="s">
        <v>460</v>
      </c>
      <c r="F10" s="515">
        <v>5000</v>
      </c>
      <c r="G10" s="324" t="s">
        <v>1114</v>
      </c>
      <c r="H10" s="324">
        <v>2002</v>
      </c>
      <c r="I10" s="515">
        <v>5000</v>
      </c>
      <c r="J10" s="324"/>
      <c r="K10" s="324"/>
      <c r="L10" s="324"/>
      <c r="M10" s="324"/>
      <c r="N10" s="324"/>
      <c r="O10" s="324"/>
      <c r="P10" s="324"/>
      <c r="Q10" s="324"/>
      <c r="R10" s="324"/>
      <c r="S10" s="324"/>
      <c r="T10" s="325">
        <f>SUM(I10:S10)</f>
        <v>5000</v>
      </c>
    </row>
    <row r="11" spans="1:20" ht="18.75" x14ac:dyDescent="0.3">
      <c r="A11" s="512" t="s">
        <v>458</v>
      </c>
      <c r="B11" s="513">
        <v>37452</v>
      </c>
      <c r="C11" s="514">
        <v>12330</v>
      </c>
      <c r="D11" s="321" t="s">
        <v>461</v>
      </c>
      <c r="E11" s="322" t="s">
        <v>460</v>
      </c>
      <c r="F11" s="515">
        <v>4960</v>
      </c>
      <c r="G11" s="324" t="s">
        <v>1114</v>
      </c>
      <c r="H11" s="324">
        <v>2002</v>
      </c>
      <c r="I11" s="515">
        <v>4960</v>
      </c>
      <c r="J11" s="324"/>
      <c r="K11" s="324"/>
      <c r="L11" s="324"/>
      <c r="M11" s="324"/>
      <c r="N11" s="324"/>
      <c r="O11" s="324"/>
      <c r="P11" s="324"/>
      <c r="Q11" s="324"/>
      <c r="R11" s="324"/>
      <c r="S11" s="324"/>
      <c r="T11" s="325">
        <f t="shared" ref="T11:T74" si="0">SUM(I11:S11)</f>
        <v>4960</v>
      </c>
    </row>
    <row r="12" spans="1:20" ht="18.75" x14ac:dyDescent="0.3">
      <c r="A12" s="512" t="s">
        <v>458</v>
      </c>
      <c r="B12" s="513">
        <v>37493</v>
      </c>
      <c r="C12" s="514">
        <v>12451</v>
      </c>
      <c r="D12" s="321" t="s">
        <v>461</v>
      </c>
      <c r="E12" s="322" t="s">
        <v>460</v>
      </c>
      <c r="F12" s="515">
        <v>5000</v>
      </c>
      <c r="G12" s="324" t="s">
        <v>1114</v>
      </c>
      <c r="H12" s="324">
        <v>2002</v>
      </c>
      <c r="I12" s="515">
        <v>5000</v>
      </c>
      <c r="J12" s="324"/>
      <c r="K12" s="324"/>
      <c r="L12" s="324"/>
      <c r="M12" s="324"/>
      <c r="N12" s="324"/>
      <c r="O12" s="324"/>
      <c r="P12" s="324"/>
      <c r="Q12" s="324"/>
      <c r="R12" s="324"/>
      <c r="S12" s="324"/>
      <c r="T12" s="325">
        <f t="shared" si="0"/>
        <v>5000</v>
      </c>
    </row>
    <row r="13" spans="1:20" ht="18.75" x14ac:dyDescent="0.3">
      <c r="A13" s="512" t="s">
        <v>462</v>
      </c>
      <c r="B13" s="513">
        <v>37516</v>
      </c>
      <c r="C13" s="514">
        <v>12494</v>
      </c>
      <c r="D13" s="321" t="s">
        <v>463</v>
      </c>
      <c r="E13" s="322" t="s">
        <v>464</v>
      </c>
      <c r="F13" s="515">
        <v>160570</v>
      </c>
      <c r="G13" s="324" t="s">
        <v>1114</v>
      </c>
      <c r="H13" s="324">
        <v>2002</v>
      </c>
      <c r="I13" s="515">
        <v>160570</v>
      </c>
      <c r="J13" s="324"/>
      <c r="K13" s="324"/>
      <c r="L13" s="324"/>
      <c r="M13" s="324"/>
      <c r="N13" s="324"/>
      <c r="O13" s="324"/>
      <c r="P13" s="324"/>
      <c r="Q13" s="324"/>
      <c r="R13" s="324"/>
      <c r="S13" s="324"/>
      <c r="T13" s="325">
        <f t="shared" si="0"/>
        <v>160570</v>
      </c>
    </row>
    <row r="14" spans="1:20" ht="18.75" x14ac:dyDescent="0.3">
      <c r="A14" s="512" t="s">
        <v>256</v>
      </c>
      <c r="B14" s="513">
        <v>38717</v>
      </c>
      <c r="C14" s="514"/>
      <c r="D14" s="321" t="s">
        <v>465</v>
      </c>
      <c r="E14" s="322" t="s">
        <v>466</v>
      </c>
      <c r="F14" s="515">
        <v>16048</v>
      </c>
      <c r="G14" s="324" t="s">
        <v>1114</v>
      </c>
      <c r="H14" s="324">
        <v>2005</v>
      </c>
      <c r="I14" s="515">
        <v>16048</v>
      </c>
      <c r="J14" s="324"/>
      <c r="K14" s="324"/>
      <c r="L14" s="324"/>
      <c r="M14" s="324"/>
      <c r="N14" s="324"/>
      <c r="O14" s="324"/>
      <c r="P14" s="324"/>
      <c r="Q14" s="324"/>
      <c r="R14" s="324"/>
      <c r="S14" s="324"/>
      <c r="T14" s="325">
        <f t="shared" si="0"/>
        <v>16048</v>
      </c>
    </row>
    <row r="15" spans="1:20" ht="18.75" x14ac:dyDescent="0.3">
      <c r="A15" s="512" t="s">
        <v>256</v>
      </c>
      <c r="B15" s="513">
        <v>39082</v>
      </c>
      <c r="C15" s="514"/>
      <c r="D15" s="321" t="s">
        <v>467</v>
      </c>
      <c r="E15" s="322" t="s">
        <v>466</v>
      </c>
      <c r="F15" s="515">
        <v>317300</v>
      </c>
      <c r="G15" s="324" t="s">
        <v>1114</v>
      </c>
      <c r="H15" s="324">
        <v>2006</v>
      </c>
      <c r="I15" s="515">
        <v>317300</v>
      </c>
      <c r="J15" s="324"/>
      <c r="K15" s="324"/>
      <c r="L15" s="324"/>
      <c r="M15" s="324"/>
      <c r="N15" s="324"/>
      <c r="O15" s="324"/>
      <c r="P15" s="324"/>
      <c r="Q15" s="324"/>
      <c r="R15" s="324"/>
      <c r="S15" s="324"/>
      <c r="T15" s="325">
        <f t="shared" si="0"/>
        <v>317300</v>
      </c>
    </row>
    <row r="16" spans="1:20" ht="18.75" x14ac:dyDescent="0.3">
      <c r="A16" s="512" t="s">
        <v>256</v>
      </c>
      <c r="B16" s="513">
        <v>39447</v>
      </c>
      <c r="C16" s="514"/>
      <c r="D16" s="321" t="s">
        <v>468</v>
      </c>
      <c r="E16" s="322" t="s">
        <v>466</v>
      </c>
      <c r="F16" s="515">
        <v>309360</v>
      </c>
      <c r="G16" s="324" t="s">
        <v>1114</v>
      </c>
      <c r="H16" s="324">
        <v>2007</v>
      </c>
      <c r="I16" s="515">
        <v>309360</v>
      </c>
      <c r="J16" s="324"/>
      <c r="K16" s="324"/>
      <c r="L16" s="324"/>
      <c r="M16" s="324"/>
      <c r="N16" s="324"/>
      <c r="O16" s="324"/>
      <c r="P16" s="324"/>
      <c r="Q16" s="324"/>
      <c r="R16" s="324"/>
      <c r="S16" s="324"/>
      <c r="T16" s="325">
        <f t="shared" si="0"/>
        <v>309360</v>
      </c>
    </row>
    <row r="17" spans="1:20" ht="18.75" x14ac:dyDescent="0.3">
      <c r="A17" s="512" t="s">
        <v>256</v>
      </c>
      <c r="B17" s="513">
        <v>39813</v>
      </c>
      <c r="C17" s="514"/>
      <c r="D17" s="321" t="s">
        <v>469</v>
      </c>
      <c r="E17" s="322" t="s">
        <v>466</v>
      </c>
      <c r="F17" s="515">
        <v>365675</v>
      </c>
      <c r="G17" s="324" t="s">
        <v>1114</v>
      </c>
      <c r="H17" s="324">
        <v>2008</v>
      </c>
      <c r="I17" s="515">
        <v>365675</v>
      </c>
      <c r="J17" s="324"/>
      <c r="K17" s="324"/>
      <c r="L17" s="324"/>
      <c r="M17" s="324"/>
      <c r="N17" s="324"/>
      <c r="O17" s="324"/>
      <c r="P17" s="324"/>
      <c r="Q17" s="324"/>
      <c r="R17" s="324"/>
      <c r="S17" s="324"/>
      <c r="T17" s="325">
        <f t="shared" si="0"/>
        <v>365675</v>
      </c>
    </row>
    <row r="18" spans="1:20" ht="18.75" x14ac:dyDescent="0.3">
      <c r="A18" s="512" t="s">
        <v>256</v>
      </c>
      <c r="B18" s="513">
        <v>40178</v>
      </c>
      <c r="C18" s="514"/>
      <c r="D18" s="321" t="s">
        <v>470</v>
      </c>
      <c r="E18" s="322" t="s">
        <v>466</v>
      </c>
      <c r="F18" s="515">
        <v>364151</v>
      </c>
      <c r="G18" s="324" t="s">
        <v>1114</v>
      </c>
      <c r="H18" s="324">
        <v>2009</v>
      </c>
      <c r="I18" s="515">
        <v>364151</v>
      </c>
      <c r="J18" s="324"/>
      <c r="K18" s="324"/>
      <c r="L18" s="324"/>
      <c r="M18" s="324"/>
      <c r="N18" s="324"/>
      <c r="O18" s="324"/>
      <c r="P18" s="324"/>
      <c r="Q18" s="324"/>
      <c r="R18" s="324"/>
      <c r="S18" s="324"/>
      <c r="T18" s="325">
        <f t="shared" si="0"/>
        <v>364151</v>
      </c>
    </row>
    <row r="19" spans="1:20" ht="18.75" x14ac:dyDescent="0.3">
      <c r="A19" s="512" t="s">
        <v>256</v>
      </c>
      <c r="B19" s="513">
        <v>40543</v>
      </c>
      <c r="C19" s="514"/>
      <c r="D19" s="321" t="s">
        <v>471</v>
      </c>
      <c r="E19" s="322" t="s">
        <v>466</v>
      </c>
      <c r="F19" s="515">
        <v>364128</v>
      </c>
      <c r="G19" s="324" t="s">
        <v>1114</v>
      </c>
      <c r="H19" s="324">
        <v>2010</v>
      </c>
      <c r="I19" s="515">
        <v>364128</v>
      </c>
      <c r="J19" s="324"/>
      <c r="K19" s="324"/>
      <c r="L19" s="324"/>
      <c r="M19" s="324"/>
      <c r="N19" s="324"/>
      <c r="O19" s="324"/>
      <c r="P19" s="324"/>
      <c r="Q19" s="324"/>
      <c r="R19" s="324"/>
      <c r="S19" s="324"/>
      <c r="T19" s="325">
        <f t="shared" si="0"/>
        <v>364128</v>
      </c>
    </row>
    <row r="20" spans="1:20" ht="18.75" x14ac:dyDescent="0.3">
      <c r="A20" s="512" t="s">
        <v>256</v>
      </c>
      <c r="B20" s="513">
        <v>40908</v>
      </c>
      <c r="C20" s="514"/>
      <c r="D20" s="321" t="s">
        <v>472</v>
      </c>
      <c r="E20" s="322" t="s">
        <v>466</v>
      </c>
      <c r="F20" s="515">
        <v>364128</v>
      </c>
      <c r="G20" s="324" t="s">
        <v>1114</v>
      </c>
      <c r="H20" s="324">
        <v>2011</v>
      </c>
      <c r="I20" s="515">
        <v>364128</v>
      </c>
      <c r="J20" s="324"/>
      <c r="K20" s="324"/>
      <c r="L20" s="324"/>
      <c r="M20" s="324"/>
      <c r="N20" s="324"/>
      <c r="O20" s="324"/>
      <c r="P20" s="324"/>
      <c r="Q20" s="324"/>
      <c r="R20" s="324"/>
      <c r="S20" s="324"/>
      <c r="T20" s="325">
        <f t="shared" si="0"/>
        <v>364128</v>
      </c>
    </row>
    <row r="21" spans="1:20" ht="18.75" x14ac:dyDescent="0.3">
      <c r="A21" s="513" t="s">
        <v>319</v>
      </c>
      <c r="B21" s="513">
        <v>41123</v>
      </c>
      <c r="C21" s="514" t="s">
        <v>473</v>
      </c>
      <c r="D21" s="321">
        <v>1829</v>
      </c>
      <c r="E21" s="322" t="s">
        <v>474</v>
      </c>
      <c r="F21" s="515">
        <v>6000</v>
      </c>
      <c r="G21" s="324" t="s">
        <v>1114</v>
      </c>
      <c r="H21" s="324">
        <v>2012</v>
      </c>
      <c r="I21" s="515">
        <v>6000</v>
      </c>
      <c r="J21" s="324"/>
      <c r="K21" s="324"/>
      <c r="L21" s="324"/>
      <c r="M21" s="324"/>
      <c r="N21" s="324"/>
      <c r="O21" s="324"/>
      <c r="P21" s="324"/>
      <c r="Q21" s="324"/>
      <c r="R21" s="324"/>
      <c r="S21" s="324"/>
      <c r="T21" s="325">
        <f t="shared" si="0"/>
        <v>6000</v>
      </c>
    </row>
    <row r="22" spans="1:20" ht="18.75" x14ac:dyDescent="0.3">
      <c r="A22" s="513" t="s">
        <v>319</v>
      </c>
      <c r="B22" s="513">
        <v>41129</v>
      </c>
      <c r="C22" s="514" t="s">
        <v>475</v>
      </c>
      <c r="D22" s="321">
        <v>1839</v>
      </c>
      <c r="E22" s="322" t="s">
        <v>474</v>
      </c>
      <c r="F22" s="515">
        <v>7680</v>
      </c>
      <c r="G22" s="324" t="s">
        <v>1114</v>
      </c>
      <c r="H22" s="324">
        <v>2012</v>
      </c>
      <c r="I22" s="515">
        <v>7680</v>
      </c>
      <c r="J22" s="324"/>
      <c r="K22" s="324"/>
      <c r="L22" s="324"/>
      <c r="M22" s="324"/>
      <c r="N22" s="324"/>
      <c r="O22" s="324"/>
      <c r="P22" s="324"/>
      <c r="Q22" s="324"/>
      <c r="R22" s="324"/>
      <c r="S22" s="324"/>
      <c r="T22" s="325">
        <f t="shared" si="0"/>
        <v>7680</v>
      </c>
    </row>
    <row r="23" spans="1:20" ht="18.75" x14ac:dyDescent="0.3">
      <c r="A23" s="513" t="s">
        <v>319</v>
      </c>
      <c r="B23" s="513">
        <v>41131</v>
      </c>
      <c r="C23" s="514" t="s">
        <v>476</v>
      </c>
      <c r="D23" s="321">
        <v>1847</v>
      </c>
      <c r="E23" s="322" t="s">
        <v>474</v>
      </c>
      <c r="F23" s="515">
        <v>11860</v>
      </c>
      <c r="G23" s="324" t="s">
        <v>1114</v>
      </c>
      <c r="H23" s="324">
        <v>2012</v>
      </c>
      <c r="I23" s="515">
        <v>11860</v>
      </c>
      <c r="J23" s="324"/>
      <c r="K23" s="324"/>
      <c r="L23" s="324"/>
      <c r="M23" s="324"/>
      <c r="N23" s="324"/>
      <c r="O23" s="324"/>
      <c r="P23" s="324"/>
      <c r="Q23" s="324"/>
      <c r="R23" s="324"/>
      <c r="S23" s="324"/>
      <c r="T23" s="325">
        <f t="shared" si="0"/>
        <v>11860</v>
      </c>
    </row>
    <row r="24" spans="1:20" ht="18.75" x14ac:dyDescent="0.3">
      <c r="A24" s="513" t="s">
        <v>319</v>
      </c>
      <c r="B24" s="513">
        <v>41143</v>
      </c>
      <c r="C24" s="514" t="s">
        <v>477</v>
      </c>
      <c r="D24" s="321">
        <v>1861</v>
      </c>
      <c r="E24" s="322" t="s">
        <v>474</v>
      </c>
      <c r="F24" s="515">
        <v>16000</v>
      </c>
      <c r="G24" s="324" t="s">
        <v>1114</v>
      </c>
      <c r="H24" s="324">
        <v>2012</v>
      </c>
      <c r="I24" s="515">
        <v>16000</v>
      </c>
      <c r="J24" s="324"/>
      <c r="K24" s="324"/>
      <c r="L24" s="324"/>
      <c r="M24" s="324"/>
      <c r="N24" s="324"/>
      <c r="O24" s="324"/>
      <c r="P24" s="324"/>
      <c r="Q24" s="324"/>
      <c r="R24" s="324"/>
      <c r="S24" s="324"/>
      <c r="T24" s="325">
        <f t="shared" si="0"/>
        <v>16000</v>
      </c>
    </row>
    <row r="25" spans="1:20" ht="18.75" x14ac:dyDescent="0.3">
      <c r="A25" s="513" t="s">
        <v>319</v>
      </c>
      <c r="B25" s="513">
        <v>41145</v>
      </c>
      <c r="C25" s="514" t="s">
        <v>478</v>
      </c>
      <c r="D25" s="321">
        <v>1868</v>
      </c>
      <c r="E25" s="322" t="s">
        <v>474</v>
      </c>
      <c r="F25" s="515">
        <v>13000</v>
      </c>
      <c r="G25" s="324" t="s">
        <v>1114</v>
      </c>
      <c r="H25" s="324">
        <v>2012</v>
      </c>
      <c r="I25" s="515">
        <v>13000</v>
      </c>
      <c r="J25" s="324"/>
      <c r="K25" s="324"/>
      <c r="L25" s="324"/>
      <c r="M25" s="324"/>
      <c r="N25" s="324"/>
      <c r="O25" s="324"/>
      <c r="P25" s="324"/>
      <c r="Q25" s="324"/>
      <c r="R25" s="324"/>
      <c r="S25" s="324"/>
      <c r="T25" s="325">
        <f t="shared" si="0"/>
        <v>13000</v>
      </c>
    </row>
    <row r="26" spans="1:20" ht="18.75" x14ac:dyDescent="0.3">
      <c r="A26" s="513" t="s">
        <v>319</v>
      </c>
      <c r="B26" s="513">
        <v>41151</v>
      </c>
      <c r="C26" s="514" t="s">
        <v>479</v>
      </c>
      <c r="D26" s="321">
        <v>1875</v>
      </c>
      <c r="E26" s="322" t="s">
        <v>474</v>
      </c>
      <c r="F26" s="515">
        <v>13322</v>
      </c>
      <c r="G26" s="324" t="s">
        <v>1114</v>
      </c>
      <c r="H26" s="324">
        <v>2012</v>
      </c>
      <c r="I26" s="515">
        <v>13322</v>
      </c>
      <c r="J26" s="324"/>
      <c r="K26" s="324"/>
      <c r="L26" s="324"/>
      <c r="M26" s="324"/>
      <c r="N26" s="324"/>
      <c r="O26" s="324"/>
      <c r="P26" s="324"/>
      <c r="Q26" s="324"/>
      <c r="R26" s="324"/>
      <c r="S26" s="324"/>
      <c r="T26" s="325">
        <f t="shared" si="0"/>
        <v>13322</v>
      </c>
    </row>
    <row r="27" spans="1:20" ht="18.75" x14ac:dyDescent="0.3">
      <c r="A27" s="513" t="s">
        <v>319</v>
      </c>
      <c r="B27" s="513">
        <v>41173</v>
      </c>
      <c r="C27" s="514" t="s">
        <v>480</v>
      </c>
      <c r="D27" s="321">
        <v>1904</v>
      </c>
      <c r="E27" s="322" t="s">
        <v>481</v>
      </c>
      <c r="F27" s="515">
        <v>20000</v>
      </c>
      <c r="G27" s="324" t="s">
        <v>1114</v>
      </c>
      <c r="H27" s="324">
        <v>2012</v>
      </c>
      <c r="I27" s="515">
        <v>20000</v>
      </c>
      <c r="J27" s="324"/>
      <c r="K27" s="324"/>
      <c r="L27" s="324"/>
      <c r="M27" s="324"/>
      <c r="N27" s="324"/>
      <c r="O27" s="324"/>
      <c r="P27" s="324"/>
      <c r="Q27" s="324"/>
      <c r="R27" s="324"/>
      <c r="S27" s="324"/>
      <c r="T27" s="325">
        <f t="shared" si="0"/>
        <v>20000</v>
      </c>
    </row>
    <row r="28" spans="1:20" ht="18.75" x14ac:dyDescent="0.3">
      <c r="A28" s="513" t="s">
        <v>319</v>
      </c>
      <c r="B28" s="513">
        <v>41178</v>
      </c>
      <c r="C28" s="514" t="s">
        <v>482</v>
      </c>
      <c r="D28" s="321">
        <v>1909</v>
      </c>
      <c r="E28" s="322" t="s">
        <v>481</v>
      </c>
      <c r="F28" s="515">
        <v>16365</v>
      </c>
      <c r="G28" s="324" t="s">
        <v>1114</v>
      </c>
      <c r="H28" s="324">
        <v>2012</v>
      </c>
      <c r="I28" s="515">
        <v>16365</v>
      </c>
      <c r="J28" s="324"/>
      <c r="K28" s="324"/>
      <c r="L28" s="324"/>
      <c r="M28" s="324"/>
      <c r="N28" s="324"/>
      <c r="O28" s="324"/>
      <c r="P28" s="324"/>
      <c r="Q28" s="324"/>
      <c r="R28" s="324"/>
      <c r="S28" s="324"/>
      <c r="T28" s="325">
        <f t="shared" si="0"/>
        <v>16365</v>
      </c>
    </row>
    <row r="29" spans="1:20" s="517" customFormat="1" ht="18.75" x14ac:dyDescent="0.3">
      <c r="A29" s="513" t="s">
        <v>319</v>
      </c>
      <c r="B29" s="513">
        <v>41178</v>
      </c>
      <c r="C29" s="514" t="s">
        <v>483</v>
      </c>
      <c r="D29" s="321">
        <v>1910</v>
      </c>
      <c r="E29" s="322" t="s">
        <v>481</v>
      </c>
      <c r="F29" s="515">
        <v>30190</v>
      </c>
      <c r="G29" s="324" t="s">
        <v>1114</v>
      </c>
      <c r="H29" s="324">
        <v>2012</v>
      </c>
      <c r="I29" s="515">
        <v>30190</v>
      </c>
      <c r="J29" s="516"/>
      <c r="K29" s="516"/>
      <c r="L29" s="516"/>
      <c r="M29" s="516"/>
      <c r="N29" s="516"/>
      <c r="O29" s="516"/>
      <c r="P29" s="516"/>
      <c r="Q29" s="516"/>
      <c r="R29" s="516"/>
      <c r="S29" s="516"/>
      <c r="T29" s="325">
        <f t="shared" si="0"/>
        <v>30190</v>
      </c>
    </row>
    <row r="30" spans="1:20" s="517" customFormat="1" ht="18.75" x14ac:dyDescent="0.3">
      <c r="A30" s="513" t="s">
        <v>319</v>
      </c>
      <c r="B30" s="513">
        <v>41180</v>
      </c>
      <c r="C30" s="514" t="s">
        <v>484</v>
      </c>
      <c r="D30" s="321">
        <v>1912</v>
      </c>
      <c r="E30" s="322" t="s">
        <v>481</v>
      </c>
      <c r="F30" s="515">
        <v>28700</v>
      </c>
      <c r="G30" s="324" t="s">
        <v>1114</v>
      </c>
      <c r="H30" s="324">
        <v>2012</v>
      </c>
      <c r="I30" s="515">
        <v>28700</v>
      </c>
      <c r="J30" s="516"/>
      <c r="K30" s="516"/>
      <c r="L30" s="516"/>
      <c r="M30" s="516"/>
      <c r="N30" s="516"/>
      <c r="O30" s="516"/>
      <c r="P30" s="516"/>
      <c r="Q30" s="516"/>
      <c r="R30" s="516"/>
      <c r="S30" s="516"/>
      <c r="T30" s="325">
        <f t="shared" si="0"/>
        <v>28700</v>
      </c>
    </row>
    <row r="31" spans="1:20" s="517" customFormat="1" ht="18.75" x14ac:dyDescent="0.3">
      <c r="A31" s="513" t="s">
        <v>319</v>
      </c>
      <c r="B31" s="513">
        <v>41187</v>
      </c>
      <c r="C31" s="514" t="s">
        <v>485</v>
      </c>
      <c r="D31" s="321">
        <v>1919</v>
      </c>
      <c r="E31" s="322" t="s">
        <v>481</v>
      </c>
      <c r="F31" s="515">
        <v>53780</v>
      </c>
      <c r="G31" s="324" t="s">
        <v>1114</v>
      </c>
      <c r="H31" s="324">
        <v>2012</v>
      </c>
      <c r="I31" s="515">
        <v>53780</v>
      </c>
      <c r="J31" s="516"/>
      <c r="K31" s="516"/>
      <c r="L31" s="516"/>
      <c r="M31" s="516"/>
      <c r="N31" s="516"/>
      <c r="O31" s="516"/>
      <c r="P31" s="516"/>
      <c r="Q31" s="516"/>
      <c r="R31" s="516"/>
      <c r="S31" s="516"/>
      <c r="T31" s="325">
        <f t="shared" si="0"/>
        <v>53780</v>
      </c>
    </row>
    <row r="32" spans="1:20" s="517" customFormat="1" ht="18.75" x14ac:dyDescent="0.3">
      <c r="A32" s="513" t="s">
        <v>319</v>
      </c>
      <c r="B32" s="513">
        <v>41197</v>
      </c>
      <c r="C32" s="514" t="s">
        <v>486</v>
      </c>
      <c r="D32" s="321">
        <v>1927</v>
      </c>
      <c r="E32" s="322" t="s">
        <v>481</v>
      </c>
      <c r="F32" s="515">
        <v>56640</v>
      </c>
      <c r="G32" s="324" t="s">
        <v>1114</v>
      </c>
      <c r="H32" s="324">
        <v>2012</v>
      </c>
      <c r="I32" s="515">
        <v>56640</v>
      </c>
      <c r="J32" s="516"/>
      <c r="K32" s="516"/>
      <c r="L32" s="516"/>
      <c r="M32" s="516"/>
      <c r="N32" s="516"/>
      <c r="O32" s="516"/>
      <c r="P32" s="516"/>
      <c r="Q32" s="516"/>
      <c r="R32" s="516"/>
      <c r="S32" s="516"/>
      <c r="T32" s="325">
        <f t="shared" si="0"/>
        <v>56640</v>
      </c>
    </row>
    <row r="33" spans="1:20" s="517" customFormat="1" ht="18.75" x14ac:dyDescent="0.3">
      <c r="A33" s="513" t="s">
        <v>276</v>
      </c>
      <c r="B33" s="513">
        <v>41208</v>
      </c>
      <c r="C33" s="514" t="s">
        <v>487</v>
      </c>
      <c r="D33" s="321">
        <v>211</v>
      </c>
      <c r="E33" s="322" t="s">
        <v>488</v>
      </c>
      <c r="F33" s="515">
        <v>58788.800000000003</v>
      </c>
      <c r="G33" s="324" t="s">
        <v>1114</v>
      </c>
      <c r="H33" s="324">
        <v>2012</v>
      </c>
      <c r="I33" s="515">
        <v>58788.800000000003</v>
      </c>
      <c r="J33" s="516"/>
      <c r="K33" s="516"/>
      <c r="L33" s="516"/>
      <c r="M33" s="516"/>
      <c r="N33" s="516"/>
      <c r="O33" s="516"/>
      <c r="P33" s="516"/>
      <c r="Q33" s="516"/>
      <c r="R33" s="516"/>
      <c r="S33" s="516"/>
      <c r="T33" s="325">
        <f t="shared" si="0"/>
        <v>58788.800000000003</v>
      </c>
    </row>
    <row r="34" spans="1:20" s="517" customFormat="1" ht="18.75" x14ac:dyDescent="0.3">
      <c r="A34" s="513" t="s">
        <v>319</v>
      </c>
      <c r="B34" s="513">
        <v>41208</v>
      </c>
      <c r="C34" s="514" t="s">
        <v>489</v>
      </c>
      <c r="D34" s="321" t="s">
        <v>490</v>
      </c>
      <c r="E34" s="322" t="s">
        <v>481</v>
      </c>
      <c r="F34" s="515">
        <v>21820</v>
      </c>
      <c r="G34" s="324" t="s">
        <v>1114</v>
      </c>
      <c r="H34" s="324">
        <v>2012</v>
      </c>
      <c r="I34" s="515">
        <v>21820</v>
      </c>
      <c r="J34" s="516"/>
      <c r="K34" s="516"/>
      <c r="L34" s="516"/>
      <c r="M34" s="516"/>
      <c r="N34" s="516"/>
      <c r="O34" s="516"/>
      <c r="P34" s="516"/>
      <c r="Q34" s="516"/>
      <c r="R34" s="516"/>
      <c r="S34" s="516"/>
      <c r="T34" s="325">
        <f t="shared" si="0"/>
        <v>21820</v>
      </c>
    </row>
    <row r="35" spans="1:20" s="517" customFormat="1" ht="18.75" x14ac:dyDescent="0.3">
      <c r="A35" s="518" t="s">
        <v>369</v>
      </c>
      <c r="B35" s="513">
        <v>41208</v>
      </c>
      <c r="C35" s="514">
        <v>1049</v>
      </c>
      <c r="D35" s="321" t="s">
        <v>491</v>
      </c>
      <c r="E35" s="322" t="s">
        <v>492</v>
      </c>
      <c r="F35" s="515">
        <v>57950</v>
      </c>
      <c r="G35" s="324" t="s">
        <v>1114</v>
      </c>
      <c r="H35" s="324">
        <v>2012</v>
      </c>
      <c r="I35" s="515">
        <v>57950</v>
      </c>
      <c r="J35" s="516"/>
      <c r="K35" s="516"/>
      <c r="L35" s="516"/>
      <c r="M35" s="516"/>
      <c r="N35" s="516"/>
      <c r="O35" s="516"/>
      <c r="P35" s="516"/>
      <c r="Q35" s="516"/>
      <c r="R35" s="516"/>
      <c r="S35" s="516"/>
      <c r="T35" s="325">
        <f t="shared" si="0"/>
        <v>57950</v>
      </c>
    </row>
    <row r="36" spans="1:20" s="520" customFormat="1" ht="18.75" x14ac:dyDescent="0.3">
      <c r="A36" s="513" t="s">
        <v>319</v>
      </c>
      <c r="B36" s="513">
        <v>41213</v>
      </c>
      <c r="C36" s="514" t="s">
        <v>493</v>
      </c>
      <c r="D36" s="321">
        <v>1941</v>
      </c>
      <c r="E36" s="322" t="s">
        <v>474</v>
      </c>
      <c r="F36" s="515">
        <v>20000</v>
      </c>
      <c r="G36" s="324" t="s">
        <v>1114</v>
      </c>
      <c r="H36" s="324">
        <v>2012</v>
      </c>
      <c r="I36" s="515">
        <v>20000</v>
      </c>
      <c r="J36" s="519"/>
      <c r="K36" s="519"/>
      <c r="L36" s="519"/>
      <c r="M36" s="519"/>
      <c r="N36" s="519"/>
      <c r="O36" s="519"/>
      <c r="P36" s="519"/>
      <c r="Q36" s="519"/>
      <c r="R36" s="519"/>
      <c r="S36" s="519"/>
      <c r="T36" s="325">
        <f t="shared" si="0"/>
        <v>20000</v>
      </c>
    </row>
    <row r="37" spans="1:20" s="520" customFormat="1" ht="18.75" x14ac:dyDescent="0.3">
      <c r="A37" s="513" t="s">
        <v>319</v>
      </c>
      <c r="B37" s="512">
        <v>41225</v>
      </c>
      <c r="C37" s="521" t="s">
        <v>494</v>
      </c>
      <c r="D37" s="321">
        <v>1948</v>
      </c>
      <c r="E37" s="322" t="s">
        <v>474</v>
      </c>
      <c r="F37" s="522">
        <v>21070</v>
      </c>
      <c r="G37" s="324" t="s">
        <v>1114</v>
      </c>
      <c r="H37" s="324">
        <v>2012</v>
      </c>
      <c r="I37" s="522">
        <v>21070</v>
      </c>
      <c r="J37" s="519"/>
      <c r="K37" s="519"/>
      <c r="L37" s="519"/>
      <c r="M37" s="519"/>
      <c r="N37" s="519"/>
      <c r="O37" s="519"/>
      <c r="P37" s="519"/>
      <c r="Q37" s="519"/>
      <c r="R37" s="519"/>
      <c r="S37" s="519"/>
      <c r="T37" s="325">
        <f t="shared" si="0"/>
        <v>21070</v>
      </c>
    </row>
    <row r="38" spans="1:20" s="520" customFormat="1" ht="18.75" x14ac:dyDescent="0.3">
      <c r="A38" s="513" t="s">
        <v>319</v>
      </c>
      <c r="B38" s="512">
        <v>41229</v>
      </c>
      <c r="C38" s="521" t="s">
        <v>495</v>
      </c>
      <c r="D38" s="321">
        <v>1955</v>
      </c>
      <c r="E38" s="322" t="s">
        <v>481</v>
      </c>
      <c r="F38" s="522">
        <v>20231</v>
      </c>
      <c r="G38" s="324" t="s">
        <v>1114</v>
      </c>
      <c r="H38" s="324">
        <v>2012</v>
      </c>
      <c r="I38" s="522">
        <v>20231</v>
      </c>
      <c r="J38" s="519"/>
      <c r="K38" s="519"/>
      <c r="L38" s="519"/>
      <c r="M38" s="519"/>
      <c r="N38" s="519"/>
      <c r="O38" s="519"/>
      <c r="P38" s="519"/>
      <c r="Q38" s="519"/>
      <c r="R38" s="519"/>
      <c r="S38" s="519"/>
      <c r="T38" s="325">
        <f t="shared" si="0"/>
        <v>20231</v>
      </c>
    </row>
    <row r="39" spans="1:20" s="520" customFormat="1" ht="18.75" x14ac:dyDescent="0.3">
      <c r="A39" s="513" t="s">
        <v>319</v>
      </c>
      <c r="B39" s="512">
        <v>41236</v>
      </c>
      <c r="C39" s="521" t="s">
        <v>496</v>
      </c>
      <c r="D39" s="321">
        <v>1964</v>
      </c>
      <c r="E39" s="322" t="s">
        <v>481</v>
      </c>
      <c r="F39" s="522">
        <v>41595</v>
      </c>
      <c r="G39" s="324" t="s">
        <v>1114</v>
      </c>
      <c r="H39" s="324">
        <v>2012</v>
      </c>
      <c r="I39" s="522">
        <v>41595</v>
      </c>
      <c r="J39" s="519"/>
      <c r="K39" s="519"/>
      <c r="L39" s="519"/>
      <c r="M39" s="519"/>
      <c r="N39" s="519"/>
      <c r="O39" s="519"/>
      <c r="P39" s="519"/>
      <c r="Q39" s="519"/>
      <c r="R39" s="519"/>
      <c r="S39" s="519"/>
      <c r="T39" s="325">
        <f t="shared" si="0"/>
        <v>41595</v>
      </c>
    </row>
    <row r="40" spans="1:20" s="520" customFormat="1" ht="18.75" x14ac:dyDescent="0.3">
      <c r="A40" s="513" t="s">
        <v>319</v>
      </c>
      <c r="B40" s="512">
        <v>41236</v>
      </c>
      <c r="C40" s="521" t="s">
        <v>497</v>
      </c>
      <c r="D40" s="321">
        <v>1966</v>
      </c>
      <c r="E40" s="322" t="s">
        <v>481</v>
      </c>
      <c r="F40" s="522">
        <v>16380</v>
      </c>
      <c r="G40" s="324" t="s">
        <v>1114</v>
      </c>
      <c r="H40" s="324">
        <v>2012</v>
      </c>
      <c r="I40" s="522">
        <v>16380</v>
      </c>
      <c r="J40" s="519"/>
      <c r="K40" s="519"/>
      <c r="L40" s="519"/>
      <c r="M40" s="519"/>
      <c r="N40" s="519"/>
      <c r="O40" s="519"/>
      <c r="P40" s="519"/>
      <c r="Q40" s="519"/>
      <c r="R40" s="519"/>
      <c r="S40" s="519"/>
      <c r="T40" s="325">
        <f t="shared" si="0"/>
        <v>16380</v>
      </c>
    </row>
    <row r="41" spans="1:20" s="520" customFormat="1" ht="18.75" x14ac:dyDescent="0.3">
      <c r="A41" s="513" t="s">
        <v>319</v>
      </c>
      <c r="B41" s="512">
        <v>41250</v>
      </c>
      <c r="C41" s="521" t="s">
        <v>498</v>
      </c>
      <c r="D41" s="327">
        <v>1974</v>
      </c>
      <c r="E41" s="322" t="s">
        <v>481</v>
      </c>
      <c r="F41" s="522">
        <v>45947.4</v>
      </c>
      <c r="G41" s="324" t="s">
        <v>1114</v>
      </c>
      <c r="H41" s="324">
        <v>2012</v>
      </c>
      <c r="I41" s="522">
        <v>45947.4</v>
      </c>
      <c r="J41" s="519"/>
      <c r="K41" s="519"/>
      <c r="L41" s="519"/>
      <c r="M41" s="519"/>
      <c r="N41" s="519"/>
      <c r="O41" s="519"/>
      <c r="P41" s="519"/>
      <c r="Q41" s="519"/>
      <c r="R41" s="519"/>
      <c r="S41" s="519"/>
      <c r="T41" s="325">
        <f t="shared" si="0"/>
        <v>45947.4</v>
      </c>
    </row>
    <row r="42" spans="1:20" s="520" customFormat="1" ht="18.75" x14ac:dyDescent="0.3">
      <c r="A42" s="513" t="s">
        <v>319</v>
      </c>
      <c r="B42" s="512">
        <v>41257</v>
      </c>
      <c r="C42" s="521" t="s">
        <v>499</v>
      </c>
      <c r="D42" s="327">
        <v>1984</v>
      </c>
      <c r="E42" s="322" t="s">
        <v>481</v>
      </c>
      <c r="F42" s="522">
        <v>64135</v>
      </c>
      <c r="G42" s="324" t="s">
        <v>1114</v>
      </c>
      <c r="H42" s="324">
        <v>2012</v>
      </c>
      <c r="I42" s="522">
        <v>64135</v>
      </c>
      <c r="J42" s="519"/>
      <c r="K42" s="519"/>
      <c r="L42" s="519"/>
      <c r="M42" s="519"/>
      <c r="N42" s="519"/>
      <c r="O42" s="519"/>
      <c r="P42" s="519"/>
      <c r="Q42" s="519"/>
      <c r="R42" s="519"/>
      <c r="S42" s="519"/>
      <c r="T42" s="325">
        <f t="shared" si="0"/>
        <v>64135</v>
      </c>
    </row>
    <row r="43" spans="1:20" s="520" customFormat="1" ht="18.75" x14ac:dyDescent="0.3">
      <c r="A43" s="513" t="s">
        <v>319</v>
      </c>
      <c r="B43" s="512">
        <v>41263</v>
      </c>
      <c r="C43" s="521" t="s">
        <v>500</v>
      </c>
      <c r="D43" s="327">
        <v>1995</v>
      </c>
      <c r="E43" s="322" t="s">
        <v>481</v>
      </c>
      <c r="F43" s="522">
        <v>24173</v>
      </c>
      <c r="G43" s="324" t="s">
        <v>1114</v>
      </c>
      <c r="H43" s="324">
        <v>2012</v>
      </c>
      <c r="I43" s="522">
        <v>24173</v>
      </c>
      <c r="J43" s="519"/>
      <c r="K43" s="519"/>
      <c r="L43" s="519"/>
      <c r="M43" s="519"/>
      <c r="N43" s="519"/>
      <c r="O43" s="519"/>
      <c r="P43" s="519"/>
      <c r="Q43" s="519"/>
      <c r="R43" s="519"/>
      <c r="S43" s="519"/>
      <c r="T43" s="325">
        <f t="shared" si="0"/>
        <v>24173</v>
      </c>
    </row>
    <row r="44" spans="1:20" s="520" customFormat="1" ht="18.75" x14ac:dyDescent="0.3">
      <c r="A44" s="512" t="s">
        <v>256</v>
      </c>
      <c r="B44" s="513">
        <v>41274</v>
      </c>
      <c r="C44" s="514"/>
      <c r="D44" s="321" t="s">
        <v>501</v>
      </c>
      <c r="E44" s="322" t="s">
        <v>466</v>
      </c>
      <c r="F44" s="515">
        <v>364128</v>
      </c>
      <c r="G44" s="324" t="s">
        <v>1114</v>
      </c>
      <c r="H44" s="324">
        <v>2012</v>
      </c>
      <c r="I44" s="515">
        <v>364128</v>
      </c>
      <c r="J44" s="519"/>
      <c r="K44" s="519"/>
      <c r="L44" s="519"/>
      <c r="M44" s="519"/>
      <c r="N44" s="519"/>
      <c r="O44" s="519"/>
      <c r="P44" s="519"/>
      <c r="Q44" s="519"/>
      <c r="R44" s="519"/>
      <c r="S44" s="519"/>
      <c r="T44" s="325">
        <f t="shared" si="0"/>
        <v>364128</v>
      </c>
    </row>
    <row r="45" spans="1:20" s="520" customFormat="1" ht="18.75" x14ac:dyDescent="0.3">
      <c r="A45" s="513" t="s">
        <v>319</v>
      </c>
      <c r="B45" s="512">
        <v>41283</v>
      </c>
      <c r="C45" s="521" t="s">
        <v>502</v>
      </c>
      <c r="D45" s="321">
        <v>2000</v>
      </c>
      <c r="E45" s="328" t="s">
        <v>503</v>
      </c>
      <c r="F45" s="522">
        <v>25445</v>
      </c>
      <c r="G45" s="324" t="s">
        <v>1114</v>
      </c>
      <c r="H45" s="519">
        <v>2013</v>
      </c>
      <c r="I45" s="522">
        <v>25445</v>
      </c>
      <c r="J45" s="519"/>
      <c r="K45" s="519"/>
      <c r="L45" s="519"/>
      <c r="M45" s="519"/>
      <c r="N45" s="519"/>
      <c r="O45" s="519"/>
      <c r="P45" s="519"/>
      <c r="Q45" s="519"/>
      <c r="R45" s="519"/>
      <c r="S45" s="519"/>
      <c r="T45" s="325">
        <f t="shared" si="0"/>
        <v>25445</v>
      </c>
    </row>
    <row r="46" spans="1:20" s="517" customFormat="1" ht="18.75" x14ac:dyDescent="0.3">
      <c r="A46" s="513" t="s">
        <v>276</v>
      </c>
      <c r="B46" s="512">
        <v>41289</v>
      </c>
      <c r="C46" s="521" t="s">
        <v>504</v>
      </c>
      <c r="D46" s="321">
        <v>218</v>
      </c>
      <c r="E46" s="322" t="s">
        <v>488</v>
      </c>
      <c r="F46" s="523">
        <v>78517.2</v>
      </c>
      <c r="G46" s="324" t="s">
        <v>1114</v>
      </c>
      <c r="H46" s="519">
        <v>2013</v>
      </c>
      <c r="I46" s="523">
        <v>78517.2</v>
      </c>
      <c r="J46" s="516"/>
      <c r="K46" s="516"/>
      <c r="L46" s="516"/>
      <c r="M46" s="516"/>
      <c r="N46" s="516"/>
      <c r="O46" s="516"/>
      <c r="P46" s="516"/>
      <c r="Q46" s="516"/>
      <c r="R46" s="516"/>
      <c r="S46" s="516"/>
      <c r="T46" s="325">
        <f t="shared" si="0"/>
        <v>78517.2</v>
      </c>
    </row>
    <row r="47" spans="1:20" s="517" customFormat="1" ht="18.75" x14ac:dyDescent="0.3">
      <c r="A47" s="513" t="s">
        <v>319</v>
      </c>
      <c r="B47" s="512">
        <v>41305</v>
      </c>
      <c r="C47" s="521" t="s">
        <v>505</v>
      </c>
      <c r="D47" s="321">
        <v>2021</v>
      </c>
      <c r="E47" s="328" t="s">
        <v>506</v>
      </c>
      <c r="F47" s="522">
        <v>23535</v>
      </c>
      <c r="G47" s="324" t="s">
        <v>1114</v>
      </c>
      <c r="H47" s="519">
        <v>2013</v>
      </c>
      <c r="I47" s="522">
        <v>23535</v>
      </c>
      <c r="J47" s="516"/>
      <c r="K47" s="516"/>
      <c r="L47" s="516"/>
      <c r="M47" s="516"/>
      <c r="N47" s="516"/>
      <c r="O47" s="516"/>
      <c r="P47" s="516"/>
      <c r="Q47" s="516"/>
      <c r="R47" s="516"/>
      <c r="S47" s="516"/>
      <c r="T47" s="325">
        <f t="shared" si="0"/>
        <v>23535</v>
      </c>
    </row>
    <row r="48" spans="1:20" s="517" customFormat="1" ht="18.75" x14ac:dyDescent="0.3">
      <c r="A48" s="513" t="s">
        <v>319</v>
      </c>
      <c r="B48" s="512">
        <v>41309</v>
      </c>
      <c r="C48" s="521" t="s">
        <v>507</v>
      </c>
      <c r="D48" s="321">
        <v>2026</v>
      </c>
      <c r="E48" s="328" t="s">
        <v>474</v>
      </c>
      <c r="F48" s="522">
        <v>3480</v>
      </c>
      <c r="G48" s="324" t="s">
        <v>1114</v>
      </c>
      <c r="H48" s="519">
        <v>2013</v>
      </c>
      <c r="I48" s="522">
        <v>3480</v>
      </c>
      <c r="J48" s="516"/>
      <c r="K48" s="516"/>
      <c r="L48" s="516"/>
      <c r="M48" s="516"/>
      <c r="N48" s="516"/>
      <c r="O48" s="516"/>
      <c r="P48" s="516"/>
      <c r="Q48" s="516"/>
      <c r="R48" s="516"/>
      <c r="S48" s="516"/>
      <c r="T48" s="325">
        <f t="shared" si="0"/>
        <v>3480</v>
      </c>
    </row>
    <row r="49" spans="1:20" s="517" customFormat="1" ht="18.75" x14ac:dyDescent="0.3">
      <c r="A49" s="518" t="s">
        <v>369</v>
      </c>
      <c r="B49" s="513">
        <v>41311</v>
      </c>
      <c r="C49" s="514">
        <v>1595</v>
      </c>
      <c r="D49" s="321" t="s">
        <v>508</v>
      </c>
      <c r="E49" s="322" t="s">
        <v>509</v>
      </c>
      <c r="F49" s="515">
        <v>105925</v>
      </c>
      <c r="G49" s="324" t="s">
        <v>1114</v>
      </c>
      <c r="H49" s="519">
        <v>2013</v>
      </c>
      <c r="I49" s="515">
        <v>105925</v>
      </c>
      <c r="J49" s="516"/>
      <c r="K49" s="516"/>
      <c r="L49" s="516"/>
      <c r="M49" s="516"/>
      <c r="N49" s="516"/>
      <c r="O49" s="516"/>
      <c r="P49" s="516"/>
      <c r="Q49" s="516"/>
      <c r="R49" s="516"/>
      <c r="S49" s="516"/>
      <c r="T49" s="325">
        <f t="shared" si="0"/>
        <v>105925</v>
      </c>
    </row>
    <row r="50" spans="1:20" s="517" customFormat="1" ht="18.75" x14ac:dyDescent="0.3">
      <c r="A50" s="513" t="s">
        <v>319</v>
      </c>
      <c r="B50" s="512">
        <v>41352</v>
      </c>
      <c r="C50" s="521" t="s">
        <v>510</v>
      </c>
      <c r="D50" s="321">
        <v>2057</v>
      </c>
      <c r="E50" s="328" t="s">
        <v>474</v>
      </c>
      <c r="F50" s="522">
        <v>64604</v>
      </c>
      <c r="G50" s="324" t="s">
        <v>1114</v>
      </c>
      <c r="H50" s="519">
        <v>2013</v>
      </c>
      <c r="I50" s="522">
        <v>64604</v>
      </c>
      <c r="J50" s="516"/>
      <c r="K50" s="516"/>
      <c r="L50" s="516"/>
      <c r="M50" s="516"/>
      <c r="N50" s="516"/>
      <c r="O50" s="516"/>
      <c r="P50" s="516"/>
      <c r="Q50" s="516"/>
      <c r="R50" s="516"/>
      <c r="S50" s="516"/>
      <c r="T50" s="325">
        <f t="shared" si="0"/>
        <v>64604</v>
      </c>
    </row>
    <row r="51" spans="1:20" s="517" customFormat="1" ht="18.75" x14ac:dyDescent="0.3">
      <c r="A51" s="513" t="s">
        <v>276</v>
      </c>
      <c r="B51" s="512">
        <v>41372</v>
      </c>
      <c r="C51" s="521" t="s">
        <v>511</v>
      </c>
      <c r="D51" s="329">
        <v>220</v>
      </c>
      <c r="E51" s="322" t="s">
        <v>488</v>
      </c>
      <c r="F51" s="522">
        <v>68322</v>
      </c>
      <c r="G51" s="324" t="s">
        <v>1114</v>
      </c>
      <c r="H51" s="519">
        <v>2013</v>
      </c>
      <c r="I51" s="522">
        <v>68322</v>
      </c>
      <c r="J51" s="516"/>
      <c r="K51" s="516"/>
      <c r="L51" s="516"/>
      <c r="M51" s="516"/>
      <c r="N51" s="516"/>
      <c r="O51" s="516"/>
      <c r="P51" s="516"/>
      <c r="Q51" s="516"/>
      <c r="R51" s="516"/>
      <c r="S51" s="516"/>
      <c r="T51" s="325">
        <f t="shared" si="0"/>
        <v>68322</v>
      </c>
    </row>
    <row r="52" spans="1:20" s="517" customFormat="1" ht="18.75" x14ac:dyDescent="0.3">
      <c r="A52" s="518" t="s">
        <v>369</v>
      </c>
      <c r="B52" s="513">
        <v>41375</v>
      </c>
      <c r="C52" s="514">
        <v>2068</v>
      </c>
      <c r="D52" s="321" t="s">
        <v>512</v>
      </c>
      <c r="E52" s="322" t="s">
        <v>509</v>
      </c>
      <c r="F52" s="515">
        <v>99745</v>
      </c>
      <c r="G52" s="324" t="s">
        <v>1114</v>
      </c>
      <c r="H52" s="519">
        <v>2013</v>
      </c>
      <c r="I52" s="515">
        <v>99745</v>
      </c>
      <c r="J52" s="516"/>
      <c r="K52" s="516"/>
      <c r="L52" s="516"/>
      <c r="M52" s="516"/>
      <c r="N52" s="516"/>
      <c r="O52" s="516"/>
      <c r="P52" s="516"/>
      <c r="Q52" s="516"/>
      <c r="R52" s="516"/>
      <c r="S52" s="516"/>
      <c r="T52" s="325">
        <f t="shared" si="0"/>
        <v>99745</v>
      </c>
    </row>
    <row r="53" spans="1:20" s="517" customFormat="1" ht="18.75" x14ac:dyDescent="0.3">
      <c r="A53" s="513" t="s">
        <v>513</v>
      </c>
      <c r="B53" s="512">
        <v>41460</v>
      </c>
      <c r="C53" s="524">
        <v>2460</v>
      </c>
      <c r="D53" s="330">
        <v>1884</v>
      </c>
      <c r="E53" s="328" t="s">
        <v>514</v>
      </c>
      <c r="F53" s="525">
        <v>315500</v>
      </c>
      <c r="G53" s="324" t="s">
        <v>1114</v>
      </c>
      <c r="H53" s="519">
        <v>2013</v>
      </c>
      <c r="I53" s="525">
        <v>315500</v>
      </c>
      <c r="J53" s="516"/>
      <c r="K53" s="516"/>
      <c r="L53" s="516"/>
      <c r="M53" s="516"/>
      <c r="N53" s="516"/>
      <c r="O53" s="516"/>
      <c r="P53" s="516"/>
      <c r="Q53" s="516"/>
      <c r="R53" s="516"/>
      <c r="S53" s="516"/>
      <c r="T53" s="325">
        <f t="shared" si="0"/>
        <v>315500</v>
      </c>
    </row>
    <row r="54" spans="1:20" s="520" customFormat="1" ht="18.75" x14ac:dyDescent="0.3">
      <c r="A54" s="513" t="s">
        <v>513</v>
      </c>
      <c r="B54" s="512">
        <v>41465</v>
      </c>
      <c r="C54" s="524">
        <v>2461</v>
      </c>
      <c r="D54" s="330">
        <v>1891</v>
      </c>
      <c r="E54" s="328" t="s">
        <v>515</v>
      </c>
      <c r="F54" s="525">
        <v>210400</v>
      </c>
      <c r="G54" s="324" t="s">
        <v>1114</v>
      </c>
      <c r="H54" s="519">
        <v>2013</v>
      </c>
      <c r="I54" s="525">
        <v>210400</v>
      </c>
      <c r="J54" s="519"/>
      <c r="K54" s="519"/>
      <c r="L54" s="519"/>
      <c r="M54" s="519"/>
      <c r="N54" s="519"/>
      <c r="O54" s="519"/>
      <c r="P54" s="519"/>
      <c r="Q54" s="519"/>
      <c r="R54" s="519"/>
      <c r="S54" s="519"/>
      <c r="T54" s="325">
        <f t="shared" si="0"/>
        <v>210400</v>
      </c>
    </row>
    <row r="55" spans="1:20" s="520" customFormat="1" ht="18.75" x14ac:dyDescent="0.3">
      <c r="A55" s="513" t="s">
        <v>513</v>
      </c>
      <c r="B55" s="512">
        <v>41472</v>
      </c>
      <c r="C55" s="524">
        <v>2462</v>
      </c>
      <c r="D55" s="330">
        <v>1892</v>
      </c>
      <c r="E55" s="328" t="s">
        <v>514</v>
      </c>
      <c r="F55" s="525">
        <v>318800</v>
      </c>
      <c r="G55" s="324" t="s">
        <v>1114</v>
      </c>
      <c r="H55" s="519">
        <v>2013</v>
      </c>
      <c r="I55" s="525">
        <v>318800</v>
      </c>
      <c r="J55" s="519"/>
      <c r="K55" s="519"/>
      <c r="L55" s="519"/>
      <c r="M55" s="519"/>
      <c r="N55" s="519"/>
      <c r="O55" s="519"/>
      <c r="P55" s="519"/>
      <c r="Q55" s="519"/>
      <c r="R55" s="519"/>
      <c r="S55" s="519"/>
      <c r="T55" s="325">
        <f t="shared" si="0"/>
        <v>318800</v>
      </c>
    </row>
    <row r="56" spans="1:20" s="520" customFormat="1" ht="18.75" x14ac:dyDescent="0.3">
      <c r="A56" s="513" t="s">
        <v>513</v>
      </c>
      <c r="B56" s="512">
        <v>41478</v>
      </c>
      <c r="C56" s="524">
        <v>2463</v>
      </c>
      <c r="D56" s="330">
        <v>1896</v>
      </c>
      <c r="E56" s="328" t="s">
        <v>515</v>
      </c>
      <c r="F56" s="525">
        <v>216600</v>
      </c>
      <c r="G56" s="324" t="s">
        <v>1114</v>
      </c>
      <c r="H56" s="519">
        <v>2013</v>
      </c>
      <c r="I56" s="525">
        <v>216600</v>
      </c>
      <c r="J56" s="519"/>
      <c r="K56" s="519"/>
      <c r="L56" s="519"/>
      <c r="M56" s="519"/>
      <c r="N56" s="519"/>
      <c r="O56" s="519"/>
      <c r="P56" s="519"/>
      <c r="Q56" s="519"/>
      <c r="R56" s="519"/>
      <c r="S56" s="519"/>
      <c r="T56" s="325">
        <f t="shared" si="0"/>
        <v>216600</v>
      </c>
    </row>
    <row r="57" spans="1:20" s="520" customFormat="1" ht="18.75" x14ac:dyDescent="0.3">
      <c r="A57" s="513" t="s">
        <v>303</v>
      </c>
      <c r="B57" s="512">
        <v>41484</v>
      </c>
      <c r="C57" s="521">
        <v>2707</v>
      </c>
      <c r="D57" s="330">
        <v>1329</v>
      </c>
      <c r="E57" s="328" t="s">
        <v>516</v>
      </c>
      <c r="F57" s="522">
        <v>2747.04</v>
      </c>
      <c r="G57" s="324" t="s">
        <v>1114</v>
      </c>
      <c r="H57" s="519">
        <v>2013</v>
      </c>
      <c r="I57" s="522">
        <v>2747.04</v>
      </c>
      <c r="J57" s="519"/>
      <c r="K57" s="519"/>
      <c r="L57" s="519"/>
      <c r="M57" s="519"/>
      <c r="N57" s="519"/>
      <c r="O57" s="519"/>
      <c r="P57" s="519"/>
      <c r="Q57" s="519"/>
      <c r="R57" s="519"/>
      <c r="S57" s="519"/>
      <c r="T57" s="325">
        <f t="shared" si="0"/>
        <v>2747.04</v>
      </c>
    </row>
    <row r="58" spans="1:20" s="520" customFormat="1" ht="18.75" x14ac:dyDescent="0.3">
      <c r="A58" s="513" t="s">
        <v>513</v>
      </c>
      <c r="B58" s="512">
        <v>41486</v>
      </c>
      <c r="C58" s="524">
        <v>2481</v>
      </c>
      <c r="D58" s="330">
        <v>1898</v>
      </c>
      <c r="E58" s="328" t="s">
        <v>514</v>
      </c>
      <c r="F58" s="525">
        <v>324800</v>
      </c>
      <c r="G58" s="324" t="s">
        <v>1114</v>
      </c>
      <c r="H58" s="519">
        <v>2013</v>
      </c>
      <c r="I58" s="525">
        <v>324800</v>
      </c>
      <c r="J58" s="519"/>
      <c r="K58" s="519"/>
      <c r="L58" s="519"/>
      <c r="M58" s="519"/>
      <c r="N58" s="519"/>
      <c r="O58" s="519"/>
      <c r="P58" s="519"/>
      <c r="Q58" s="519"/>
      <c r="R58" s="519"/>
      <c r="S58" s="519"/>
      <c r="T58" s="325">
        <f t="shared" si="0"/>
        <v>324800</v>
      </c>
    </row>
    <row r="59" spans="1:20" s="520" customFormat="1" ht="18.75" x14ac:dyDescent="0.3">
      <c r="A59" s="513" t="s">
        <v>513</v>
      </c>
      <c r="B59" s="512">
        <v>41486</v>
      </c>
      <c r="C59" s="524">
        <v>2495</v>
      </c>
      <c r="D59" s="330">
        <v>1904</v>
      </c>
      <c r="E59" s="328" t="s">
        <v>517</v>
      </c>
      <c r="F59" s="525">
        <v>39612.019999999997</v>
      </c>
      <c r="G59" s="324" t="s">
        <v>1114</v>
      </c>
      <c r="H59" s="519">
        <v>2013</v>
      </c>
      <c r="I59" s="525">
        <v>39612.019999999997</v>
      </c>
      <c r="J59" s="519"/>
      <c r="K59" s="519"/>
      <c r="L59" s="519"/>
      <c r="M59" s="519"/>
      <c r="N59" s="519"/>
      <c r="O59" s="519"/>
      <c r="P59" s="519"/>
      <c r="Q59" s="519"/>
      <c r="R59" s="519"/>
      <c r="S59" s="519"/>
      <c r="T59" s="325">
        <f t="shared" si="0"/>
        <v>39612.019999999997</v>
      </c>
    </row>
    <row r="60" spans="1:20" s="520" customFormat="1" ht="18.75" x14ac:dyDescent="0.3">
      <c r="A60" s="513" t="s">
        <v>513</v>
      </c>
      <c r="B60" s="512">
        <v>41499</v>
      </c>
      <c r="C60" s="524">
        <v>2548</v>
      </c>
      <c r="D60" s="330">
        <v>1912</v>
      </c>
      <c r="E60" s="328" t="s">
        <v>514</v>
      </c>
      <c r="F60" s="525">
        <v>324800</v>
      </c>
      <c r="G60" s="324" t="s">
        <v>1114</v>
      </c>
      <c r="H60" s="519">
        <v>2013</v>
      </c>
      <c r="I60" s="525">
        <v>324800</v>
      </c>
      <c r="J60" s="519"/>
      <c r="K60" s="519"/>
      <c r="L60" s="519"/>
      <c r="M60" s="519"/>
      <c r="N60" s="519"/>
      <c r="O60" s="519"/>
      <c r="P60" s="519"/>
      <c r="Q60" s="519"/>
      <c r="R60" s="519"/>
      <c r="S60" s="519"/>
      <c r="T60" s="325">
        <f t="shared" si="0"/>
        <v>324800</v>
      </c>
    </row>
    <row r="61" spans="1:20" s="520" customFormat="1" ht="18.75" x14ac:dyDescent="0.3">
      <c r="A61" s="513" t="s">
        <v>303</v>
      </c>
      <c r="B61" s="512">
        <v>41509</v>
      </c>
      <c r="C61" s="521">
        <v>2682</v>
      </c>
      <c r="D61" s="330">
        <v>1377</v>
      </c>
      <c r="E61" s="328" t="s">
        <v>516</v>
      </c>
      <c r="F61" s="523">
        <v>6043.49</v>
      </c>
      <c r="G61" s="324" t="s">
        <v>1114</v>
      </c>
      <c r="H61" s="519">
        <v>2013</v>
      </c>
      <c r="I61" s="523">
        <v>6043.49</v>
      </c>
      <c r="J61" s="519"/>
      <c r="K61" s="519"/>
      <c r="L61" s="519"/>
      <c r="M61" s="519"/>
      <c r="N61" s="519"/>
      <c r="O61" s="519"/>
      <c r="P61" s="519"/>
      <c r="Q61" s="519"/>
      <c r="R61" s="519"/>
      <c r="S61" s="519"/>
      <c r="T61" s="325">
        <f t="shared" si="0"/>
        <v>6043.49</v>
      </c>
    </row>
    <row r="62" spans="1:20" s="520" customFormat="1" ht="18.75" x14ac:dyDescent="0.3">
      <c r="A62" s="513" t="s">
        <v>513</v>
      </c>
      <c r="B62" s="512">
        <v>41513</v>
      </c>
      <c r="C62" s="524">
        <v>2572</v>
      </c>
      <c r="D62" s="330">
        <v>1915</v>
      </c>
      <c r="E62" s="328" t="s">
        <v>514</v>
      </c>
      <c r="F62" s="525">
        <v>328100</v>
      </c>
      <c r="G62" s="324" t="s">
        <v>1114</v>
      </c>
      <c r="H62" s="519">
        <v>2013</v>
      </c>
      <c r="I62" s="525">
        <v>328100</v>
      </c>
      <c r="J62" s="519"/>
      <c r="K62" s="519"/>
      <c r="L62" s="519"/>
      <c r="M62" s="519"/>
      <c r="N62" s="519"/>
      <c r="O62" s="519"/>
      <c r="P62" s="519"/>
      <c r="Q62" s="519"/>
      <c r="R62" s="519"/>
      <c r="S62" s="519"/>
      <c r="T62" s="325">
        <f t="shared" si="0"/>
        <v>328100</v>
      </c>
    </row>
    <row r="63" spans="1:20" s="520" customFormat="1" ht="18.75" x14ac:dyDescent="0.3">
      <c r="A63" s="513" t="s">
        <v>513</v>
      </c>
      <c r="B63" s="512">
        <v>41517</v>
      </c>
      <c r="C63" s="524">
        <v>2941</v>
      </c>
      <c r="D63" s="330">
        <v>1927</v>
      </c>
      <c r="E63" s="328" t="s">
        <v>517</v>
      </c>
      <c r="F63" s="525">
        <v>30084.38</v>
      </c>
      <c r="G63" s="324" t="s">
        <v>1114</v>
      </c>
      <c r="H63" s="519">
        <v>2013</v>
      </c>
      <c r="I63" s="525">
        <v>30084.38</v>
      </c>
      <c r="J63" s="519"/>
      <c r="K63" s="519"/>
      <c r="L63" s="519"/>
      <c r="M63" s="519"/>
      <c r="N63" s="519"/>
      <c r="O63" s="519"/>
      <c r="P63" s="519"/>
      <c r="Q63" s="519"/>
      <c r="R63" s="519"/>
      <c r="S63" s="519"/>
      <c r="T63" s="325">
        <f t="shared" si="0"/>
        <v>30084.38</v>
      </c>
    </row>
    <row r="64" spans="1:20" s="520" customFormat="1" ht="18.75" x14ac:dyDescent="0.3">
      <c r="A64" s="513" t="s">
        <v>306</v>
      </c>
      <c r="B64" s="512">
        <v>41518</v>
      </c>
      <c r="C64" s="521">
        <v>2561</v>
      </c>
      <c r="D64" s="330">
        <v>130705</v>
      </c>
      <c r="E64" s="328" t="s">
        <v>518</v>
      </c>
      <c r="F64" s="522">
        <v>1970.6</v>
      </c>
      <c r="G64" s="324" t="s">
        <v>1114</v>
      </c>
      <c r="H64" s="519">
        <v>2013</v>
      </c>
      <c r="I64" s="522">
        <v>1970.6</v>
      </c>
      <c r="J64" s="519"/>
      <c r="K64" s="519"/>
      <c r="L64" s="519"/>
      <c r="M64" s="519"/>
      <c r="N64" s="519"/>
      <c r="O64" s="519"/>
      <c r="P64" s="519"/>
      <c r="Q64" s="519"/>
      <c r="R64" s="519"/>
      <c r="S64" s="519"/>
      <c r="T64" s="325">
        <f t="shared" si="0"/>
        <v>1970.6</v>
      </c>
    </row>
    <row r="65" spans="1:20" s="520" customFormat="1" ht="18.75" x14ac:dyDescent="0.3">
      <c r="A65" s="513" t="s">
        <v>513</v>
      </c>
      <c r="B65" s="512">
        <v>41527</v>
      </c>
      <c r="C65" s="524">
        <v>2701</v>
      </c>
      <c r="D65" s="330">
        <v>1930</v>
      </c>
      <c r="E65" s="328" t="s">
        <v>514</v>
      </c>
      <c r="F65" s="525">
        <v>331550</v>
      </c>
      <c r="G65" s="324" t="s">
        <v>1114</v>
      </c>
      <c r="H65" s="519">
        <v>2013</v>
      </c>
      <c r="I65" s="525">
        <v>331550</v>
      </c>
      <c r="J65" s="519"/>
      <c r="K65" s="519"/>
      <c r="L65" s="519"/>
      <c r="M65" s="519"/>
      <c r="N65" s="519"/>
      <c r="O65" s="519"/>
      <c r="P65" s="519"/>
      <c r="Q65" s="519"/>
      <c r="R65" s="519"/>
      <c r="S65" s="519"/>
      <c r="T65" s="325">
        <f t="shared" si="0"/>
        <v>331550</v>
      </c>
    </row>
    <row r="66" spans="1:20" s="520" customFormat="1" ht="18.75" x14ac:dyDescent="0.3">
      <c r="A66" s="513" t="s">
        <v>513</v>
      </c>
      <c r="B66" s="512">
        <v>41540</v>
      </c>
      <c r="C66" s="524">
        <v>2693</v>
      </c>
      <c r="D66" s="330">
        <v>1932</v>
      </c>
      <c r="E66" s="328" t="s">
        <v>514</v>
      </c>
      <c r="F66" s="525">
        <v>331550</v>
      </c>
      <c r="G66" s="324" t="s">
        <v>1114</v>
      </c>
      <c r="H66" s="519">
        <v>2013</v>
      </c>
      <c r="I66" s="525">
        <v>331550</v>
      </c>
      <c r="J66" s="519"/>
      <c r="K66" s="519"/>
      <c r="L66" s="519"/>
      <c r="M66" s="519"/>
      <c r="N66" s="519"/>
      <c r="O66" s="519"/>
      <c r="P66" s="519"/>
      <c r="Q66" s="519"/>
      <c r="R66" s="519"/>
      <c r="S66" s="519"/>
      <c r="T66" s="325">
        <f t="shared" si="0"/>
        <v>331550</v>
      </c>
    </row>
    <row r="67" spans="1:20" s="520" customFormat="1" ht="18.75" x14ac:dyDescent="0.3">
      <c r="A67" s="513" t="s">
        <v>513</v>
      </c>
      <c r="B67" s="512">
        <v>41547</v>
      </c>
      <c r="C67" s="524">
        <v>2825</v>
      </c>
      <c r="D67" s="330">
        <v>1941</v>
      </c>
      <c r="E67" s="328" t="s">
        <v>517</v>
      </c>
      <c r="F67" s="525">
        <v>31327.37</v>
      </c>
      <c r="G67" s="324" t="s">
        <v>1114</v>
      </c>
      <c r="H67" s="519">
        <v>2013</v>
      </c>
      <c r="I67" s="525">
        <v>31327.37</v>
      </c>
      <c r="J67" s="519"/>
      <c r="K67" s="519"/>
      <c r="L67" s="519"/>
      <c r="M67" s="519"/>
      <c r="N67" s="519"/>
      <c r="O67" s="519"/>
      <c r="P67" s="519"/>
      <c r="Q67" s="519"/>
      <c r="R67" s="519"/>
      <c r="S67" s="519"/>
      <c r="T67" s="325">
        <f t="shared" si="0"/>
        <v>31327.37</v>
      </c>
    </row>
    <row r="68" spans="1:20" s="520" customFormat="1" ht="18.75" x14ac:dyDescent="0.3">
      <c r="A68" s="513" t="s">
        <v>513</v>
      </c>
      <c r="B68" s="512">
        <v>41550</v>
      </c>
      <c r="C68" s="524">
        <v>2864</v>
      </c>
      <c r="D68" s="331">
        <v>1940</v>
      </c>
      <c r="E68" s="328" t="s">
        <v>515</v>
      </c>
      <c r="F68" s="525">
        <v>219900</v>
      </c>
      <c r="G68" s="324" t="s">
        <v>1114</v>
      </c>
      <c r="H68" s="519">
        <v>2013</v>
      </c>
      <c r="I68" s="525">
        <v>219900</v>
      </c>
      <c r="J68" s="519"/>
      <c r="K68" s="519"/>
      <c r="L68" s="519"/>
      <c r="M68" s="519"/>
      <c r="N68" s="519"/>
      <c r="O68" s="519"/>
      <c r="P68" s="519"/>
      <c r="Q68" s="519"/>
      <c r="R68" s="519"/>
      <c r="S68" s="519"/>
      <c r="T68" s="325">
        <f t="shared" si="0"/>
        <v>219900</v>
      </c>
    </row>
    <row r="69" spans="1:20" s="520" customFormat="1" ht="18.75" x14ac:dyDescent="0.3">
      <c r="A69" s="513" t="s">
        <v>303</v>
      </c>
      <c r="B69" s="512">
        <v>41556</v>
      </c>
      <c r="C69" s="521">
        <v>2853</v>
      </c>
      <c r="D69" s="331">
        <v>1449</v>
      </c>
      <c r="E69" s="328" t="s">
        <v>516</v>
      </c>
      <c r="F69" s="522">
        <v>6749.6</v>
      </c>
      <c r="G69" s="324" t="s">
        <v>1114</v>
      </c>
      <c r="H69" s="519">
        <v>2013</v>
      </c>
      <c r="I69" s="522">
        <v>6749.6</v>
      </c>
      <c r="J69" s="519"/>
      <c r="K69" s="519"/>
      <c r="L69" s="519"/>
      <c r="M69" s="519"/>
      <c r="N69" s="519"/>
      <c r="O69" s="519"/>
      <c r="P69" s="519"/>
      <c r="Q69" s="519"/>
      <c r="R69" s="519"/>
      <c r="S69" s="519"/>
      <c r="T69" s="325">
        <f t="shared" si="0"/>
        <v>6749.6</v>
      </c>
    </row>
    <row r="70" spans="1:20" s="520" customFormat="1" ht="18.75" x14ac:dyDescent="0.3">
      <c r="A70" s="513" t="s">
        <v>513</v>
      </c>
      <c r="B70" s="512">
        <v>41557</v>
      </c>
      <c r="C70" s="524">
        <v>2865</v>
      </c>
      <c r="D70" s="331">
        <v>1944</v>
      </c>
      <c r="E70" s="328" t="s">
        <v>514</v>
      </c>
      <c r="F70" s="525">
        <v>327800</v>
      </c>
      <c r="G70" s="324" t="s">
        <v>1114</v>
      </c>
      <c r="H70" s="519">
        <v>2013</v>
      </c>
      <c r="I70" s="525">
        <v>327800</v>
      </c>
      <c r="J70" s="519"/>
      <c r="K70" s="519"/>
      <c r="L70" s="519"/>
      <c r="M70" s="519"/>
      <c r="N70" s="519"/>
      <c r="O70" s="519"/>
      <c r="P70" s="519"/>
      <c r="Q70" s="519"/>
      <c r="R70" s="519"/>
      <c r="S70" s="519"/>
      <c r="T70" s="325">
        <f t="shared" si="0"/>
        <v>327800</v>
      </c>
    </row>
    <row r="71" spans="1:20" s="520" customFormat="1" ht="18.75" x14ac:dyDescent="0.3">
      <c r="A71" s="513" t="s">
        <v>513</v>
      </c>
      <c r="B71" s="512">
        <v>41571</v>
      </c>
      <c r="C71" s="524">
        <v>2824</v>
      </c>
      <c r="D71" s="331">
        <v>1951</v>
      </c>
      <c r="E71" s="328" t="s">
        <v>514</v>
      </c>
      <c r="F71" s="525">
        <v>327800</v>
      </c>
      <c r="G71" s="324" t="s">
        <v>1114</v>
      </c>
      <c r="H71" s="519">
        <v>2013</v>
      </c>
      <c r="I71" s="525">
        <v>327800</v>
      </c>
      <c r="J71" s="519"/>
      <c r="K71" s="519"/>
      <c r="L71" s="519"/>
      <c r="M71" s="519"/>
      <c r="N71" s="519"/>
      <c r="O71" s="519"/>
      <c r="P71" s="519"/>
      <c r="Q71" s="519"/>
      <c r="R71" s="519"/>
      <c r="S71" s="519"/>
      <c r="T71" s="325">
        <f t="shared" si="0"/>
        <v>327800</v>
      </c>
    </row>
    <row r="72" spans="1:20" s="520" customFormat="1" ht="18.75" x14ac:dyDescent="0.3">
      <c r="A72" s="513" t="s">
        <v>513</v>
      </c>
      <c r="B72" s="512">
        <v>41578</v>
      </c>
      <c r="C72" s="524">
        <v>3602</v>
      </c>
      <c r="D72" s="331">
        <v>1959</v>
      </c>
      <c r="E72" s="328" t="s">
        <v>519</v>
      </c>
      <c r="F72" s="525">
        <v>55840.11</v>
      </c>
      <c r="G72" s="324" t="s">
        <v>1114</v>
      </c>
      <c r="H72" s="519">
        <v>2013</v>
      </c>
      <c r="I72" s="525">
        <v>55840.11</v>
      </c>
      <c r="J72" s="519"/>
      <c r="K72" s="519"/>
      <c r="L72" s="519"/>
      <c r="M72" s="519"/>
      <c r="N72" s="519"/>
      <c r="O72" s="519"/>
      <c r="P72" s="519"/>
      <c r="Q72" s="519"/>
      <c r="R72" s="519"/>
      <c r="S72" s="519"/>
      <c r="T72" s="325">
        <f t="shared" si="0"/>
        <v>55840.11</v>
      </c>
    </row>
    <row r="73" spans="1:20" s="520" customFormat="1" ht="18.75" x14ac:dyDescent="0.3">
      <c r="A73" s="513" t="s">
        <v>513</v>
      </c>
      <c r="B73" s="512">
        <v>41579</v>
      </c>
      <c r="C73" s="524">
        <v>2969</v>
      </c>
      <c r="D73" s="331">
        <v>1955</v>
      </c>
      <c r="E73" s="328" t="s">
        <v>515</v>
      </c>
      <c r="F73" s="525">
        <v>218600</v>
      </c>
      <c r="G73" s="324" t="s">
        <v>1114</v>
      </c>
      <c r="H73" s="519">
        <v>2013</v>
      </c>
      <c r="I73" s="525">
        <v>218600</v>
      </c>
      <c r="J73" s="519"/>
      <c r="K73" s="519"/>
      <c r="L73" s="519"/>
      <c r="M73" s="519"/>
      <c r="N73" s="519"/>
      <c r="O73" s="519"/>
      <c r="P73" s="519"/>
      <c r="Q73" s="519"/>
      <c r="R73" s="519"/>
      <c r="S73" s="519"/>
      <c r="T73" s="325">
        <f t="shared" si="0"/>
        <v>218600</v>
      </c>
    </row>
    <row r="74" spans="1:20" s="520" customFormat="1" ht="18.75" x14ac:dyDescent="0.3">
      <c r="A74" s="518" t="s">
        <v>369</v>
      </c>
      <c r="B74" s="513">
        <v>41580</v>
      </c>
      <c r="C74" s="514">
        <v>1126</v>
      </c>
      <c r="D74" s="321" t="s">
        <v>520</v>
      </c>
      <c r="E74" s="322" t="s">
        <v>509</v>
      </c>
      <c r="F74" s="515">
        <v>111270</v>
      </c>
      <c r="G74" s="324" t="s">
        <v>1114</v>
      </c>
      <c r="H74" s="519">
        <v>2013</v>
      </c>
      <c r="I74" s="515">
        <v>111270</v>
      </c>
      <c r="J74" s="519"/>
      <c r="K74" s="519"/>
      <c r="L74" s="519"/>
      <c r="M74" s="519"/>
      <c r="N74" s="519"/>
      <c r="O74" s="519"/>
      <c r="P74" s="519"/>
      <c r="Q74" s="519"/>
      <c r="R74" s="519"/>
      <c r="S74" s="519"/>
      <c r="T74" s="325">
        <f t="shared" si="0"/>
        <v>111270</v>
      </c>
    </row>
    <row r="75" spans="1:20" s="520" customFormat="1" ht="18.75" x14ac:dyDescent="0.3">
      <c r="A75" s="518" t="s">
        <v>369</v>
      </c>
      <c r="B75" s="513">
        <v>41585</v>
      </c>
      <c r="C75" s="514">
        <v>1127</v>
      </c>
      <c r="D75" s="321" t="s">
        <v>521</v>
      </c>
      <c r="E75" s="322" t="s">
        <v>492</v>
      </c>
      <c r="F75" s="515">
        <v>71675</v>
      </c>
      <c r="G75" s="324" t="s">
        <v>1114</v>
      </c>
      <c r="H75" s="519">
        <v>2013</v>
      </c>
      <c r="I75" s="515">
        <v>71675</v>
      </c>
      <c r="J75" s="519"/>
      <c r="K75" s="519"/>
      <c r="L75" s="519"/>
      <c r="M75" s="519"/>
      <c r="N75" s="519"/>
      <c r="O75" s="519"/>
      <c r="P75" s="519"/>
      <c r="Q75" s="519"/>
      <c r="R75" s="519"/>
      <c r="S75" s="519"/>
      <c r="T75" s="325">
        <f t="shared" ref="T75:T138" si="1">SUM(I75:S75)</f>
        <v>71675</v>
      </c>
    </row>
    <row r="76" spans="1:20" s="520" customFormat="1" ht="18.75" x14ac:dyDescent="0.3">
      <c r="A76" s="518" t="s">
        <v>369</v>
      </c>
      <c r="B76" s="513">
        <v>41586</v>
      </c>
      <c r="C76" s="514">
        <v>1128</v>
      </c>
      <c r="D76" s="321" t="s">
        <v>522</v>
      </c>
      <c r="E76" s="322" t="s">
        <v>509</v>
      </c>
      <c r="F76" s="515">
        <v>58400</v>
      </c>
      <c r="G76" s="324" t="s">
        <v>1114</v>
      </c>
      <c r="H76" s="519">
        <v>2013</v>
      </c>
      <c r="I76" s="515">
        <v>58400</v>
      </c>
      <c r="J76" s="519"/>
      <c r="K76" s="519"/>
      <c r="L76" s="519"/>
      <c r="M76" s="519"/>
      <c r="N76" s="519"/>
      <c r="O76" s="519"/>
      <c r="P76" s="519"/>
      <c r="Q76" s="519"/>
      <c r="R76" s="519"/>
      <c r="S76" s="519"/>
      <c r="T76" s="325">
        <f t="shared" si="1"/>
        <v>58400</v>
      </c>
    </row>
    <row r="77" spans="1:20" s="520" customFormat="1" ht="18.75" x14ac:dyDescent="0.3">
      <c r="A77" s="512" t="s">
        <v>385</v>
      </c>
      <c r="B77" s="512">
        <v>41589</v>
      </c>
      <c r="C77" s="521">
        <v>3037</v>
      </c>
      <c r="D77" s="327">
        <v>38124</v>
      </c>
      <c r="E77" s="332" t="s">
        <v>523</v>
      </c>
      <c r="F77" s="522">
        <v>15800</v>
      </c>
      <c r="G77" s="324" t="s">
        <v>1114</v>
      </c>
      <c r="H77" s="519">
        <v>2013</v>
      </c>
      <c r="I77" s="522">
        <v>15800</v>
      </c>
      <c r="J77" s="519"/>
      <c r="K77" s="519"/>
      <c r="L77" s="519"/>
      <c r="M77" s="519"/>
      <c r="N77" s="519"/>
      <c r="O77" s="519"/>
      <c r="P77" s="519"/>
      <c r="Q77" s="519"/>
      <c r="R77" s="519"/>
      <c r="S77" s="519"/>
      <c r="T77" s="325">
        <f t="shared" si="1"/>
        <v>15800</v>
      </c>
    </row>
    <row r="78" spans="1:20" s="520" customFormat="1" ht="18.75" x14ac:dyDescent="0.3">
      <c r="A78" s="513" t="s">
        <v>513</v>
      </c>
      <c r="B78" s="512">
        <v>41590</v>
      </c>
      <c r="C78" s="524">
        <v>2968</v>
      </c>
      <c r="D78" s="331">
        <v>1966</v>
      </c>
      <c r="E78" s="328" t="s">
        <v>514</v>
      </c>
      <c r="F78" s="525">
        <v>324500</v>
      </c>
      <c r="G78" s="324" t="s">
        <v>1114</v>
      </c>
      <c r="H78" s="519">
        <v>2013</v>
      </c>
      <c r="I78" s="525">
        <v>324500</v>
      </c>
      <c r="J78" s="519"/>
      <c r="K78" s="519"/>
      <c r="L78" s="519"/>
      <c r="M78" s="519"/>
      <c r="N78" s="519"/>
      <c r="O78" s="519"/>
      <c r="P78" s="519"/>
      <c r="Q78" s="519"/>
      <c r="R78" s="519"/>
      <c r="S78" s="519"/>
      <c r="T78" s="325">
        <f t="shared" si="1"/>
        <v>324500</v>
      </c>
    </row>
    <row r="79" spans="1:20" s="520" customFormat="1" ht="18.75" x14ac:dyDescent="0.3">
      <c r="A79" s="518" t="s">
        <v>369</v>
      </c>
      <c r="B79" s="513">
        <v>41590</v>
      </c>
      <c r="C79" s="514">
        <v>1129</v>
      </c>
      <c r="D79" s="321" t="s">
        <v>524</v>
      </c>
      <c r="E79" s="322" t="s">
        <v>492</v>
      </c>
      <c r="F79" s="515">
        <v>33025</v>
      </c>
      <c r="G79" s="324" t="s">
        <v>1114</v>
      </c>
      <c r="H79" s="519">
        <v>2013</v>
      </c>
      <c r="I79" s="515">
        <v>33025</v>
      </c>
      <c r="J79" s="519"/>
      <c r="K79" s="519"/>
      <c r="L79" s="519"/>
      <c r="M79" s="519"/>
      <c r="N79" s="519"/>
      <c r="O79" s="519"/>
      <c r="P79" s="519"/>
      <c r="Q79" s="519"/>
      <c r="R79" s="519"/>
      <c r="S79" s="519"/>
      <c r="T79" s="325">
        <f t="shared" si="1"/>
        <v>33025</v>
      </c>
    </row>
    <row r="80" spans="1:20" s="520" customFormat="1" ht="18.75" x14ac:dyDescent="0.3">
      <c r="A80" s="518" t="s">
        <v>369</v>
      </c>
      <c r="B80" s="513">
        <v>41594</v>
      </c>
      <c r="C80" s="514">
        <v>1130</v>
      </c>
      <c r="D80" s="321" t="s">
        <v>525</v>
      </c>
      <c r="E80" s="322" t="s">
        <v>492</v>
      </c>
      <c r="F80" s="515">
        <v>143700</v>
      </c>
      <c r="G80" s="324" t="s">
        <v>1114</v>
      </c>
      <c r="H80" s="519">
        <v>2013</v>
      </c>
      <c r="I80" s="515">
        <v>143700</v>
      </c>
      <c r="J80" s="519"/>
      <c r="K80" s="519"/>
      <c r="L80" s="519"/>
      <c r="M80" s="519"/>
      <c r="N80" s="519"/>
      <c r="O80" s="519"/>
      <c r="P80" s="519"/>
      <c r="Q80" s="519"/>
      <c r="R80" s="519"/>
      <c r="S80" s="519"/>
      <c r="T80" s="325">
        <f t="shared" si="1"/>
        <v>143700</v>
      </c>
    </row>
    <row r="81" spans="1:20" s="520" customFormat="1" ht="18.75" x14ac:dyDescent="0.3">
      <c r="A81" s="512" t="s">
        <v>370</v>
      </c>
      <c r="B81" s="513">
        <v>41597</v>
      </c>
      <c r="C81" s="514">
        <v>3474</v>
      </c>
      <c r="D81" s="321" t="s">
        <v>526</v>
      </c>
      <c r="E81" s="322" t="s">
        <v>527</v>
      </c>
      <c r="F81" s="515">
        <v>272080</v>
      </c>
      <c r="G81" s="324" t="s">
        <v>1114</v>
      </c>
      <c r="H81" s="519">
        <v>2013</v>
      </c>
      <c r="I81" s="515">
        <v>272080</v>
      </c>
      <c r="J81" s="519"/>
      <c r="K81" s="519"/>
      <c r="L81" s="519"/>
      <c r="M81" s="519"/>
      <c r="N81" s="519"/>
      <c r="O81" s="519"/>
      <c r="P81" s="519"/>
      <c r="Q81" s="519"/>
      <c r="R81" s="519"/>
      <c r="S81" s="519"/>
      <c r="T81" s="325">
        <f t="shared" si="1"/>
        <v>272080</v>
      </c>
    </row>
    <row r="82" spans="1:20" s="520" customFormat="1" ht="18.75" x14ac:dyDescent="0.3">
      <c r="A82" s="512" t="s">
        <v>370</v>
      </c>
      <c r="B82" s="513">
        <v>41599</v>
      </c>
      <c r="C82" s="514">
        <v>3075</v>
      </c>
      <c r="D82" s="321" t="s">
        <v>528</v>
      </c>
      <c r="E82" s="322" t="s">
        <v>527</v>
      </c>
      <c r="F82" s="515">
        <v>230692</v>
      </c>
      <c r="G82" s="324" t="s">
        <v>1114</v>
      </c>
      <c r="H82" s="519">
        <v>2013</v>
      </c>
      <c r="I82" s="515">
        <v>230692</v>
      </c>
      <c r="J82" s="519"/>
      <c r="K82" s="519"/>
      <c r="L82" s="519"/>
      <c r="M82" s="519"/>
      <c r="N82" s="519"/>
      <c r="O82" s="519"/>
      <c r="P82" s="519"/>
      <c r="Q82" s="519"/>
      <c r="R82" s="519"/>
      <c r="S82" s="519"/>
      <c r="T82" s="325">
        <f t="shared" si="1"/>
        <v>230692</v>
      </c>
    </row>
    <row r="83" spans="1:20" s="520" customFormat="1" ht="18.75" x14ac:dyDescent="0.3">
      <c r="A83" s="512" t="s">
        <v>370</v>
      </c>
      <c r="B83" s="513">
        <v>41604</v>
      </c>
      <c r="C83" s="514">
        <v>3384</v>
      </c>
      <c r="D83" s="321" t="s">
        <v>529</v>
      </c>
      <c r="E83" s="322" t="s">
        <v>527</v>
      </c>
      <c r="F83" s="515">
        <v>267120</v>
      </c>
      <c r="G83" s="324" t="s">
        <v>1114</v>
      </c>
      <c r="H83" s="519">
        <v>2013</v>
      </c>
      <c r="I83" s="515">
        <v>267120</v>
      </c>
      <c r="J83" s="519"/>
      <c r="K83" s="519"/>
      <c r="L83" s="519"/>
      <c r="M83" s="519"/>
      <c r="N83" s="519"/>
      <c r="O83" s="519"/>
      <c r="P83" s="519"/>
      <c r="Q83" s="519"/>
      <c r="R83" s="519"/>
      <c r="S83" s="519"/>
      <c r="T83" s="325">
        <f t="shared" si="1"/>
        <v>267120</v>
      </c>
    </row>
    <row r="84" spans="1:20" s="520" customFormat="1" ht="18.75" x14ac:dyDescent="0.3">
      <c r="A84" s="513" t="s">
        <v>513</v>
      </c>
      <c r="B84" s="512">
        <v>41607</v>
      </c>
      <c r="C84" s="524">
        <v>3020</v>
      </c>
      <c r="D84" s="331">
        <v>1974</v>
      </c>
      <c r="E84" s="328" t="s">
        <v>514</v>
      </c>
      <c r="F84" s="525">
        <v>326150</v>
      </c>
      <c r="G84" s="324" t="s">
        <v>1114</v>
      </c>
      <c r="H84" s="519">
        <v>2013</v>
      </c>
      <c r="I84" s="525">
        <v>326150</v>
      </c>
      <c r="J84" s="519"/>
      <c r="K84" s="519"/>
      <c r="L84" s="519"/>
      <c r="M84" s="519"/>
      <c r="N84" s="519"/>
      <c r="O84" s="519"/>
      <c r="P84" s="519"/>
      <c r="Q84" s="519"/>
      <c r="R84" s="519"/>
      <c r="S84" s="519"/>
      <c r="T84" s="325">
        <f t="shared" si="1"/>
        <v>326150</v>
      </c>
    </row>
    <row r="85" spans="1:20" s="520" customFormat="1" ht="18.75" x14ac:dyDescent="0.3">
      <c r="A85" s="513" t="s">
        <v>513</v>
      </c>
      <c r="B85" s="512">
        <v>41608</v>
      </c>
      <c r="C85" s="524">
        <v>3219</v>
      </c>
      <c r="D85" s="331">
        <v>1976</v>
      </c>
      <c r="E85" s="328" t="s">
        <v>517</v>
      </c>
      <c r="F85" s="525">
        <v>50432.800000000003</v>
      </c>
      <c r="G85" s="324" t="s">
        <v>1114</v>
      </c>
      <c r="H85" s="519">
        <v>2013</v>
      </c>
      <c r="I85" s="525">
        <v>50432.800000000003</v>
      </c>
      <c r="J85" s="519"/>
      <c r="K85" s="519"/>
      <c r="L85" s="519"/>
      <c r="M85" s="519"/>
      <c r="N85" s="519"/>
      <c r="O85" s="519"/>
      <c r="P85" s="519"/>
      <c r="Q85" s="519"/>
      <c r="R85" s="519"/>
      <c r="S85" s="519"/>
      <c r="T85" s="325">
        <f t="shared" si="1"/>
        <v>50432.800000000003</v>
      </c>
    </row>
    <row r="86" spans="1:20" s="520" customFormat="1" ht="18.75" x14ac:dyDescent="0.3">
      <c r="A86" s="512" t="s">
        <v>370</v>
      </c>
      <c r="B86" s="512">
        <v>41614</v>
      </c>
      <c r="C86" s="521">
        <v>3392</v>
      </c>
      <c r="D86" s="327">
        <v>7</v>
      </c>
      <c r="E86" s="332" t="s">
        <v>530</v>
      </c>
      <c r="F86" s="522">
        <v>144000</v>
      </c>
      <c r="G86" s="324" t="s">
        <v>1114</v>
      </c>
      <c r="H86" s="519">
        <v>2013</v>
      </c>
      <c r="I86" s="522">
        <v>144000</v>
      </c>
      <c r="J86" s="519"/>
      <c r="K86" s="519"/>
      <c r="L86" s="519"/>
      <c r="M86" s="519"/>
      <c r="N86" s="519"/>
      <c r="O86" s="519"/>
      <c r="P86" s="519"/>
      <c r="Q86" s="519"/>
      <c r="R86" s="519"/>
      <c r="S86" s="519"/>
      <c r="T86" s="325">
        <f t="shared" si="1"/>
        <v>144000</v>
      </c>
    </row>
    <row r="87" spans="1:20" s="520" customFormat="1" ht="37.5" x14ac:dyDescent="0.3">
      <c r="A87" s="512" t="s">
        <v>248</v>
      </c>
      <c r="B87" s="512">
        <v>41619</v>
      </c>
      <c r="C87" s="521">
        <v>3346</v>
      </c>
      <c r="D87" s="331">
        <v>485</v>
      </c>
      <c r="E87" s="332" t="s">
        <v>531</v>
      </c>
      <c r="F87" s="522">
        <v>94636</v>
      </c>
      <c r="G87" s="324" t="s">
        <v>1114</v>
      </c>
      <c r="H87" s="519">
        <v>2013</v>
      </c>
      <c r="I87" s="522">
        <v>94636</v>
      </c>
      <c r="J87" s="519"/>
      <c r="K87" s="519"/>
      <c r="L87" s="519"/>
      <c r="M87" s="519"/>
      <c r="N87" s="519"/>
      <c r="O87" s="519"/>
      <c r="P87" s="519"/>
      <c r="Q87" s="519"/>
      <c r="R87" s="519"/>
      <c r="S87" s="519"/>
      <c r="T87" s="325">
        <f t="shared" si="1"/>
        <v>94636</v>
      </c>
    </row>
    <row r="88" spans="1:20" s="520" customFormat="1" ht="18.75" x14ac:dyDescent="0.3">
      <c r="A88" s="512" t="s">
        <v>370</v>
      </c>
      <c r="B88" s="512">
        <v>41620</v>
      </c>
      <c r="C88" s="521">
        <v>3394</v>
      </c>
      <c r="D88" s="327">
        <v>10</v>
      </c>
      <c r="E88" s="332" t="s">
        <v>530</v>
      </c>
      <c r="F88" s="522">
        <v>162000</v>
      </c>
      <c r="G88" s="324" t="s">
        <v>1114</v>
      </c>
      <c r="H88" s="519">
        <v>2013</v>
      </c>
      <c r="I88" s="522">
        <v>162000</v>
      </c>
      <c r="J88" s="519"/>
      <c r="K88" s="519"/>
      <c r="L88" s="519"/>
      <c r="M88" s="519"/>
      <c r="N88" s="519"/>
      <c r="O88" s="519"/>
      <c r="P88" s="519"/>
      <c r="Q88" s="519"/>
      <c r="R88" s="519"/>
      <c r="S88" s="519"/>
      <c r="T88" s="325">
        <f t="shared" si="1"/>
        <v>162000</v>
      </c>
    </row>
    <row r="89" spans="1:20" s="520" customFormat="1" ht="18.75" x14ac:dyDescent="0.3">
      <c r="A89" s="518" t="s">
        <v>369</v>
      </c>
      <c r="B89" s="518">
        <v>41621</v>
      </c>
      <c r="C89" s="526">
        <v>3387</v>
      </c>
      <c r="D89" s="321" t="s">
        <v>532</v>
      </c>
      <c r="E89" s="332" t="s">
        <v>533</v>
      </c>
      <c r="F89" s="515">
        <v>28000</v>
      </c>
      <c r="G89" s="324" t="s">
        <v>1114</v>
      </c>
      <c r="H89" s="519">
        <v>2013</v>
      </c>
      <c r="I89" s="515">
        <v>28000</v>
      </c>
      <c r="J89" s="519"/>
      <c r="K89" s="519"/>
      <c r="L89" s="519"/>
      <c r="M89" s="519"/>
      <c r="N89" s="519"/>
      <c r="O89" s="519"/>
      <c r="P89" s="519"/>
      <c r="Q89" s="519"/>
      <c r="R89" s="519"/>
      <c r="S89" s="519"/>
      <c r="T89" s="325">
        <f t="shared" si="1"/>
        <v>28000</v>
      </c>
    </row>
    <row r="90" spans="1:20" s="520" customFormat="1" ht="18.75" x14ac:dyDescent="0.3">
      <c r="A90" s="512" t="s">
        <v>370</v>
      </c>
      <c r="B90" s="512">
        <v>41625</v>
      </c>
      <c r="C90" s="521">
        <v>3841</v>
      </c>
      <c r="D90" s="331">
        <v>13</v>
      </c>
      <c r="E90" s="332" t="s">
        <v>534</v>
      </c>
      <c r="F90" s="522">
        <v>33000</v>
      </c>
      <c r="G90" s="324" t="s">
        <v>1114</v>
      </c>
      <c r="H90" s="519">
        <v>2013</v>
      </c>
      <c r="I90" s="522">
        <v>33000</v>
      </c>
      <c r="J90" s="519"/>
      <c r="K90" s="519"/>
      <c r="L90" s="519"/>
      <c r="M90" s="519"/>
      <c r="N90" s="519"/>
      <c r="O90" s="519"/>
      <c r="P90" s="519"/>
      <c r="Q90" s="519"/>
      <c r="R90" s="519"/>
      <c r="S90" s="519"/>
      <c r="T90" s="325">
        <f t="shared" si="1"/>
        <v>33000</v>
      </c>
    </row>
    <row r="91" spans="1:20" s="520" customFormat="1" ht="18.75" x14ac:dyDescent="0.3">
      <c r="A91" s="518" t="s">
        <v>369</v>
      </c>
      <c r="B91" s="518">
        <v>41626</v>
      </c>
      <c r="C91" s="526">
        <v>1229</v>
      </c>
      <c r="D91" s="321" t="s">
        <v>535</v>
      </c>
      <c r="E91" s="322" t="s">
        <v>492</v>
      </c>
      <c r="F91" s="515">
        <v>98545</v>
      </c>
      <c r="G91" s="324" t="s">
        <v>1114</v>
      </c>
      <c r="H91" s="519">
        <v>2013</v>
      </c>
      <c r="I91" s="515">
        <v>98545</v>
      </c>
      <c r="J91" s="519"/>
      <c r="K91" s="519"/>
      <c r="L91" s="519"/>
      <c r="M91" s="519"/>
      <c r="N91" s="519"/>
      <c r="O91" s="519"/>
      <c r="P91" s="519"/>
      <c r="Q91" s="519"/>
      <c r="R91" s="519"/>
      <c r="S91" s="519"/>
      <c r="T91" s="325">
        <f t="shared" si="1"/>
        <v>98545</v>
      </c>
    </row>
    <row r="92" spans="1:20" s="520" customFormat="1" ht="18.75" x14ac:dyDescent="0.3">
      <c r="A92" s="518" t="s">
        <v>369</v>
      </c>
      <c r="B92" s="518">
        <v>41628</v>
      </c>
      <c r="C92" s="526">
        <v>1238</v>
      </c>
      <c r="D92" s="321" t="s">
        <v>536</v>
      </c>
      <c r="E92" s="322" t="s">
        <v>509</v>
      </c>
      <c r="F92" s="515">
        <v>36500</v>
      </c>
      <c r="G92" s="324" t="s">
        <v>1114</v>
      </c>
      <c r="H92" s="519">
        <v>2013</v>
      </c>
      <c r="I92" s="515">
        <v>36500</v>
      </c>
      <c r="J92" s="519"/>
      <c r="K92" s="519"/>
      <c r="L92" s="519"/>
      <c r="M92" s="519"/>
      <c r="N92" s="519"/>
      <c r="O92" s="519"/>
      <c r="P92" s="519"/>
      <c r="Q92" s="519"/>
      <c r="R92" s="519"/>
      <c r="S92" s="519"/>
      <c r="T92" s="325">
        <f t="shared" si="1"/>
        <v>36500</v>
      </c>
    </row>
    <row r="93" spans="1:20" s="520" customFormat="1" ht="18.75" x14ac:dyDescent="0.3">
      <c r="A93" s="512" t="s">
        <v>256</v>
      </c>
      <c r="B93" s="513">
        <v>41639</v>
      </c>
      <c r="C93" s="514"/>
      <c r="D93" s="321" t="s">
        <v>537</v>
      </c>
      <c r="E93" s="322" t="s">
        <v>466</v>
      </c>
      <c r="F93" s="515">
        <v>364128</v>
      </c>
      <c r="G93" s="324" t="s">
        <v>1114</v>
      </c>
      <c r="H93" s="519">
        <v>2013</v>
      </c>
      <c r="I93" s="515">
        <v>364128</v>
      </c>
      <c r="J93" s="519"/>
      <c r="K93" s="519"/>
      <c r="L93" s="519"/>
      <c r="M93" s="519"/>
      <c r="N93" s="519"/>
      <c r="O93" s="519"/>
      <c r="P93" s="519"/>
      <c r="Q93" s="519"/>
      <c r="R93" s="519"/>
      <c r="S93" s="519"/>
      <c r="T93" s="325">
        <f t="shared" si="1"/>
        <v>364128</v>
      </c>
    </row>
    <row r="94" spans="1:20" s="520" customFormat="1" ht="18.75" x14ac:dyDescent="0.3">
      <c r="A94" s="512" t="s">
        <v>248</v>
      </c>
      <c r="B94" s="512">
        <v>41641</v>
      </c>
      <c r="C94" s="521">
        <v>4063</v>
      </c>
      <c r="D94" s="331">
        <v>568</v>
      </c>
      <c r="E94" s="332" t="s">
        <v>538</v>
      </c>
      <c r="F94" s="522">
        <v>29909.46</v>
      </c>
      <c r="G94" s="324" t="s">
        <v>1114</v>
      </c>
      <c r="H94" s="519">
        <v>2014</v>
      </c>
      <c r="I94" s="522">
        <v>29909.46</v>
      </c>
      <c r="J94" s="519"/>
      <c r="K94" s="519"/>
      <c r="L94" s="519"/>
      <c r="M94" s="519"/>
      <c r="N94" s="519"/>
      <c r="O94" s="519"/>
      <c r="P94" s="519"/>
      <c r="Q94" s="519"/>
      <c r="R94" s="519"/>
      <c r="S94" s="519"/>
      <c r="T94" s="325">
        <f t="shared" si="1"/>
        <v>29909.46</v>
      </c>
    </row>
    <row r="95" spans="1:20" s="520" customFormat="1" ht="37.5" x14ac:dyDescent="0.3">
      <c r="A95" s="512" t="s">
        <v>292</v>
      </c>
      <c r="B95" s="512">
        <v>41671</v>
      </c>
      <c r="C95" s="521" t="s">
        <v>539</v>
      </c>
      <c r="D95" s="326"/>
      <c r="E95" s="328" t="s">
        <v>540</v>
      </c>
      <c r="F95" s="523">
        <v>225000</v>
      </c>
      <c r="G95" s="324" t="s">
        <v>1114</v>
      </c>
      <c r="H95" s="519">
        <v>2014</v>
      </c>
      <c r="I95" s="523">
        <v>225000</v>
      </c>
      <c r="J95" s="519"/>
      <c r="K95" s="519"/>
      <c r="L95" s="519"/>
      <c r="M95" s="519"/>
      <c r="N95" s="519"/>
      <c r="O95" s="519"/>
      <c r="P95" s="519"/>
      <c r="Q95" s="519"/>
      <c r="R95" s="519"/>
      <c r="S95" s="519"/>
      <c r="T95" s="325">
        <f t="shared" si="1"/>
        <v>225000</v>
      </c>
    </row>
    <row r="96" spans="1:20" s="520" customFormat="1" ht="18.75" x14ac:dyDescent="0.3">
      <c r="A96" s="513" t="s">
        <v>275</v>
      </c>
      <c r="B96" s="512">
        <v>41684</v>
      </c>
      <c r="C96" s="521">
        <v>3658</v>
      </c>
      <c r="D96" s="330">
        <v>3373</v>
      </c>
      <c r="E96" s="328" t="s">
        <v>541</v>
      </c>
      <c r="F96" s="522">
        <v>21670</v>
      </c>
      <c r="G96" s="324" t="s">
        <v>1114</v>
      </c>
      <c r="H96" s="519">
        <v>2014</v>
      </c>
      <c r="I96" s="522">
        <v>21670</v>
      </c>
      <c r="J96" s="519"/>
      <c r="K96" s="519"/>
      <c r="L96" s="519"/>
      <c r="M96" s="519"/>
      <c r="N96" s="519"/>
      <c r="O96" s="519"/>
      <c r="P96" s="519"/>
      <c r="Q96" s="519"/>
      <c r="R96" s="519"/>
      <c r="S96" s="519"/>
      <c r="T96" s="325">
        <f t="shared" si="1"/>
        <v>21670</v>
      </c>
    </row>
    <row r="97" spans="1:20" s="520" customFormat="1" ht="18.75" x14ac:dyDescent="0.3">
      <c r="A97" s="513" t="s">
        <v>275</v>
      </c>
      <c r="B97" s="512">
        <v>41696</v>
      </c>
      <c r="C97" s="521">
        <v>4484</v>
      </c>
      <c r="D97" s="330">
        <v>3411</v>
      </c>
      <c r="E97" s="328" t="s">
        <v>541</v>
      </c>
      <c r="F97" s="522">
        <v>5920</v>
      </c>
      <c r="G97" s="324" t="s">
        <v>1114</v>
      </c>
      <c r="H97" s="519">
        <v>2014</v>
      </c>
      <c r="I97" s="522">
        <v>5920</v>
      </c>
      <c r="J97" s="519"/>
      <c r="K97" s="519"/>
      <c r="L97" s="519"/>
      <c r="M97" s="519"/>
      <c r="N97" s="519"/>
      <c r="O97" s="519"/>
      <c r="P97" s="519"/>
      <c r="Q97" s="519"/>
      <c r="R97" s="519"/>
      <c r="S97" s="519"/>
      <c r="T97" s="325">
        <f t="shared" si="1"/>
        <v>5920</v>
      </c>
    </row>
    <row r="98" spans="1:20" s="520" customFormat="1" ht="18.75" x14ac:dyDescent="0.3">
      <c r="A98" s="512" t="s">
        <v>241</v>
      </c>
      <c r="B98" s="512">
        <v>41732</v>
      </c>
      <c r="C98" s="521">
        <v>4109</v>
      </c>
      <c r="D98" s="331">
        <v>1041</v>
      </c>
      <c r="E98" s="332" t="s">
        <v>542</v>
      </c>
      <c r="F98" s="522">
        <v>62650</v>
      </c>
      <c r="G98" s="324" t="s">
        <v>1114</v>
      </c>
      <c r="H98" s="519">
        <v>2014</v>
      </c>
      <c r="I98" s="522">
        <v>62650</v>
      </c>
      <c r="J98" s="519"/>
      <c r="K98" s="519"/>
      <c r="L98" s="519"/>
      <c r="M98" s="519"/>
      <c r="N98" s="519"/>
      <c r="O98" s="519"/>
      <c r="P98" s="519"/>
      <c r="Q98" s="519"/>
      <c r="R98" s="519"/>
      <c r="S98" s="519"/>
      <c r="T98" s="325">
        <f t="shared" si="1"/>
        <v>62650</v>
      </c>
    </row>
    <row r="99" spans="1:20" ht="18.75" x14ac:dyDescent="0.3">
      <c r="A99" s="512" t="s">
        <v>241</v>
      </c>
      <c r="B99" s="512">
        <v>41733</v>
      </c>
      <c r="C99" s="521">
        <v>4112</v>
      </c>
      <c r="D99" s="331">
        <v>1043</v>
      </c>
      <c r="E99" s="332" t="s">
        <v>543</v>
      </c>
      <c r="F99" s="522">
        <v>38000</v>
      </c>
      <c r="G99" s="324" t="s">
        <v>1114</v>
      </c>
      <c r="H99" s="519">
        <v>2014</v>
      </c>
      <c r="I99" s="522">
        <v>38000</v>
      </c>
      <c r="J99" s="324"/>
      <c r="K99" s="324"/>
      <c r="L99" s="324"/>
      <c r="M99" s="324"/>
      <c r="N99" s="324"/>
      <c r="O99" s="324"/>
      <c r="P99" s="324"/>
      <c r="Q99" s="324"/>
      <c r="R99" s="324"/>
      <c r="S99" s="324"/>
      <c r="T99" s="325">
        <f t="shared" si="1"/>
        <v>38000</v>
      </c>
    </row>
    <row r="100" spans="1:20" ht="18.75" x14ac:dyDescent="0.3">
      <c r="A100" s="512" t="s">
        <v>341</v>
      </c>
      <c r="B100" s="512">
        <v>41740</v>
      </c>
      <c r="C100" s="521">
        <v>3287</v>
      </c>
      <c r="D100" s="333">
        <v>17943</v>
      </c>
      <c r="E100" s="328" t="s">
        <v>544</v>
      </c>
      <c r="F100" s="523">
        <v>113280</v>
      </c>
      <c r="G100" s="324" t="s">
        <v>1114</v>
      </c>
      <c r="H100" s="519">
        <v>2014</v>
      </c>
      <c r="I100" s="523">
        <v>113280</v>
      </c>
      <c r="J100" s="324"/>
      <c r="K100" s="324"/>
      <c r="L100" s="324"/>
      <c r="M100" s="324"/>
      <c r="N100" s="324"/>
      <c r="O100" s="324"/>
      <c r="P100" s="324"/>
      <c r="Q100" s="324"/>
      <c r="R100" s="324"/>
      <c r="S100" s="324"/>
      <c r="T100" s="325">
        <f t="shared" si="1"/>
        <v>113280</v>
      </c>
    </row>
    <row r="101" spans="1:20" ht="18.75" x14ac:dyDescent="0.3">
      <c r="A101" s="512" t="s">
        <v>341</v>
      </c>
      <c r="B101" s="512">
        <v>41745</v>
      </c>
      <c r="C101" s="521">
        <v>3286</v>
      </c>
      <c r="D101" s="333">
        <v>17958</v>
      </c>
      <c r="E101" s="328" t="s">
        <v>545</v>
      </c>
      <c r="F101" s="523">
        <v>87025</v>
      </c>
      <c r="G101" s="324" t="s">
        <v>1114</v>
      </c>
      <c r="H101" s="519">
        <v>2014</v>
      </c>
      <c r="I101" s="523">
        <v>87025</v>
      </c>
      <c r="J101" s="324"/>
      <c r="K101" s="324"/>
      <c r="L101" s="324"/>
      <c r="M101" s="324"/>
      <c r="N101" s="324"/>
      <c r="O101" s="324"/>
      <c r="P101" s="324"/>
      <c r="Q101" s="324"/>
      <c r="R101" s="324"/>
      <c r="S101" s="324"/>
      <c r="T101" s="325">
        <f t="shared" si="1"/>
        <v>87025</v>
      </c>
    </row>
    <row r="102" spans="1:20" ht="18.75" x14ac:dyDescent="0.3">
      <c r="A102" s="512" t="s">
        <v>341</v>
      </c>
      <c r="B102" s="512">
        <v>41760</v>
      </c>
      <c r="C102" s="521">
        <v>4483</v>
      </c>
      <c r="D102" s="333">
        <v>18046</v>
      </c>
      <c r="E102" s="328" t="s">
        <v>546</v>
      </c>
      <c r="F102" s="523">
        <v>276324.59999999998</v>
      </c>
      <c r="G102" s="324" t="s">
        <v>1114</v>
      </c>
      <c r="H102" s="519">
        <v>2014</v>
      </c>
      <c r="I102" s="523">
        <v>276324.59999999998</v>
      </c>
      <c r="J102" s="324"/>
      <c r="K102" s="324"/>
      <c r="L102" s="324"/>
      <c r="M102" s="324"/>
      <c r="N102" s="324"/>
      <c r="O102" s="324"/>
      <c r="P102" s="324"/>
      <c r="Q102" s="324"/>
      <c r="R102" s="324"/>
      <c r="S102" s="324"/>
      <c r="T102" s="325">
        <f t="shared" si="1"/>
        <v>276324.59999999998</v>
      </c>
    </row>
    <row r="103" spans="1:20" ht="18.75" x14ac:dyDescent="0.3">
      <c r="A103" s="512" t="s">
        <v>341</v>
      </c>
      <c r="B103" s="512">
        <v>41787</v>
      </c>
      <c r="C103" s="521">
        <v>4421</v>
      </c>
      <c r="D103" s="333">
        <v>18047</v>
      </c>
      <c r="E103" s="328" t="s">
        <v>547</v>
      </c>
      <c r="F103" s="523">
        <v>82656</v>
      </c>
      <c r="G103" s="324" t="s">
        <v>1114</v>
      </c>
      <c r="H103" s="519">
        <v>2014</v>
      </c>
      <c r="I103" s="523">
        <v>82656</v>
      </c>
      <c r="J103" s="324"/>
      <c r="K103" s="324"/>
      <c r="L103" s="324"/>
      <c r="M103" s="324"/>
      <c r="N103" s="324"/>
      <c r="O103" s="324"/>
      <c r="P103" s="324"/>
      <c r="Q103" s="324"/>
      <c r="R103" s="324"/>
      <c r="S103" s="324"/>
      <c r="T103" s="325">
        <f t="shared" si="1"/>
        <v>82656</v>
      </c>
    </row>
    <row r="104" spans="1:20" ht="18.75" x14ac:dyDescent="0.3">
      <c r="A104" s="512" t="s">
        <v>341</v>
      </c>
      <c r="B104" s="512">
        <v>41789</v>
      </c>
      <c r="C104" s="521">
        <v>3315</v>
      </c>
      <c r="D104" s="333">
        <v>18056</v>
      </c>
      <c r="E104" s="328" t="s">
        <v>547</v>
      </c>
      <c r="F104" s="523">
        <v>103320</v>
      </c>
      <c r="G104" s="324" t="s">
        <v>1114</v>
      </c>
      <c r="H104" s="519">
        <v>2014</v>
      </c>
      <c r="I104" s="523">
        <v>103320</v>
      </c>
      <c r="J104" s="324"/>
      <c r="K104" s="324"/>
      <c r="L104" s="324"/>
      <c r="M104" s="324"/>
      <c r="N104" s="324"/>
      <c r="O104" s="324"/>
      <c r="P104" s="324"/>
      <c r="Q104" s="324"/>
      <c r="R104" s="324"/>
      <c r="S104" s="324"/>
      <c r="T104" s="325">
        <f t="shared" si="1"/>
        <v>103320</v>
      </c>
    </row>
    <row r="105" spans="1:20" ht="18.75" x14ac:dyDescent="0.3">
      <c r="A105" s="512" t="s">
        <v>341</v>
      </c>
      <c r="B105" s="512">
        <v>41789</v>
      </c>
      <c r="C105" s="521">
        <v>4658</v>
      </c>
      <c r="D105" s="333">
        <v>18055</v>
      </c>
      <c r="E105" s="328" t="s">
        <v>547</v>
      </c>
      <c r="F105" s="523">
        <v>107065.4</v>
      </c>
      <c r="G105" s="324" t="s">
        <v>1114</v>
      </c>
      <c r="H105" s="519">
        <v>2014</v>
      </c>
      <c r="I105" s="523">
        <v>107065.4</v>
      </c>
      <c r="J105" s="324"/>
      <c r="K105" s="324"/>
      <c r="L105" s="324"/>
      <c r="M105" s="324"/>
      <c r="N105" s="324"/>
      <c r="O105" s="324"/>
      <c r="P105" s="324"/>
      <c r="Q105" s="324"/>
      <c r="R105" s="324"/>
      <c r="S105" s="324"/>
      <c r="T105" s="325">
        <f t="shared" si="1"/>
        <v>107065.4</v>
      </c>
    </row>
    <row r="106" spans="1:20" ht="18.75" x14ac:dyDescent="0.3">
      <c r="A106" s="512" t="s">
        <v>341</v>
      </c>
      <c r="B106" s="512">
        <v>41789</v>
      </c>
      <c r="C106" s="521">
        <v>3316</v>
      </c>
      <c r="D106" s="333">
        <v>18057</v>
      </c>
      <c r="E106" s="328" t="s">
        <v>547</v>
      </c>
      <c r="F106" s="523">
        <v>95448</v>
      </c>
      <c r="G106" s="324" t="s">
        <v>1114</v>
      </c>
      <c r="H106" s="519">
        <v>2014</v>
      </c>
      <c r="I106" s="523">
        <v>95448</v>
      </c>
      <c r="J106" s="324"/>
      <c r="K106" s="324"/>
      <c r="L106" s="324"/>
      <c r="M106" s="324"/>
      <c r="N106" s="324"/>
      <c r="O106" s="324"/>
      <c r="P106" s="324"/>
      <c r="Q106" s="324"/>
      <c r="R106" s="324"/>
      <c r="S106" s="324"/>
      <c r="T106" s="325">
        <f t="shared" si="1"/>
        <v>95448</v>
      </c>
    </row>
    <row r="107" spans="1:20" ht="18.75" x14ac:dyDescent="0.3">
      <c r="A107" s="518" t="s">
        <v>380</v>
      </c>
      <c r="B107" s="512">
        <v>41792</v>
      </c>
      <c r="C107" s="521">
        <v>4601</v>
      </c>
      <c r="D107" s="331">
        <v>455</v>
      </c>
      <c r="E107" s="328" t="s">
        <v>548</v>
      </c>
      <c r="F107" s="523">
        <v>99179</v>
      </c>
      <c r="G107" s="324" t="s">
        <v>1114</v>
      </c>
      <c r="H107" s="519">
        <v>2014</v>
      </c>
      <c r="I107" s="523">
        <v>99179</v>
      </c>
      <c r="J107" s="324"/>
      <c r="K107" s="324"/>
      <c r="L107" s="324"/>
      <c r="M107" s="324"/>
      <c r="N107" s="324"/>
      <c r="O107" s="324"/>
      <c r="P107" s="324"/>
      <c r="Q107" s="324"/>
      <c r="R107" s="324"/>
      <c r="S107" s="324"/>
      <c r="T107" s="325">
        <f t="shared" si="1"/>
        <v>99179</v>
      </c>
    </row>
    <row r="108" spans="1:20" ht="18.75" x14ac:dyDescent="0.3">
      <c r="A108" s="518" t="s">
        <v>380</v>
      </c>
      <c r="B108" s="512">
        <v>41802</v>
      </c>
      <c r="C108" s="521">
        <v>4602</v>
      </c>
      <c r="D108" s="331">
        <v>457</v>
      </c>
      <c r="E108" s="328" t="s">
        <v>548</v>
      </c>
      <c r="F108" s="523">
        <v>1652</v>
      </c>
      <c r="G108" s="324" t="s">
        <v>1114</v>
      </c>
      <c r="H108" s="519">
        <v>2014</v>
      </c>
      <c r="I108" s="523">
        <v>1652</v>
      </c>
      <c r="J108" s="324"/>
      <c r="K108" s="324"/>
      <c r="L108" s="324"/>
      <c r="M108" s="324"/>
      <c r="N108" s="324"/>
      <c r="O108" s="324"/>
      <c r="P108" s="324"/>
      <c r="Q108" s="324"/>
      <c r="R108" s="324"/>
      <c r="S108" s="324"/>
      <c r="T108" s="325">
        <f t="shared" si="1"/>
        <v>1652</v>
      </c>
    </row>
    <row r="109" spans="1:20" ht="18.75" x14ac:dyDescent="0.3">
      <c r="A109" s="513" t="s">
        <v>275</v>
      </c>
      <c r="B109" s="512">
        <v>41863</v>
      </c>
      <c r="C109" s="521">
        <v>4775</v>
      </c>
      <c r="D109" s="330">
        <v>3426</v>
      </c>
      <c r="E109" s="328" t="s">
        <v>541</v>
      </c>
      <c r="F109" s="522">
        <v>9525</v>
      </c>
      <c r="G109" s="324" t="s">
        <v>1114</v>
      </c>
      <c r="H109" s="519">
        <v>2014</v>
      </c>
      <c r="I109" s="522">
        <v>9525</v>
      </c>
      <c r="J109" s="324"/>
      <c r="K109" s="324"/>
      <c r="L109" s="324"/>
      <c r="M109" s="324"/>
      <c r="N109" s="324"/>
      <c r="O109" s="324"/>
      <c r="P109" s="324"/>
      <c r="Q109" s="324"/>
      <c r="R109" s="324"/>
      <c r="S109" s="324"/>
      <c r="T109" s="325">
        <f t="shared" si="1"/>
        <v>9525</v>
      </c>
    </row>
    <row r="110" spans="1:20" ht="18.75" x14ac:dyDescent="0.3">
      <c r="A110" s="512" t="s">
        <v>312</v>
      </c>
      <c r="B110" s="512">
        <v>41908</v>
      </c>
      <c r="C110" s="521">
        <v>4930</v>
      </c>
      <c r="D110" s="331">
        <v>2460</v>
      </c>
      <c r="E110" s="332" t="s">
        <v>549</v>
      </c>
      <c r="F110" s="522">
        <v>30711.74</v>
      </c>
      <c r="G110" s="324" t="s">
        <v>1114</v>
      </c>
      <c r="H110" s="519">
        <v>2014</v>
      </c>
      <c r="I110" s="522">
        <v>30711.74</v>
      </c>
      <c r="J110" s="324"/>
      <c r="K110" s="324"/>
      <c r="L110" s="324"/>
      <c r="M110" s="324"/>
      <c r="N110" s="324"/>
      <c r="O110" s="324"/>
      <c r="P110" s="324"/>
      <c r="Q110" s="324"/>
      <c r="R110" s="324"/>
      <c r="S110" s="324"/>
      <c r="T110" s="325">
        <f t="shared" si="1"/>
        <v>30711.74</v>
      </c>
    </row>
    <row r="111" spans="1:20" ht="18.75" x14ac:dyDescent="0.3">
      <c r="A111" s="512" t="s">
        <v>312</v>
      </c>
      <c r="B111" s="512">
        <v>41935</v>
      </c>
      <c r="C111" s="521">
        <v>49720</v>
      </c>
      <c r="D111" s="331">
        <v>83</v>
      </c>
      <c r="E111" s="332" t="s">
        <v>550</v>
      </c>
      <c r="F111" s="522">
        <v>77774.06</v>
      </c>
      <c r="G111" s="324" t="s">
        <v>1114</v>
      </c>
      <c r="H111" s="519">
        <v>2014</v>
      </c>
      <c r="I111" s="522">
        <v>77774.06</v>
      </c>
      <c r="J111" s="324"/>
      <c r="K111" s="324"/>
      <c r="L111" s="324"/>
      <c r="M111" s="324"/>
      <c r="N111" s="324"/>
      <c r="O111" s="324"/>
      <c r="P111" s="324"/>
      <c r="Q111" s="324"/>
      <c r="R111" s="324"/>
      <c r="S111" s="324"/>
      <c r="T111" s="325">
        <f t="shared" si="1"/>
        <v>77774.06</v>
      </c>
    </row>
    <row r="112" spans="1:20" ht="18.75" x14ac:dyDescent="0.3">
      <c r="A112" s="512" t="s">
        <v>312</v>
      </c>
      <c r="B112" s="512">
        <v>41954</v>
      </c>
      <c r="C112" s="521">
        <v>49908</v>
      </c>
      <c r="D112" s="331">
        <v>143</v>
      </c>
      <c r="E112" s="332" t="s">
        <v>551</v>
      </c>
      <c r="F112" s="522">
        <v>3186</v>
      </c>
      <c r="G112" s="324" t="s">
        <v>1114</v>
      </c>
      <c r="H112" s="519">
        <v>2014</v>
      </c>
      <c r="I112" s="522">
        <v>3186</v>
      </c>
      <c r="J112" s="324"/>
      <c r="K112" s="324"/>
      <c r="L112" s="324"/>
      <c r="M112" s="324"/>
      <c r="N112" s="324"/>
      <c r="O112" s="324"/>
      <c r="P112" s="324"/>
      <c r="Q112" s="324"/>
      <c r="R112" s="324"/>
      <c r="S112" s="324"/>
      <c r="T112" s="325">
        <f t="shared" si="1"/>
        <v>3186</v>
      </c>
    </row>
    <row r="113" spans="1:20" ht="18.75" x14ac:dyDescent="0.3">
      <c r="A113" s="512" t="s">
        <v>312</v>
      </c>
      <c r="B113" s="512">
        <v>41969</v>
      </c>
      <c r="C113" s="521">
        <v>49941</v>
      </c>
      <c r="D113" s="331">
        <v>199</v>
      </c>
      <c r="E113" s="332" t="s">
        <v>552</v>
      </c>
      <c r="F113" s="522">
        <v>61006.18</v>
      </c>
      <c r="G113" s="324" t="s">
        <v>1114</v>
      </c>
      <c r="H113" s="519">
        <v>2014</v>
      </c>
      <c r="I113" s="522">
        <v>61006.18</v>
      </c>
      <c r="J113" s="324"/>
      <c r="K113" s="324"/>
      <c r="L113" s="324"/>
      <c r="M113" s="324"/>
      <c r="N113" s="324"/>
      <c r="O113" s="324"/>
      <c r="P113" s="324"/>
      <c r="Q113" s="324"/>
      <c r="R113" s="324"/>
      <c r="S113" s="324"/>
      <c r="T113" s="325">
        <f t="shared" si="1"/>
        <v>61006.18</v>
      </c>
    </row>
    <row r="114" spans="1:20" ht="18.75" x14ac:dyDescent="0.3">
      <c r="A114" s="512" t="s">
        <v>356</v>
      </c>
      <c r="B114" s="512">
        <v>41969</v>
      </c>
      <c r="C114" s="521">
        <v>49891</v>
      </c>
      <c r="D114" s="331">
        <v>3641</v>
      </c>
      <c r="E114" s="332" t="s">
        <v>553</v>
      </c>
      <c r="F114" s="522">
        <v>124136</v>
      </c>
      <c r="G114" s="324" t="s">
        <v>1114</v>
      </c>
      <c r="H114" s="519">
        <v>2014</v>
      </c>
      <c r="I114" s="522">
        <v>124136</v>
      </c>
      <c r="J114" s="324"/>
      <c r="K114" s="324"/>
      <c r="L114" s="324"/>
      <c r="M114" s="324"/>
      <c r="N114" s="324"/>
      <c r="O114" s="324"/>
      <c r="P114" s="324"/>
      <c r="Q114" s="324"/>
      <c r="R114" s="324"/>
      <c r="S114" s="324"/>
      <c r="T114" s="325">
        <f t="shared" si="1"/>
        <v>124136</v>
      </c>
    </row>
    <row r="115" spans="1:20" ht="18.75" x14ac:dyDescent="0.3">
      <c r="A115" s="512" t="s">
        <v>312</v>
      </c>
      <c r="B115" s="512">
        <v>41991</v>
      </c>
      <c r="C115" s="521">
        <v>49648</v>
      </c>
      <c r="D115" s="331">
        <v>289</v>
      </c>
      <c r="E115" s="332" t="s">
        <v>554</v>
      </c>
      <c r="F115" s="522">
        <v>8673</v>
      </c>
      <c r="G115" s="324" t="s">
        <v>1114</v>
      </c>
      <c r="H115" s="519">
        <v>2014</v>
      </c>
      <c r="I115" s="522">
        <v>8673</v>
      </c>
      <c r="J115" s="324"/>
      <c r="K115" s="324"/>
      <c r="L115" s="324"/>
      <c r="M115" s="324"/>
      <c r="N115" s="324"/>
      <c r="O115" s="324"/>
      <c r="P115" s="324"/>
      <c r="Q115" s="324"/>
      <c r="R115" s="324"/>
      <c r="S115" s="324"/>
      <c r="T115" s="325">
        <f t="shared" si="1"/>
        <v>8673</v>
      </c>
    </row>
    <row r="116" spans="1:20" ht="18.75" x14ac:dyDescent="0.3">
      <c r="A116" s="512" t="s">
        <v>256</v>
      </c>
      <c r="B116" s="513">
        <v>42004</v>
      </c>
      <c r="C116" s="514"/>
      <c r="D116" s="321" t="s">
        <v>555</v>
      </c>
      <c r="E116" s="322" t="s">
        <v>466</v>
      </c>
      <c r="F116" s="515">
        <v>364128</v>
      </c>
      <c r="G116" s="324" t="s">
        <v>1114</v>
      </c>
      <c r="H116" s="519">
        <v>2014</v>
      </c>
      <c r="I116" s="515">
        <v>364128</v>
      </c>
      <c r="J116" s="324"/>
      <c r="K116" s="324"/>
      <c r="L116" s="324"/>
      <c r="M116" s="324"/>
      <c r="N116" s="324"/>
      <c r="O116" s="324"/>
      <c r="P116" s="324"/>
      <c r="Q116" s="324"/>
      <c r="R116" s="324"/>
      <c r="S116" s="324"/>
      <c r="T116" s="325">
        <f t="shared" si="1"/>
        <v>364128</v>
      </c>
    </row>
    <row r="117" spans="1:20" ht="18.75" x14ac:dyDescent="0.3">
      <c r="A117" s="512" t="s">
        <v>384</v>
      </c>
      <c r="B117" s="512">
        <v>42007</v>
      </c>
      <c r="C117" s="521">
        <v>50202</v>
      </c>
      <c r="D117" s="331">
        <v>1176</v>
      </c>
      <c r="E117" s="332" t="s">
        <v>556</v>
      </c>
      <c r="F117" s="523">
        <v>187804</v>
      </c>
      <c r="G117" s="324" t="s">
        <v>1114</v>
      </c>
      <c r="H117" s="324">
        <v>2015</v>
      </c>
      <c r="I117" s="523">
        <v>187804</v>
      </c>
      <c r="J117" s="324"/>
      <c r="K117" s="324"/>
      <c r="L117" s="324"/>
      <c r="M117" s="324"/>
      <c r="N117" s="324"/>
      <c r="O117" s="324"/>
      <c r="P117" s="324"/>
      <c r="Q117" s="324"/>
      <c r="R117" s="324"/>
      <c r="S117" s="324"/>
      <c r="T117" s="325">
        <f t="shared" si="1"/>
        <v>187804</v>
      </c>
    </row>
    <row r="118" spans="1:20" ht="18.75" x14ac:dyDescent="0.3">
      <c r="A118" s="512" t="s">
        <v>301</v>
      </c>
      <c r="B118" s="512">
        <v>42017</v>
      </c>
      <c r="C118" s="521">
        <v>2370</v>
      </c>
      <c r="D118" s="331">
        <v>13455</v>
      </c>
      <c r="E118" s="334" t="s">
        <v>557</v>
      </c>
      <c r="F118" s="522">
        <v>12401.94</v>
      </c>
      <c r="G118" s="324" t="s">
        <v>1114</v>
      </c>
      <c r="H118" s="324">
        <v>2015</v>
      </c>
      <c r="I118" s="522">
        <v>12401.94</v>
      </c>
      <c r="J118" s="324"/>
      <c r="K118" s="324"/>
      <c r="L118" s="324"/>
      <c r="M118" s="324"/>
      <c r="N118" s="324"/>
      <c r="O118" s="324"/>
      <c r="P118" s="324"/>
      <c r="Q118" s="324"/>
      <c r="R118" s="324"/>
      <c r="S118" s="324"/>
      <c r="T118" s="325">
        <f t="shared" si="1"/>
        <v>12401.94</v>
      </c>
    </row>
    <row r="119" spans="1:20" ht="18.75" x14ac:dyDescent="0.3">
      <c r="A119" s="512" t="s">
        <v>289</v>
      </c>
      <c r="B119" s="512">
        <v>42019</v>
      </c>
      <c r="C119" s="521">
        <v>51998</v>
      </c>
      <c r="D119" s="333">
        <v>6590</v>
      </c>
      <c r="E119" s="328" t="s">
        <v>558</v>
      </c>
      <c r="F119" s="522">
        <v>890</v>
      </c>
      <c r="G119" s="324" t="s">
        <v>1114</v>
      </c>
      <c r="H119" s="324">
        <v>2015</v>
      </c>
      <c r="I119" s="522">
        <v>890</v>
      </c>
      <c r="J119" s="324"/>
      <c r="K119" s="324"/>
      <c r="L119" s="324"/>
      <c r="M119" s="324"/>
      <c r="N119" s="324"/>
      <c r="O119" s="324"/>
      <c r="P119" s="324"/>
      <c r="Q119" s="324"/>
      <c r="R119" s="324"/>
      <c r="S119" s="324"/>
      <c r="T119" s="325">
        <f t="shared" si="1"/>
        <v>890</v>
      </c>
    </row>
    <row r="120" spans="1:20" ht="18.75" x14ac:dyDescent="0.3">
      <c r="A120" s="512" t="s">
        <v>289</v>
      </c>
      <c r="B120" s="512">
        <v>42033</v>
      </c>
      <c r="C120" s="521">
        <v>52052</v>
      </c>
      <c r="D120" s="333">
        <v>9216</v>
      </c>
      <c r="E120" s="328" t="s">
        <v>558</v>
      </c>
      <c r="F120" s="522">
        <v>1500</v>
      </c>
      <c r="G120" s="324" t="s">
        <v>1114</v>
      </c>
      <c r="H120" s="324">
        <v>2015</v>
      </c>
      <c r="I120" s="522">
        <v>1500</v>
      </c>
      <c r="J120" s="324"/>
      <c r="K120" s="324"/>
      <c r="L120" s="324"/>
      <c r="M120" s="324"/>
      <c r="N120" s="324"/>
      <c r="O120" s="324"/>
      <c r="P120" s="324"/>
      <c r="Q120" s="324"/>
      <c r="R120" s="324"/>
      <c r="S120" s="324"/>
      <c r="T120" s="325">
        <f t="shared" si="1"/>
        <v>1500</v>
      </c>
    </row>
    <row r="121" spans="1:20" ht="18.75" x14ac:dyDescent="0.3">
      <c r="A121" s="512" t="s">
        <v>384</v>
      </c>
      <c r="B121" s="512">
        <v>42038</v>
      </c>
      <c r="C121" s="521">
        <v>50581</v>
      </c>
      <c r="D121" s="331">
        <v>1185</v>
      </c>
      <c r="E121" s="332" t="s">
        <v>559</v>
      </c>
      <c r="F121" s="523">
        <v>55283</v>
      </c>
      <c r="G121" s="324" t="s">
        <v>1114</v>
      </c>
      <c r="H121" s="324">
        <v>2015</v>
      </c>
      <c r="I121" s="523">
        <v>55283</v>
      </c>
      <c r="J121" s="324"/>
      <c r="K121" s="324"/>
      <c r="L121" s="324"/>
      <c r="M121" s="324"/>
      <c r="N121" s="324"/>
      <c r="O121" s="324"/>
      <c r="P121" s="324"/>
      <c r="Q121" s="324"/>
      <c r="R121" s="324"/>
      <c r="S121" s="324"/>
      <c r="T121" s="325">
        <f t="shared" si="1"/>
        <v>55283</v>
      </c>
    </row>
    <row r="122" spans="1:20" ht="18.75" x14ac:dyDescent="0.3">
      <c r="A122" s="512" t="s">
        <v>312</v>
      </c>
      <c r="B122" s="512">
        <v>42040</v>
      </c>
      <c r="C122" s="521">
        <v>50311</v>
      </c>
      <c r="D122" s="331">
        <v>357</v>
      </c>
      <c r="E122" s="332" t="s">
        <v>554</v>
      </c>
      <c r="F122" s="522">
        <v>117834.8</v>
      </c>
      <c r="G122" s="324" t="s">
        <v>1114</v>
      </c>
      <c r="H122" s="324">
        <v>2015</v>
      </c>
      <c r="I122" s="522">
        <v>117834.8</v>
      </c>
      <c r="J122" s="324"/>
      <c r="K122" s="324"/>
      <c r="L122" s="324"/>
      <c r="M122" s="324"/>
      <c r="N122" s="324"/>
      <c r="O122" s="324"/>
      <c r="P122" s="324"/>
      <c r="Q122" s="324"/>
      <c r="R122" s="324"/>
      <c r="S122" s="324"/>
      <c r="T122" s="325">
        <f t="shared" si="1"/>
        <v>117834.8</v>
      </c>
    </row>
    <row r="123" spans="1:20" ht="18.75" x14ac:dyDescent="0.3">
      <c r="A123" s="512" t="s">
        <v>384</v>
      </c>
      <c r="B123" s="512">
        <v>42054</v>
      </c>
      <c r="C123" s="521">
        <v>50651</v>
      </c>
      <c r="D123" s="331">
        <v>1184</v>
      </c>
      <c r="E123" s="332" t="s">
        <v>559</v>
      </c>
      <c r="F123" s="523">
        <v>45491</v>
      </c>
      <c r="G123" s="324" t="s">
        <v>1114</v>
      </c>
      <c r="H123" s="324">
        <v>2015</v>
      </c>
      <c r="I123" s="523">
        <v>45491</v>
      </c>
      <c r="J123" s="324"/>
      <c r="K123" s="324"/>
      <c r="L123" s="324"/>
      <c r="M123" s="324"/>
      <c r="N123" s="324"/>
      <c r="O123" s="324"/>
      <c r="P123" s="324"/>
      <c r="Q123" s="324"/>
      <c r="R123" s="324"/>
      <c r="S123" s="324"/>
      <c r="T123" s="325">
        <f t="shared" si="1"/>
        <v>45491</v>
      </c>
    </row>
    <row r="124" spans="1:20" ht="18.75" x14ac:dyDescent="0.3">
      <c r="A124" s="512" t="s">
        <v>312</v>
      </c>
      <c r="B124" s="512">
        <v>42060</v>
      </c>
      <c r="C124" s="521">
        <v>50398</v>
      </c>
      <c r="D124" s="331">
        <v>379</v>
      </c>
      <c r="E124" s="332" t="s">
        <v>554</v>
      </c>
      <c r="F124" s="522">
        <v>4058.64</v>
      </c>
      <c r="G124" s="324" t="s">
        <v>1114</v>
      </c>
      <c r="H124" s="324">
        <v>2015</v>
      </c>
      <c r="I124" s="522">
        <v>4058.64</v>
      </c>
      <c r="J124" s="324"/>
      <c r="K124" s="324"/>
      <c r="L124" s="324"/>
      <c r="M124" s="324"/>
      <c r="N124" s="324"/>
      <c r="O124" s="324"/>
      <c r="P124" s="324"/>
      <c r="Q124" s="324"/>
      <c r="R124" s="324"/>
      <c r="S124" s="324"/>
      <c r="T124" s="325">
        <f t="shared" si="1"/>
        <v>4058.64</v>
      </c>
    </row>
    <row r="125" spans="1:20" ht="18.75" x14ac:dyDescent="0.3">
      <c r="A125" s="512" t="s">
        <v>342</v>
      </c>
      <c r="B125" s="512">
        <v>42067</v>
      </c>
      <c r="C125" s="521" t="s">
        <v>560</v>
      </c>
      <c r="D125" s="329" t="s">
        <v>561</v>
      </c>
      <c r="E125" s="328" t="s">
        <v>562</v>
      </c>
      <c r="F125" s="523">
        <v>4750</v>
      </c>
      <c r="G125" s="324" t="s">
        <v>1114</v>
      </c>
      <c r="H125" s="324">
        <v>2015</v>
      </c>
      <c r="I125" s="523">
        <v>4750</v>
      </c>
      <c r="J125" s="324"/>
      <c r="K125" s="324"/>
      <c r="L125" s="324"/>
      <c r="M125" s="324"/>
      <c r="N125" s="324"/>
      <c r="O125" s="324"/>
      <c r="P125" s="324"/>
      <c r="Q125" s="324"/>
      <c r="R125" s="324"/>
      <c r="S125" s="324"/>
      <c r="T125" s="325">
        <f t="shared" si="1"/>
        <v>4750</v>
      </c>
    </row>
    <row r="126" spans="1:20" ht="18.75" x14ac:dyDescent="0.3">
      <c r="A126" s="512" t="s">
        <v>312</v>
      </c>
      <c r="B126" s="512">
        <v>42072</v>
      </c>
      <c r="C126" s="521">
        <v>50520</v>
      </c>
      <c r="D126" s="331">
        <v>387</v>
      </c>
      <c r="E126" s="332" t="s">
        <v>552</v>
      </c>
      <c r="F126" s="522">
        <v>50400</v>
      </c>
      <c r="G126" s="324" t="s">
        <v>1114</v>
      </c>
      <c r="H126" s="324">
        <v>2015</v>
      </c>
      <c r="I126" s="522">
        <v>50400</v>
      </c>
      <c r="J126" s="324"/>
      <c r="K126" s="324"/>
      <c r="L126" s="324"/>
      <c r="M126" s="324"/>
      <c r="N126" s="324"/>
      <c r="O126" s="324"/>
      <c r="P126" s="324"/>
      <c r="Q126" s="324"/>
      <c r="R126" s="324"/>
      <c r="S126" s="324"/>
      <c r="T126" s="325">
        <f t="shared" si="1"/>
        <v>50400</v>
      </c>
    </row>
    <row r="127" spans="1:20" ht="18.75" x14ac:dyDescent="0.3">
      <c r="A127" s="512" t="s">
        <v>356</v>
      </c>
      <c r="B127" s="512">
        <v>42072</v>
      </c>
      <c r="C127" s="521">
        <v>50498</v>
      </c>
      <c r="D127" s="331">
        <v>3731</v>
      </c>
      <c r="E127" s="332" t="s">
        <v>563</v>
      </c>
      <c r="F127" s="522">
        <v>2950</v>
      </c>
      <c r="G127" s="324" t="s">
        <v>1114</v>
      </c>
      <c r="H127" s="324">
        <v>2015</v>
      </c>
      <c r="I127" s="522">
        <v>2950</v>
      </c>
      <c r="J127" s="324"/>
      <c r="K127" s="324"/>
      <c r="L127" s="324"/>
      <c r="M127" s="324"/>
      <c r="N127" s="324"/>
      <c r="O127" s="324"/>
      <c r="P127" s="324"/>
      <c r="Q127" s="324"/>
      <c r="R127" s="324"/>
      <c r="S127" s="324"/>
      <c r="T127" s="325">
        <f t="shared" si="1"/>
        <v>2950</v>
      </c>
    </row>
    <row r="128" spans="1:20" ht="18.75" x14ac:dyDescent="0.3">
      <c r="A128" s="512" t="s">
        <v>312</v>
      </c>
      <c r="B128" s="512">
        <v>42093</v>
      </c>
      <c r="C128" s="521">
        <v>50577</v>
      </c>
      <c r="D128" s="331">
        <v>389</v>
      </c>
      <c r="E128" s="332" t="s">
        <v>564</v>
      </c>
      <c r="F128" s="522">
        <v>2832.76</v>
      </c>
      <c r="G128" s="324" t="s">
        <v>1114</v>
      </c>
      <c r="H128" s="324">
        <v>2015</v>
      </c>
      <c r="I128" s="522">
        <v>2832.76</v>
      </c>
      <c r="J128" s="324"/>
      <c r="K128" s="324"/>
      <c r="L128" s="324"/>
      <c r="M128" s="324"/>
      <c r="N128" s="324"/>
      <c r="O128" s="324"/>
      <c r="P128" s="324"/>
      <c r="Q128" s="324"/>
      <c r="R128" s="324"/>
      <c r="S128" s="324"/>
      <c r="T128" s="325">
        <f t="shared" si="1"/>
        <v>2832.76</v>
      </c>
    </row>
    <row r="129" spans="1:20" ht="18.75" x14ac:dyDescent="0.3">
      <c r="A129" s="512" t="s">
        <v>312</v>
      </c>
      <c r="B129" s="512">
        <v>42102</v>
      </c>
      <c r="C129" s="521">
        <v>50636</v>
      </c>
      <c r="D129" s="331">
        <v>391</v>
      </c>
      <c r="E129" s="332" t="s">
        <v>564</v>
      </c>
      <c r="F129" s="522">
        <v>54986</v>
      </c>
      <c r="G129" s="324" t="s">
        <v>1114</v>
      </c>
      <c r="H129" s="324">
        <v>2015</v>
      </c>
      <c r="I129" s="522">
        <v>54986</v>
      </c>
      <c r="J129" s="324"/>
      <c r="K129" s="324"/>
      <c r="L129" s="324"/>
      <c r="M129" s="324"/>
      <c r="N129" s="324"/>
      <c r="O129" s="324"/>
      <c r="P129" s="324"/>
      <c r="Q129" s="324"/>
      <c r="R129" s="324"/>
      <c r="S129" s="324"/>
      <c r="T129" s="325">
        <f t="shared" si="1"/>
        <v>54986</v>
      </c>
    </row>
    <row r="130" spans="1:20" ht="18.75" x14ac:dyDescent="0.3">
      <c r="A130" s="512" t="s">
        <v>308</v>
      </c>
      <c r="B130" s="512">
        <v>42117</v>
      </c>
      <c r="C130" s="521">
        <v>50500</v>
      </c>
      <c r="D130" s="333">
        <v>963</v>
      </c>
      <c r="E130" s="328" t="s">
        <v>565</v>
      </c>
      <c r="F130" s="523">
        <v>7670</v>
      </c>
      <c r="G130" s="324" t="s">
        <v>1114</v>
      </c>
      <c r="H130" s="324">
        <v>2015</v>
      </c>
      <c r="I130" s="523">
        <v>7670</v>
      </c>
      <c r="J130" s="324"/>
      <c r="K130" s="324"/>
      <c r="L130" s="324"/>
      <c r="M130" s="324"/>
      <c r="N130" s="324"/>
      <c r="O130" s="324"/>
      <c r="P130" s="324"/>
      <c r="Q130" s="324"/>
      <c r="R130" s="324"/>
      <c r="S130" s="324"/>
      <c r="T130" s="325">
        <f t="shared" si="1"/>
        <v>7670</v>
      </c>
    </row>
    <row r="131" spans="1:20" ht="18.75" x14ac:dyDescent="0.3">
      <c r="A131" s="512" t="s">
        <v>312</v>
      </c>
      <c r="B131" s="512">
        <v>42156</v>
      </c>
      <c r="C131" s="521">
        <v>50945</v>
      </c>
      <c r="D131" s="331">
        <v>393</v>
      </c>
      <c r="E131" s="332" t="s">
        <v>564</v>
      </c>
      <c r="F131" s="522">
        <v>52854</v>
      </c>
      <c r="G131" s="324" t="s">
        <v>1114</v>
      </c>
      <c r="H131" s="324">
        <v>2015</v>
      </c>
      <c r="I131" s="522">
        <v>52854</v>
      </c>
      <c r="J131" s="324"/>
      <c r="K131" s="324"/>
      <c r="L131" s="324"/>
      <c r="M131" s="324"/>
      <c r="N131" s="324"/>
      <c r="O131" s="324"/>
      <c r="P131" s="324"/>
      <c r="Q131" s="324"/>
      <c r="R131" s="324"/>
      <c r="S131" s="324"/>
      <c r="T131" s="325">
        <f t="shared" si="1"/>
        <v>52854</v>
      </c>
    </row>
    <row r="132" spans="1:20" ht="18.75" x14ac:dyDescent="0.3">
      <c r="A132" s="512" t="s">
        <v>330</v>
      </c>
      <c r="B132" s="512">
        <v>42170</v>
      </c>
      <c r="C132" s="521">
        <v>50907</v>
      </c>
      <c r="D132" s="329" t="s">
        <v>1730</v>
      </c>
      <c r="E132" s="328" t="s">
        <v>1731</v>
      </c>
      <c r="F132" s="522">
        <v>14006.6</v>
      </c>
      <c r="G132" s="324" t="s">
        <v>1114</v>
      </c>
      <c r="H132" s="324">
        <v>2015</v>
      </c>
      <c r="I132" s="522">
        <v>14006.6</v>
      </c>
      <c r="J132" s="324"/>
      <c r="K132" s="324"/>
      <c r="L132" s="324"/>
      <c r="M132" s="324"/>
      <c r="N132" s="324"/>
      <c r="O132" s="324"/>
      <c r="P132" s="324"/>
      <c r="Q132" s="324"/>
      <c r="R132" s="324"/>
      <c r="S132" s="324"/>
      <c r="T132" s="325">
        <f t="shared" si="1"/>
        <v>14006.6</v>
      </c>
    </row>
    <row r="133" spans="1:20" ht="18.75" x14ac:dyDescent="0.3">
      <c r="A133" s="512" t="s">
        <v>255</v>
      </c>
      <c r="B133" s="512">
        <v>42178</v>
      </c>
      <c r="C133" s="521">
        <v>51018</v>
      </c>
      <c r="D133" s="329" t="s">
        <v>1732</v>
      </c>
      <c r="E133" s="328"/>
      <c r="F133" s="523">
        <v>55460</v>
      </c>
      <c r="G133" s="324" t="s">
        <v>1114</v>
      </c>
      <c r="H133" s="324">
        <v>2015</v>
      </c>
      <c r="I133" s="523">
        <v>55460</v>
      </c>
      <c r="J133" s="324"/>
      <c r="K133" s="324"/>
      <c r="L133" s="324"/>
      <c r="M133" s="324"/>
      <c r="N133" s="324"/>
      <c r="O133" s="324"/>
      <c r="P133" s="324"/>
      <c r="Q133" s="324"/>
      <c r="R133" s="324"/>
      <c r="S133" s="324"/>
      <c r="T133" s="325">
        <f t="shared" si="1"/>
        <v>55460</v>
      </c>
    </row>
    <row r="134" spans="1:20" ht="18.75" x14ac:dyDescent="0.3">
      <c r="A134" s="512" t="s">
        <v>308</v>
      </c>
      <c r="B134" s="512">
        <v>42192</v>
      </c>
      <c r="C134" s="521">
        <v>50627</v>
      </c>
      <c r="D134" s="333">
        <v>1023</v>
      </c>
      <c r="E134" s="328" t="s">
        <v>566</v>
      </c>
      <c r="F134" s="523">
        <v>71935.649999999994</v>
      </c>
      <c r="G134" s="324" t="s">
        <v>1114</v>
      </c>
      <c r="H134" s="324">
        <v>2015</v>
      </c>
      <c r="I134" s="523">
        <v>71935.649999999994</v>
      </c>
      <c r="J134" s="324"/>
      <c r="K134" s="324"/>
      <c r="L134" s="324"/>
      <c r="M134" s="324"/>
      <c r="N134" s="324"/>
      <c r="O134" s="324"/>
      <c r="P134" s="324"/>
      <c r="Q134" s="324"/>
      <c r="R134" s="324"/>
      <c r="S134" s="324"/>
      <c r="T134" s="325">
        <f t="shared" si="1"/>
        <v>71935.649999999994</v>
      </c>
    </row>
    <row r="135" spans="1:20" ht="18.75" x14ac:dyDescent="0.3">
      <c r="A135" s="512" t="s">
        <v>308</v>
      </c>
      <c r="B135" s="512">
        <v>42192</v>
      </c>
      <c r="C135" s="521">
        <v>51114</v>
      </c>
      <c r="D135" s="333">
        <v>1024</v>
      </c>
      <c r="E135" s="328" t="s">
        <v>566</v>
      </c>
      <c r="F135" s="523">
        <v>11800</v>
      </c>
      <c r="G135" s="324" t="s">
        <v>1114</v>
      </c>
      <c r="H135" s="324">
        <v>2015</v>
      </c>
      <c r="I135" s="523">
        <v>11800</v>
      </c>
      <c r="J135" s="324"/>
      <c r="K135" s="324"/>
      <c r="L135" s="324"/>
      <c r="M135" s="324"/>
      <c r="N135" s="324"/>
      <c r="O135" s="324"/>
      <c r="P135" s="324"/>
      <c r="Q135" s="324"/>
      <c r="R135" s="324"/>
      <c r="S135" s="324"/>
      <c r="T135" s="325">
        <f t="shared" si="1"/>
        <v>11800</v>
      </c>
    </row>
    <row r="136" spans="1:20" ht="18.75" x14ac:dyDescent="0.3">
      <c r="A136" s="512" t="s">
        <v>378</v>
      </c>
      <c r="B136" s="512">
        <v>42277</v>
      </c>
      <c r="C136" s="521">
        <v>51507</v>
      </c>
      <c r="D136" s="327" t="s">
        <v>567</v>
      </c>
      <c r="E136" s="332" t="s">
        <v>568</v>
      </c>
      <c r="F136" s="523">
        <v>125316</v>
      </c>
      <c r="G136" s="324" t="s">
        <v>1114</v>
      </c>
      <c r="H136" s="324">
        <v>2015</v>
      </c>
      <c r="I136" s="523">
        <v>125316</v>
      </c>
      <c r="J136" s="324"/>
      <c r="K136" s="324"/>
      <c r="L136" s="324"/>
      <c r="M136" s="324"/>
      <c r="N136" s="324"/>
      <c r="O136" s="324"/>
      <c r="P136" s="324"/>
      <c r="Q136" s="324"/>
      <c r="R136" s="324"/>
      <c r="S136" s="324"/>
      <c r="T136" s="325">
        <f t="shared" si="1"/>
        <v>125316</v>
      </c>
    </row>
    <row r="137" spans="1:20" ht="18.75" x14ac:dyDescent="0.3">
      <c r="A137" s="512" t="s">
        <v>378</v>
      </c>
      <c r="B137" s="512">
        <v>42300</v>
      </c>
      <c r="C137" s="521">
        <v>51617</v>
      </c>
      <c r="D137" s="327" t="s">
        <v>569</v>
      </c>
      <c r="E137" s="332" t="s">
        <v>570</v>
      </c>
      <c r="F137" s="523">
        <v>129100</v>
      </c>
      <c r="G137" s="324" t="s">
        <v>1114</v>
      </c>
      <c r="H137" s="324">
        <v>2015</v>
      </c>
      <c r="I137" s="523">
        <v>129100</v>
      </c>
      <c r="J137" s="324"/>
      <c r="K137" s="324"/>
      <c r="L137" s="324"/>
      <c r="M137" s="324"/>
      <c r="N137" s="324"/>
      <c r="O137" s="324"/>
      <c r="P137" s="324"/>
      <c r="Q137" s="324"/>
      <c r="R137" s="324"/>
      <c r="S137" s="324"/>
      <c r="T137" s="325">
        <f t="shared" si="1"/>
        <v>129100</v>
      </c>
    </row>
    <row r="138" spans="1:20" ht="18.75" x14ac:dyDescent="0.3">
      <c r="A138" s="512" t="s">
        <v>378</v>
      </c>
      <c r="B138" s="512">
        <v>42304</v>
      </c>
      <c r="C138" s="521">
        <v>51633</v>
      </c>
      <c r="D138" s="327" t="s">
        <v>571</v>
      </c>
      <c r="E138" s="332" t="s">
        <v>572</v>
      </c>
      <c r="F138" s="523">
        <v>96000</v>
      </c>
      <c r="G138" s="324" t="s">
        <v>1114</v>
      </c>
      <c r="H138" s="324">
        <v>2015</v>
      </c>
      <c r="I138" s="523">
        <v>96000</v>
      </c>
      <c r="J138" s="324"/>
      <c r="K138" s="324"/>
      <c r="L138" s="324"/>
      <c r="M138" s="324"/>
      <c r="N138" s="324"/>
      <c r="O138" s="324"/>
      <c r="P138" s="324"/>
      <c r="Q138" s="324"/>
      <c r="R138" s="324"/>
      <c r="S138" s="324"/>
      <c r="T138" s="325">
        <f t="shared" si="1"/>
        <v>96000</v>
      </c>
    </row>
    <row r="139" spans="1:20" ht="18.75" x14ac:dyDescent="0.3">
      <c r="A139" s="512" t="s">
        <v>289</v>
      </c>
      <c r="B139" s="512">
        <v>42353</v>
      </c>
      <c r="C139" s="521">
        <v>51825</v>
      </c>
      <c r="D139" s="333">
        <v>3079</v>
      </c>
      <c r="E139" s="328" t="s">
        <v>558</v>
      </c>
      <c r="F139" s="522">
        <v>1730</v>
      </c>
      <c r="G139" s="324" t="s">
        <v>1114</v>
      </c>
      <c r="H139" s="324">
        <v>2015</v>
      </c>
      <c r="I139" s="522">
        <v>1730</v>
      </c>
      <c r="J139" s="324"/>
      <c r="K139" s="324"/>
      <c r="L139" s="324"/>
      <c r="M139" s="324"/>
      <c r="N139" s="324"/>
      <c r="O139" s="324"/>
      <c r="P139" s="324"/>
      <c r="Q139" s="324"/>
      <c r="R139" s="324"/>
      <c r="S139" s="324"/>
      <c r="T139" s="325">
        <f t="shared" ref="T139:T202" si="2">SUM(I139:S139)</f>
        <v>1730</v>
      </c>
    </row>
    <row r="140" spans="1:20" ht="18.75" x14ac:dyDescent="0.3">
      <c r="A140" s="512" t="s">
        <v>289</v>
      </c>
      <c r="B140" s="512">
        <v>42353</v>
      </c>
      <c r="C140" s="521">
        <v>51821</v>
      </c>
      <c r="D140" s="333">
        <v>2344</v>
      </c>
      <c r="E140" s="328" t="s">
        <v>558</v>
      </c>
      <c r="F140" s="522">
        <v>5440</v>
      </c>
      <c r="G140" s="324" t="s">
        <v>1114</v>
      </c>
      <c r="H140" s="324">
        <v>2015</v>
      </c>
      <c r="I140" s="522">
        <v>5440</v>
      </c>
      <c r="J140" s="324"/>
      <c r="K140" s="324"/>
      <c r="L140" s="324"/>
      <c r="M140" s="324"/>
      <c r="N140" s="324"/>
      <c r="O140" s="324"/>
      <c r="P140" s="324"/>
      <c r="Q140" s="324"/>
      <c r="R140" s="324"/>
      <c r="S140" s="324"/>
      <c r="T140" s="325">
        <f t="shared" si="2"/>
        <v>5440</v>
      </c>
    </row>
    <row r="141" spans="1:20" ht="18.75" x14ac:dyDescent="0.3">
      <c r="A141" s="512" t="s">
        <v>289</v>
      </c>
      <c r="B141" s="512">
        <v>42353</v>
      </c>
      <c r="C141" s="521">
        <v>51825</v>
      </c>
      <c r="D141" s="333">
        <v>741</v>
      </c>
      <c r="E141" s="328" t="s">
        <v>558</v>
      </c>
      <c r="F141" s="522">
        <v>6357</v>
      </c>
      <c r="G141" s="324" t="s">
        <v>1114</v>
      </c>
      <c r="H141" s="324">
        <v>2015</v>
      </c>
      <c r="I141" s="522">
        <v>6357</v>
      </c>
      <c r="J141" s="324"/>
      <c r="K141" s="324"/>
      <c r="L141" s="324"/>
      <c r="M141" s="324"/>
      <c r="N141" s="324"/>
      <c r="O141" s="324"/>
      <c r="P141" s="324"/>
      <c r="Q141" s="324"/>
      <c r="R141" s="324"/>
      <c r="S141" s="324"/>
      <c r="T141" s="325">
        <f t="shared" si="2"/>
        <v>6357</v>
      </c>
    </row>
    <row r="142" spans="1:20" ht="18.75" x14ac:dyDescent="0.3">
      <c r="A142" s="512" t="s">
        <v>289</v>
      </c>
      <c r="B142" s="512">
        <v>42353</v>
      </c>
      <c r="C142" s="521">
        <v>51854</v>
      </c>
      <c r="D142" s="333">
        <v>2333</v>
      </c>
      <c r="E142" s="328" t="s">
        <v>558</v>
      </c>
      <c r="F142" s="522">
        <v>4667</v>
      </c>
      <c r="G142" s="324" t="s">
        <v>1114</v>
      </c>
      <c r="H142" s="324">
        <v>2015</v>
      </c>
      <c r="I142" s="522">
        <v>4667</v>
      </c>
      <c r="J142" s="324"/>
      <c r="K142" s="324"/>
      <c r="L142" s="324"/>
      <c r="M142" s="324"/>
      <c r="N142" s="324"/>
      <c r="O142" s="324"/>
      <c r="P142" s="324"/>
      <c r="Q142" s="324"/>
      <c r="R142" s="324"/>
      <c r="S142" s="324"/>
      <c r="T142" s="325">
        <f t="shared" si="2"/>
        <v>4667</v>
      </c>
    </row>
    <row r="143" spans="1:20" ht="18.75" x14ac:dyDescent="0.3">
      <c r="A143" s="512" t="s">
        <v>573</v>
      </c>
      <c r="B143" s="512">
        <v>42367</v>
      </c>
      <c r="C143" s="521">
        <v>51903</v>
      </c>
      <c r="D143" s="329" t="s">
        <v>574</v>
      </c>
      <c r="E143" s="328" t="s">
        <v>575</v>
      </c>
      <c r="F143" s="522">
        <v>30680</v>
      </c>
      <c r="G143" s="324" t="s">
        <v>1114</v>
      </c>
      <c r="H143" s="324">
        <v>2015</v>
      </c>
      <c r="I143" s="522">
        <v>30680</v>
      </c>
      <c r="J143" s="324"/>
      <c r="K143" s="324"/>
      <c r="L143" s="324"/>
      <c r="M143" s="324"/>
      <c r="N143" s="324"/>
      <c r="O143" s="324"/>
      <c r="P143" s="324"/>
      <c r="Q143" s="324"/>
      <c r="R143" s="324"/>
      <c r="S143" s="324"/>
      <c r="T143" s="325">
        <f t="shared" si="2"/>
        <v>30680</v>
      </c>
    </row>
    <row r="144" spans="1:20" ht="18.75" x14ac:dyDescent="0.3">
      <c r="A144" s="512" t="s">
        <v>256</v>
      </c>
      <c r="B144" s="513">
        <v>42369</v>
      </c>
      <c r="C144" s="514"/>
      <c r="D144" s="321" t="s">
        <v>576</v>
      </c>
      <c r="E144" s="322" t="s">
        <v>466</v>
      </c>
      <c r="F144" s="515">
        <v>364253</v>
      </c>
      <c r="G144" s="324" t="s">
        <v>1114</v>
      </c>
      <c r="H144" s="324">
        <v>2015</v>
      </c>
      <c r="I144" s="515">
        <v>364253</v>
      </c>
      <c r="J144" s="324"/>
      <c r="K144" s="324"/>
      <c r="L144" s="324"/>
      <c r="M144" s="324"/>
      <c r="N144" s="324"/>
      <c r="O144" s="324"/>
      <c r="P144" s="324"/>
      <c r="Q144" s="324"/>
      <c r="R144" s="324"/>
      <c r="S144" s="324"/>
      <c r="T144" s="325">
        <f t="shared" si="2"/>
        <v>364253</v>
      </c>
    </row>
    <row r="145" spans="1:20" ht="18.75" x14ac:dyDescent="0.3">
      <c r="A145" s="512" t="s">
        <v>289</v>
      </c>
      <c r="B145" s="512">
        <v>42381</v>
      </c>
      <c r="C145" s="521">
        <v>51965</v>
      </c>
      <c r="D145" s="333">
        <v>5958</v>
      </c>
      <c r="E145" s="328" t="s">
        <v>558</v>
      </c>
      <c r="F145" s="522">
        <v>10110</v>
      </c>
      <c r="G145" s="324" t="s">
        <v>1114</v>
      </c>
      <c r="H145" s="324">
        <v>2016</v>
      </c>
      <c r="I145" s="522">
        <v>10110</v>
      </c>
      <c r="J145" s="324"/>
      <c r="K145" s="324"/>
      <c r="L145" s="324"/>
      <c r="M145" s="324"/>
      <c r="N145" s="324"/>
      <c r="O145" s="324"/>
      <c r="P145" s="324"/>
      <c r="Q145" s="324"/>
      <c r="R145" s="324"/>
      <c r="S145" s="324"/>
      <c r="T145" s="325">
        <f t="shared" si="2"/>
        <v>10110</v>
      </c>
    </row>
    <row r="146" spans="1:20" ht="18.75" x14ac:dyDescent="0.3">
      <c r="A146" s="512" t="s">
        <v>289</v>
      </c>
      <c r="B146" s="512">
        <v>42382</v>
      </c>
      <c r="C146" s="521">
        <v>51975</v>
      </c>
      <c r="D146" s="333">
        <v>6215</v>
      </c>
      <c r="E146" s="328" t="s">
        <v>558</v>
      </c>
      <c r="F146" s="522">
        <v>267</v>
      </c>
      <c r="G146" s="324" t="s">
        <v>1114</v>
      </c>
      <c r="H146" s="324">
        <v>2016</v>
      </c>
      <c r="I146" s="522">
        <v>267</v>
      </c>
      <c r="J146" s="324"/>
      <c r="K146" s="324"/>
      <c r="L146" s="324"/>
      <c r="M146" s="324"/>
      <c r="N146" s="324"/>
      <c r="O146" s="324"/>
      <c r="P146" s="324"/>
      <c r="Q146" s="324"/>
      <c r="R146" s="324"/>
      <c r="S146" s="324"/>
      <c r="T146" s="325">
        <f t="shared" si="2"/>
        <v>267</v>
      </c>
    </row>
    <row r="147" spans="1:20" ht="18.75" x14ac:dyDescent="0.3">
      <c r="A147" s="512" t="s">
        <v>289</v>
      </c>
      <c r="B147" s="512">
        <v>42395</v>
      </c>
      <c r="C147" s="521">
        <v>52032</v>
      </c>
      <c r="D147" s="333">
        <v>8507</v>
      </c>
      <c r="E147" s="328" t="s">
        <v>558</v>
      </c>
      <c r="F147" s="522">
        <v>337</v>
      </c>
      <c r="G147" s="324" t="s">
        <v>1114</v>
      </c>
      <c r="H147" s="324">
        <v>2016</v>
      </c>
      <c r="I147" s="522">
        <v>337</v>
      </c>
      <c r="J147" s="324"/>
      <c r="K147" s="324"/>
      <c r="L147" s="324"/>
      <c r="M147" s="324"/>
      <c r="N147" s="324"/>
      <c r="O147" s="324"/>
      <c r="P147" s="324"/>
      <c r="Q147" s="324"/>
      <c r="R147" s="324"/>
      <c r="S147" s="324"/>
      <c r="T147" s="325">
        <f t="shared" si="2"/>
        <v>337</v>
      </c>
    </row>
    <row r="148" spans="1:20" ht="18.75" x14ac:dyDescent="0.3">
      <c r="A148" s="512" t="s">
        <v>289</v>
      </c>
      <c r="B148" s="512">
        <v>42398</v>
      </c>
      <c r="C148" s="521">
        <v>52051</v>
      </c>
      <c r="D148" s="333">
        <v>9241</v>
      </c>
      <c r="E148" s="328" t="s">
        <v>558</v>
      </c>
      <c r="F148" s="522">
        <v>224</v>
      </c>
      <c r="G148" s="324" t="s">
        <v>1114</v>
      </c>
      <c r="H148" s="324">
        <v>2016</v>
      </c>
      <c r="I148" s="522">
        <v>224</v>
      </c>
      <c r="J148" s="324"/>
      <c r="K148" s="324"/>
      <c r="L148" s="324"/>
      <c r="M148" s="324"/>
      <c r="N148" s="324"/>
      <c r="O148" s="324"/>
      <c r="P148" s="324"/>
      <c r="Q148" s="324"/>
      <c r="R148" s="324"/>
      <c r="S148" s="324"/>
      <c r="T148" s="325">
        <f t="shared" si="2"/>
        <v>224</v>
      </c>
    </row>
    <row r="149" spans="1:20" s="336" customFormat="1" ht="18.75" x14ac:dyDescent="0.3">
      <c r="A149" s="512" t="s">
        <v>289</v>
      </c>
      <c r="B149" s="512">
        <v>42404</v>
      </c>
      <c r="C149" s="521">
        <v>52083</v>
      </c>
      <c r="D149" s="333">
        <v>452</v>
      </c>
      <c r="E149" s="328" t="s">
        <v>558</v>
      </c>
      <c r="F149" s="522">
        <v>324</v>
      </c>
      <c r="G149" s="324" t="s">
        <v>1114</v>
      </c>
      <c r="H149" s="324">
        <v>2016</v>
      </c>
      <c r="I149" s="522">
        <v>324</v>
      </c>
      <c r="J149" s="335"/>
      <c r="K149" s="335"/>
      <c r="L149" s="335"/>
      <c r="M149" s="335"/>
      <c r="N149" s="335"/>
      <c r="O149" s="335"/>
      <c r="P149" s="335"/>
      <c r="Q149" s="335"/>
      <c r="R149" s="335"/>
      <c r="S149" s="335"/>
      <c r="T149" s="325">
        <f t="shared" si="2"/>
        <v>324</v>
      </c>
    </row>
    <row r="150" spans="1:20" s="336" customFormat="1" ht="18.75" x14ac:dyDescent="0.3">
      <c r="A150" s="512" t="s">
        <v>289</v>
      </c>
      <c r="B150" s="512">
        <v>42409</v>
      </c>
      <c r="C150" s="521">
        <v>52102</v>
      </c>
      <c r="D150" s="333">
        <v>1409</v>
      </c>
      <c r="E150" s="328" t="s">
        <v>577</v>
      </c>
      <c r="F150" s="522">
        <v>75</v>
      </c>
      <c r="G150" s="324" t="s">
        <v>1114</v>
      </c>
      <c r="H150" s="324">
        <v>2016</v>
      </c>
      <c r="I150" s="522">
        <v>75</v>
      </c>
      <c r="J150" s="335"/>
      <c r="K150" s="335"/>
      <c r="L150" s="335"/>
      <c r="M150" s="335"/>
      <c r="N150" s="335"/>
      <c r="O150" s="335"/>
      <c r="P150" s="335"/>
      <c r="Q150" s="335"/>
      <c r="R150" s="335"/>
      <c r="S150" s="335"/>
      <c r="T150" s="325">
        <f t="shared" si="2"/>
        <v>75</v>
      </c>
    </row>
    <row r="151" spans="1:20" ht="18.75" x14ac:dyDescent="0.3">
      <c r="A151" s="512" t="s">
        <v>289</v>
      </c>
      <c r="B151" s="512">
        <v>42419</v>
      </c>
      <c r="C151" s="521">
        <v>52121</v>
      </c>
      <c r="D151" s="333">
        <v>6</v>
      </c>
      <c r="E151" s="328" t="s">
        <v>558</v>
      </c>
      <c r="F151" s="522">
        <v>1668</v>
      </c>
      <c r="G151" s="324" t="s">
        <v>1114</v>
      </c>
      <c r="H151" s="324">
        <v>2016</v>
      </c>
      <c r="I151" s="522">
        <v>1668</v>
      </c>
      <c r="J151" s="324"/>
      <c r="K151" s="324"/>
      <c r="L151" s="324"/>
      <c r="M151" s="324"/>
      <c r="N151" s="324"/>
      <c r="O151" s="324"/>
      <c r="P151" s="324"/>
      <c r="Q151" s="324"/>
      <c r="R151" s="324"/>
      <c r="S151" s="324"/>
      <c r="T151" s="325">
        <f t="shared" si="2"/>
        <v>1668</v>
      </c>
    </row>
    <row r="152" spans="1:20" ht="18.75" x14ac:dyDescent="0.3">
      <c r="A152" s="512" t="s">
        <v>289</v>
      </c>
      <c r="B152" s="512">
        <v>42422</v>
      </c>
      <c r="C152" s="521">
        <v>52153</v>
      </c>
      <c r="D152" s="333">
        <v>13767</v>
      </c>
      <c r="E152" s="328" t="s">
        <v>558</v>
      </c>
      <c r="F152" s="522">
        <v>1040</v>
      </c>
      <c r="G152" s="324" t="s">
        <v>1114</v>
      </c>
      <c r="H152" s="324">
        <v>2016</v>
      </c>
      <c r="I152" s="522">
        <v>1040</v>
      </c>
      <c r="J152" s="324"/>
      <c r="K152" s="324"/>
      <c r="L152" s="324"/>
      <c r="M152" s="324"/>
      <c r="N152" s="324"/>
      <c r="O152" s="324"/>
      <c r="P152" s="324"/>
      <c r="Q152" s="324"/>
      <c r="R152" s="324"/>
      <c r="S152" s="324"/>
      <c r="T152" s="325">
        <f t="shared" si="2"/>
        <v>1040</v>
      </c>
    </row>
    <row r="153" spans="1:20" s="336" customFormat="1" ht="18.75" x14ac:dyDescent="0.3">
      <c r="A153" s="512" t="s">
        <v>289</v>
      </c>
      <c r="B153" s="512">
        <v>42423</v>
      </c>
      <c r="C153" s="521">
        <v>52166</v>
      </c>
      <c r="D153" s="333">
        <v>14053</v>
      </c>
      <c r="E153" s="328" t="s">
        <v>558</v>
      </c>
      <c r="F153" s="522">
        <v>460</v>
      </c>
      <c r="G153" s="324" t="s">
        <v>1114</v>
      </c>
      <c r="H153" s="324">
        <v>2016</v>
      </c>
      <c r="I153" s="522">
        <v>460</v>
      </c>
      <c r="J153" s="335"/>
      <c r="K153" s="335"/>
      <c r="L153" s="335"/>
      <c r="M153" s="335"/>
      <c r="N153" s="335"/>
      <c r="O153" s="335"/>
      <c r="P153" s="335"/>
      <c r="Q153" s="335"/>
      <c r="R153" s="335"/>
      <c r="S153" s="335"/>
      <c r="T153" s="325">
        <f t="shared" si="2"/>
        <v>460</v>
      </c>
    </row>
    <row r="154" spans="1:20" s="336" customFormat="1" ht="18.75" x14ac:dyDescent="0.3">
      <c r="A154" s="512" t="s">
        <v>289</v>
      </c>
      <c r="B154" s="512">
        <v>42433</v>
      </c>
      <c r="C154" s="521">
        <v>52216</v>
      </c>
      <c r="D154" s="333">
        <v>16406</v>
      </c>
      <c r="E154" s="328" t="s">
        <v>558</v>
      </c>
      <c r="F154" s="522">
        <v>6990</v>
      </c>
      <c r="G154" s="324" t="s">
        <v>1114</v>
      </c>
      <c r="H154" s="324">
        <v>2016</v>
      </c>
      <c r="I154" s="522">
        <v>6990</v>
      </c>
      <c r="J154" s="335"/>
      <c r="K154" s="335"/>
      <c r="L154" s="335"/>
      <c r="M154" s="335"/>
      <c r="N154" s="335"/>
      <c r="O154" s="335"/>
      <c r="P154" s="335"/>
      <c r="Q154" s="335"/>
      <c r="R154" s="335"/>
      <c r="S154" s="335"/>
      <c r="T154" s="325">
        <f t="shared" si="2"/>
        <v>6990</v>
      </c>
    </row>
    <row r="155" spans="1:20" s="336" customFormat="1" ht="18.75" x14ac:dyDescent="0.3">
      <c r="A155" s="512" t="s">
        <v>289</v>
      </c>
      <c r="B155" s="512">
        <v>42445</v>
      </c>
      <c r="C155" s="521">
        <v>52255</v>
      </c>
      <c r="D155" s="333">
        <v>22</v>
      </c>
      <c r="E155" s="328" t="s">
        <v>558</v>
      </c>
      <c r="F155" s="522">
        <v>4758</v>
      </c>
      <c r="G155" s="324" t="s">
        <v>1114</v>
      </c>
      <c r="H155" s="324">
        <v>2016</v>
      </c>
      <c r="I155" s="522">
        <v>4758</v>
      </c>
      <c r="J155" s="335"/>
      <c r="K155" s="335"/>
      <c r="L155" s="335"/>
      <c r="M155" s="335"/>
      <c r="N155" s="335"/>
      <c r="O155" s="335"/>
      <c r="P155" s="335"/>
      <c r="Q155" s="335"/>
      <c r="R155" s="335"/>
      <c r="S155" s="335"/>
      <c r="T155" s="325">
        <f t="shared" si="2"/>
        <v>4758</v>
      </c>
    </row>
    <row r="156" spans="1:20" s="336" customFormat="1" ht="18.75" x14ac:dyDescent="0.3">
      <c r="A156" s="512" t="s">
        <v>289</v>
      </c>
      <c r="B156" s="512">
        <v>42450</v>
      </c>
      <c r="C156" s="521">
        <v>52282</v>
      </c>
      <c r="D156" s="333">
        <v>19153</v>
      </c>
      <c r="E156" s="328" t="s">
        <v>558</v>
      </c>
      <c r="F156" s="522">
        <v>1200</v>
      </c>
      <c r="G156" s="324" t="s">
        <v>1114</v>
      </c>
      <c r="H156" s="324">
        <v>2016</v>
      </c>
      <c r="I156" s="522">
        <v>1200</v>
      </c>
      <c r="J156" s="335"/>
      <c r="K156" s="335"/>
      <c r="L156" s="335"/>
      <c r="M156" s="335"/>
      <c r="N156" s="335"/>
      <c r="O156" s="335"/>
      <c r="P156" s="335"/>
      <c r="Q156" s="335"/>
      <c r="R156" s="335"/>
      <c r="S156" s="335"/>
      <c r="T156" s="325">
        <f t="shared" si="2"/>
        <v>1200</v>
      </c>
    </row>
    <row r="157" spans="1:20" ht="18.75" x14ac:dyDescent="0.3">
      <c r="A157" s="512" t="s">
        <v>289</v>
      </c>
      <c r="B157" s="512">
        <v>42452</v>
      </c>
      <c r="C157" s="521">
        <v>52303</v>
      </c>
      <c r="D157" s="333">
        <v>26</v>
      </c>
      <c r="E157" s="328" t="s">
        <v>558</v>
      </c>
      <c r="F157" s="522">
        <v>2195</v>
      </c>
      <c r="G157" s="324" t="s">
        <v>1114</v>
      </c>
      <c r="H157" s="324">
        <v>2016</v>
      </c>
      <c r="I157" s="522">
        <v>2195</v>
      </c>
      <c r="J157" s="324"/>
      <c r="K157" s="324"/>
      <c r="L157" s="324"/>
      <c r="M157" s="324"/>
      <c r="N157" s="324"/>
      <c r="O157" s="324"/>
      <c r="P157" s="324"/>
      <c r="Q157" s="324"/>
      <c r="R157" s="324"/>
      <c r="S157" s="324"/>
      <c r="T157" s="325">
        <f t="shared" si="2"/>
        <v>2195</v>
      </c>
    </row>
    <row r="158" spans="1:20" ht="18.75" x14ac:dyDescent="0.3">
      <c r="A158" s="512" t="s">
        <v>289</v>
      </c>
      <c r="B158" s="512">
        <v>42459</v>
      </c>
      <c r="C158" s="521">
        <v>52316</v>
      </c>
      <c r="D158" s="333">
        <v>28</v>
      </c>
      <c r="E158" s="328" t="s">
        <v>558</v>
      </c>
      <c r="F158" s="522">
        <v>625</v>
      </c>
      <c r="G158" s="324" t="s">
        <v>1114</v>
      </c>
      <c r="H158" s="324">
        <v>2016</v>
      </c>
      <c r="I158" s="522">
        <v>625</v>
      </c>
      <c r="J158" s="324"/>
      <c r="K158" s="324"/>
      <c r="L158" s="324"/>
      <c r="M158" s="324"/>
      <c r="N158" s="324"/>
      <c r="O158" s="324"/>
      <c r="P158" s="324"/>
      <c r="Q158" s="324"/>
      <c r="R158" s="324"/>
      <c r="S158" s="324"/>
      <c r="T158" s="325">
        <f t="shared" si="2"/>
        <v>625</v>
      </c>
    </row>
    <row r="159" spans="1:20" ht="18.75" x14ac:dyDescent="0.3">
      <c r="A159" s="512" t="s">
        <v>289</v>
      </c>
      <c r="B159" s="512">
        <v>42465</v>
      </c>
      <c r="C159" s="521">
        <v>52357</v>
      </c>
      <c r="D159" s="333">
        <v>22231</v>
      </c>
      <c r="E159" s="328" t="s">
        <v>558</v>
      </c>
      <c r="F159" s="522">
        <v>1184</v>
      </c>
      <c r="G159" s="324" t="s">
        <v>1114</v>
      </c>
      <c r="H159" s="324">
        <v>2016</v>
      </c>
      <c r="I159" s="522">
        <v>1184</v>
      </c>
      <c r="J159" s="324"/>
      <c r="K159" s="324"/>
      <c r="L159" s="324"/>
      <c r="M159" s="324"/>
      <c r="N159" s="324"/>
      <c r="O159" s="324"/>
      <c r="P159" s="324"/>
      <c r="Q159" s="324"/>
      <c r="R159" s="324"/>
      <c r="S159" s="324"/>
      <c r="T159" s="325">
        <f t="shared" si="2"/>
        <v>1184</v>
      </c>
    </row>
    <row r="160" spans="1:20" ht="18.75" x14ac:dyDescent="0.3">
      <c r="A160" s="512" t="s">
        <v>289</v>
      </c>
      <c r="B160" s="512">
        <v>42468</v>
      </c>
      <c r="C160" s="521">
        <v>52374</v>
      </c>
      <c r="D160" s="333">
        <v>169</v>
      </c>
      <c r="E160" s="328" t="s">
        <v>558</v>
      </c>
      <c r="F160" s="522">
        <v>5325.8</v>
      </c>
      <c r="G160" s="324" t="s">
        <v>1114</v>
      </c>
      <c r="H160" s="324">
        <v>2016</v>
      </c>
      <c r="I160" s="522">
        <v>5325.8</v>
      </c>
      <c r="J160" s="324"/>
      <c r="K160" s="324"/>
      <c r="L160" s="324"/>
      <c r="M160" s="324"/>
      <c r="N160" s="324"/>
      <c r="O160" s="324"/>
      <c r="P160" s="324"/>
      <c r="Q160" s="324"/>
      <c r="R160" s="324"/>
      <c r="S160" s="324"/>
      <c r="T160" s="325">
        <f t="shared" si="2"/>
        <v>5325.8</v>
      </c>
    </row>
    <row r="161" spans="1:20" ht="18.75" x14ac:dyDescent="0.3">
      <c r="A161" s="512" t="s">
        <v>289</v>
      </c>
      <c r="B161" s="512">
        <v>42471</v>
      </c>
      <c r="C161" s="521">
        <v>52378</v>
      </c>
      <c r="D161" s="333">
        <v>173</v>
      </c>
      <c r="E161" s="328" t="s">
        <v>558</v>
      </c>
      <c r="F161" s="522">
        <v>740</v>
      </c>
      <c r="G161" s="324" t="s">
        <v>1114</v>
      </c>
      <c r="H161" s="324">
        <v>2016</v>
      </c>
      <c r="I161" s="522">
        <v>740</v>
      </c>
      <c r="J161" s="324"/>
      <c r="K161" s="324"/>
      <c r="L161" s="324"/>
      <c r="M161" s="324"/>
      <c r="N161" s="324"/>
      <c r="O161" s="324"/>
      <c r="P161" s="324"/>
      <c r="Q161" s="324"/>
      <c r="R161" s="324"/>
      <c r="S161" s="324"/>
      <c r="T161" s="325">
        <f t="shared" si="2"/>
        <v>740</v>
      </c>
    </row>
    <row r="162" spans="1:20" ht="18.75" x14ac:dyDescent="0.3">
      <c r="A162" s="512" t="s">
        <v>289</v>
      </c>
      <c r="B162" s="512">
        <v>42474</v>
      </c>
      <c r="C162" s="521">
        <v>52346</v>
      </c>
      <c r="D162" s="333">
        <v>180</v>
      </c>
      <c r="E162" s="328" t="s">
        <v>558</v>
      </c>
      <c r="F162" s="522">
        <v>916.4</v>
      </c>
      <c r="G162" s="324" t="s">
        <v>1114</v>
      </c>
      <c r="H162" s="324">
        <v>2016</v>
      </c>
      <c r="I162" s="522">
        <v>916.4</v>
      </c>
      <c r="J162" s="324"/>
      <c r="K162" s="324"/>
      <c r="L162" s="324"/>
      <c r="M162" s="324"/>
      <c r="N162" s="324"/>
      <c r="O162" s="324"/>
      <c r="P162" s="324"/>
      <c r="Q162" s="324"/>
      <c r="R162" s="324"/>
      <c r="S162" s="324"/>
      <c r="T162" s="325">
        <f t="shared" si="2"/>
        <v>916.4</v>
      </c>
    </row>
    <row r="163" spans="1:20" ht="18.75" x14ac:dyDescent="0.3">
      <c r="A163" s="512" t="s">
        <v>289</v>
      </c>
      <c r="B163" s="512">
        <v>42474</v>
      </c>
      <c r="C163" s="521">
        <v>52403</v>
      </c>
      <c r="D163" s="333">
        <v>176</v>
      </c>
      <c r="E163" s="328" t="s">
        <v>558</v>
      </c>
      <c r="F163" s="522">
        <v>6269.1</v>
      </c>
      <c r="G163" s="324" t="s">
        <v>1114</v>
      </c>
      <c r="H163" s="324">
        <v>2016</v>
      </c>
      <c r="I163" s="522">
        <v>6269.1</v>
      </c>
      <c r="J163" s="324"/>
      <c r="K163" s="324"/>
      <c r="L163" s="324"/>
      <c r="M163" s="324"/>
      <c r="N163" s="324"/>
      <c r="O163" s="324"/>
      <c r="P163" s="324"/>
      <c r="Q163" s="324"/>
      <c r="R163" s="324"/>
      <c r="S163" s="324"/>
      <c r="T163" s="325">
        <f t="shared" si="2"/>
        <v>6269.1</v>
      </c>
    </row>
    <row r="164" spans="1:20" ht="18.75" x14ac:dyDescent="0.3">
      <c r="A164" s="512" t="s">
        <v>289</v>
      </c>
      <c r="B164" s="512">
        <v>42474</v>
      </c>
      <c r="C164" s="521">
        <v>52355</v>
      </c>
      <c r="D164" s="333">
        <v>178</v>
      </c>
      <c r="E164" s="328" t="s">
        <v>558</v>
      </c>
      <c r="F164" s="522">
        <v>750</v>
      </c>
      <c r="G164" s="324" t="s">
        <v>1114</v>
      </c>
      <c r="H164" s="324">
        <v>2016</v>
      </c>
      <c r="I164" s="522">
        <v>750</v>
      </c>
      <c r="J164" s="324"/>
      <c r="K164" s="324"/>
      <c r="L164" s="324"/>
      <c r="M164" s="324"/>
      <c r="N164" s="324"/>
      <c r="O164" s="324"/>
      <c r="P164" s="324"/>
      <c r="Q164" s="324"/>
      <c r="R164" s="324"/>
      <c r="S164" s="324"/>
      <c r="T164" s="325">
        <f t="shared" si="2"/>
        <v>750</v>
      </c>
    </row>
    <row r="165" spans="1:20" ht="18.75" x14ac:dyDescent="0.3">
      <c r="A165" s="512" t="s">
        <v>289</v>
      </c>
      <c r="B165" s="512">
        <v>42474</v>
      </c>
      <c r="C165" s="521">
        <v>52365</v>
      </c>
      <c r="D165" s="333">
        <v>179</v>
      </c>
      <c r="E165" s="328" t="s">
        <v>558</v>
      </c>
      <c r="F165" s="522">
        <v>736</v>
      </c>
      <c r="G165" s="324" t="s">
        <v>1114</v>
      </c>
      <c r="H165" s="324">
        <v>2016</v>
      </c>
      <c r="I165" s="522">
        <v>736</v>
      </c>
      <c r="J165" s="324"/>
      <c r="K165" s="324"/>
      <c r="L165" s="324"/>
      <c r="M165" s="324"/>
      <c r="N165" s="324"/>
      <c r="O165" s="324"/>
      <c r="P165" s="324"/>
      <c r="Q165" s="324"/>
      <c r="R165" s="324"/>
      <c r="S165" s="324"/>
      <c r="T165" s="325">
        <f t="shared" si="2"/>
        <v>736</v>
      </c>
    </row>
    <row r="166" spans="1:20" ht="18.75" x14ac:dyDescent="0.3">
      <c r="A166" s="512" t="s">
        <v>289</v>
      </c>
      <c r="B166" s="512">
        <v>42474</v>
      </c>
      <c r="C166" s="521">
        <v>52345</v>
      </c>
      <c r="D166" s="333">
        <v>183</v>
      </c>
      <c r="E166" s="328" t="s">
        <v>558</v>
      </c>
      <c r="F166" s="522">
        <v>1390</v>
      </c>
      <c r="G166" s="324" t="s">
        <v>1114</v>
      </c>
      <c r="H166" s="324">
        <v>2016</v>
      </c>
      <c r="I166" s="522">
        <v>1390</v>
      </c>
      <c r="J166" s="324"/>
      <c r="K166" s="324"/>
      <c r="L166" s="324"/>
      <c r="M166" s="324"/>
      <c r="N166" s="324"/>
      <c r="O166" s="324"/>
      <c r="P166" s="324"/>
      <c r="Q166" s="324"/>
      <c r="R166" s="324"/>
      <c r="S166" s="324"/>
      <c r="T166" s="325">
        <f t="shared" si="2"/>
        <v>1390</v>
      </c>
    </row>
    <row r="167" spans="1:20" ht="18.75" x14ac:dyDescent="0.3">
      <c r="A167" s="512" t="s">
        <v>289</v>
      </c>
      <c r="B167" s="512">
        <v>42475</v>
      </c>
      <c r="C167" s="521">
        <v>52401</v>
      </c>
      <c r="D167" s="333">
        <v>185</v>
      </c>
      <c r="E167" s="328" t="s">
        <v>558</v>
      </c>
      <c r="F167" s="522">
        <v>778</v>
      </c>
      <c r="G167" s="324" t="s">
        <v>1114</v>
      </c>
      <c r="H167" s="324">
        <v>2016</v>
      </c>
      <c r="I167" s="522">
        <v>778</v>
      </c>
      <c r="J167" s="324"/>
      <c r="K167" s="324"/>
      <c r="L167" s="324"/>
      <c r="M167" s="324"/>
      <c r="N167" s="324"/>
      <c r="O167" s="324"/>
      <c r="P167" s="324"/>
      <c r="Q167" s="324"/>
      <c r="R167" s="324"/>
      <c r="S167" s="324"/>
      <c r="T167" s="325">
        <f t="shared" si="2"/>
        <v>778</v>
      </c>
    </row>
    <row r="168" spans="1:20" ht="18.75" x14ac:dyDescent="0.3">
      <c r="A168" s="512" t="s">
        <v>289</v>
      </c>
      <c r="B168" s="512">
        <v>42475</v>
      </c>
      <c r="C168" s="521">
        <v>52410</v>
      </c>
      <c r="D168" s="333">
        <v>186</v>
      </c>
      <c r="E168" s="328" t="s">
        <v>558</v>
      </c>
      <c r="F168" s="522">
        <v>770</v>
      </c>
      <c r="G168" s="324" t="s">
        <v>1114</v>
      </c>
      <c r="H168" s="324">
        <v>2016</v>
      </c>
      <c r="I168" s="522">
        <v>770</v>
      </c>
      <c r="J168" s="324"/>
      <c r="K168" s="324"/>
      <c r="L168" s="324"/>
      <c r="M168" s="324"/>
      <c r="N168" s="324"/>
      <c r="O168" s="324"/>
      <c r="P168" s="324"/>
      <c r="Q168" s="324"/>
      <c r="R168" s="324"/>
      <c r="S168" s="324"/>
      <c r="T168" s="325">
        <f t="shared" si="2"/>
        <v>770</v>
      </c>
    </row>
    <row r="169" spans="1:20" ht="18.75" x14ac:dyDescent="0.3">
      <c r="A169" s="512" t="s">
        <v>289</v>
      </c>
      <c r="B169" s="512">
        <v>42481</v>
      </c>
      <c r="C169" s="521">
        <v>52425</v>
      </c>
      <c r="D169" s="333">
        <v>201</v>
      </c>
      <c r="E169" s="328" t="s">
        <v>558</v>
      </c>
      <c r="F169" s="522">
        <v>851</v>
      </c>
      <c r="G169" s="324" t="s">
        <v>1114</v>
      </c>
      <c r="H169" s="324">
        <v>2016</v>
      </c>
      <c r="I169" s="522">
        <v>851</v>
      </c>
      <c r="J169" s="324"/>
      <c r="K169" s="324"/>
      <c r="L169" s="324"/>
      <c r="M169" s="324"/>
      <c r="N169" s="324"/>
      <c r="O169" s="324"/>
      <c r="P169" s="324"/>
      <c r="Q169" s="324"/>
      <c r="R169" s="324"/>
      <c r="S169" s="324"/>
      <c r="T169" s="325">
        <f t="shared" si="2"/>
        <v>851</v>
      </c>
    </row>
    <row r="170" spans="1:20" ht="18.75" x14ac:dyDescent="0.3">
      <c r="A170" s="512" t="s">
        <v>289</v>
      </c>
      <c r="B170" s="512">
        <v>42482</v>
      </c>
      <c r="C170" s="521">
        <v>52463</v>
      </c>
      <c r="D170" s="333">
        <v>1666</v>
      </c>
      <c r="E170" s="328" t="s">
        <v>558</v>
      </c>
      <c r="F170" s="522">
        <v>5440</v>
      </c>
      <c r="G170" s="324" t="s">
        <v>1114</v>
      </c>
      <c r="H170" s="324">
        <v>2016</v>
      </c>
      <c r="I170" s="522">
        <v>5440</v>
      </c>
      <c r="J170" s="324"/>
      <c r="K170" s="324"/>
      <c r="L170" s="324"/>
      <c r="M170" s="324"/>
      <c r="N170" s="324"/>
      <c r="O170" s="324"/>
      <c r="P170" s="324"/>
      <c r="Q170" s="324"/>
      <c r="R170" s="324"/>
      <c r="S170" s="324"/>
      <c r="T170" s="325">
        <f t="shared" si="2"/>
        <v>5440</v>
      </c>
    </row>
    <row r="171" spans="1:20" ht="18.75" x14ac:dyDescent="0.3">
      <c r="A171" s="512" t="s">
        <v>289</v>
      </c>
      <c r="B171" s="512">
        <v>42493</v>
      </c>
      <c r="C171" s="521">
        <v>6</v>
      </c>
      <c r="D171" s="333">
        <v>1667</v>
      </c>
      <c r="E171" s="328" t="s">
        <v>558</v>
      </c>
      <c r="F171" s="522">
        <v>2400</v>
      </c>
      <c r="G171" s="324" t="s">
        <v>1114</v>
      </c>
      <c r="H171" s="324">
        <v>2016</v>
      </c>
      <c r="I171" s="522">
        <v>2400</v>
      </c>
      <c r="J171" s="324"/>
      <c r="K171" s="324"/>
      <c r="L171" s="324"/>
      <c r="M171" s="324"/>
      <c r="N171" s="324"/>
      <c r="O171" s="324"/>
      <c r="P171" s="324"/>
      <c r="Q171" s="324"/>
      <c r="R171" s="324"/>
      <c r="S171" s="324"/>
      <c r="T171" s="325">
        <f t="shared" si="2"/>
        <v>2400</v>
      </c>
    </row>
    <row r="172" spans="1:20" ht="18.75" x14ac:dyDescent="0.3">
      <c r="A172" s="512" t="s">
        <v>289</v>
      </c>
      <c r="B172" s="512">
        <v>42500</v>
      </c>
      <c r="C172" s="521">
        <v>23</v>
      </c>
      <c r="D172" s="333">
        <v>1669</v>
      </c>
      <c r="E172" s="328" t="s">
        <v>558</v>
      </c>
      <c r="F172" s="522">
        <v>1275</v>
      </c>
      <c r="G172" s="324" t="s">
        <v>1114</v>
      </c>
      <c r="H172" s="324">
        <v>2016</v>
      </c>
      <c r="I172" s="522">
        <v>1275</v>
      </c>
      <c r="J172" s="324"/>
      <c r="K172" s="324"/>
      <c r="L172" s="324"/>
      <c r="M172" s="324"/>
      <c r="N172" s="324"/>
      <c r="O172" s="324"/>
      <c r="P172" s="324"/>
      <c r="Q172" s="324"/>
      <c r="R172" s="324"/>
      <c r="S172" s="324"/>
      <c r="T172" s="325">
        <f t="shared" si="2"/>
        <v>1275</v>
      </c>
    </row>
    <row r="173" spans="1:20" ht="18.75" x14ac:dyDescent="0.3">
      <c r="A173" s="512" t="s">
        <v>289</v>
      </c>
      <c r="B173" s="512">
        <v>42502</v>
      </c>
      <c r="C173" s="521">
        <v>30</v>
      </c>
      <c r="D173" s="333">
        <v>1670</v>
      </c>
      <c r="E173" s="328" t="s">
        <v>558</v>
      </c>
      <c r="F173" s="522">
        <v>5460</v>
      </c>
      <c r="G173" s="324" t="s">
        <v>1114</v>
      </c>
      <c r="H173" s="324">
        <v>2016</v>
      </c>
      <c r="I173" s="522">
        <v>5460</v>
      </c>
      <c r="J173" s="324"/>
      <c r="K173" s="324"/>
      <c r="L173" s="324"/>
      <c r="M173" s="324"/>
      <c r="N173" s="324"/>
      <c r="O173" s="324"/>
      <c r="P173" s="324"/>
      <c r="Q173" s="324"/>
      <c r="R173" s="324"/>
      <c r="S173" s="324"/>
      <c r="T173" s="325">
        <f t="shared" si="2"/>
        <v>5460</v>
      </c>
    </row>
    <row r="174" spans="1:20" ht="18.75" x14ac:dyDescent="0.3">
      <c r="A174" s="512" t="s">
        <v>289</v>
      </c>
      <c r="B174" s="512">
        <v>42502</v>
      </c>
      <c r="C174" s="521">
        <v>29</v>
      </c>
      <c r="D174" s="333">
        <v>1671</v>
      </c>
      <c r="E174" s="328" t="s">
        <v>558</v>
      </c>
      <c r="F174" s="522">
        <v>734</v>
      </c>
      <c r="G174" s="324" t="s">
        <v>1114</v>
      </c>
      <c r="H174" s="324">
        <v>2016</v>
      </c>
      <c r="I174" s="522">
        <v>734</v>
      </c>
      <c r="J174" s="324"/>
      <c r="K174" s="324"/>
      <c r="L174" s="324"/>
      <c r="M174" s="324"/>
      <c r="N174" s="324"/>
      <c r="O174" s="324"/>
      <c r="P174" s="324"/>
      <c r="Q174" s="324"/>
      <c r="R174" s="324"/>
      <c r="S174" s="324"/>
      <c r="T174" s="325">
        <f t="shared" si="2"/>
        <v>734</v>
      </c>
    </row>
    <row r="175" spans="1:20" ht="18.75" x14ac:dyDescent="0.3">
      <c r="A175" s="512" t="s">
        <v>289</v>
      </c>
      <c r="B175" s="512">
        <v>42508</v>
      </c>
      <c r="C175" s="521">
        <v>48</v>
      </c>
      <c r="D175" s="333">
        <v>1672</v>
      </c>
      <c r="E175" s="328" t="s">
        <v>558</v>
      </c>
      <c r="F175" s="522">
        <v>2941</v>
      </c>
      <c r="G175" s="324" t="s">
        <v>1114</v>
      </c>
      <c r="H175" s="324">
        <v>2016</v>
      </c>
      <c r="I175" s="522">
        <v>2941</v>
      </c>
      <c r="J175" s="324"/>
      <c r="K175" s="324"/>
      <c r="L175" s="324"/>
      <c r="M175" s="324"/>
      <c r="N175" s="324"/>
      <c r="O175" s="324"/>
      <c r="P175" s="324"/>
      <c r="Q175" s="324"/>
      <c r="R175" s="324"/>
      <c r="S175" s="324"/>
      <c r="T175" s="325">
        <f t="shared" si="2"/>
        <v>2941</v>
      </c>
    </row>
    <row r="176" spans="1:20" ht="18.75" x14ac:dyDescent="0.3">
      <c r="A176" s="512" t="s">
        <v>289</v>
      </c>
      <c r="B176" s="512">
        <v>42510</v>
      </c>
      <c r="C176" s="521">
        <v>57</v>
      </c>
      <c r="D176" s="333">
        <v>1673</v>
      </c>
      <c r="E176" s="328" t="s">
        <v>558</v>
      </c>
      <c r="F176" s="522">
        <v>2900</v>
      </c>
      <c r="G176" s="324" t="s">
        <v>1114</v>
      </c>
      <c r="H176" s="324">
        <v>2016</v>
      </c>
      <c r="I176" s="522">
        <v>2900</v>
      </c>
      <c r="J176" s="324"/>
      <c r="K176" s="324"/>
      <c r="L176" s="324"/>
      <c r="M176" s="324"/>
      <c r="N176" s="324"/>
      <c r="O176" s="324"/>
      <c r="P176" s="324"/>
      <c r="Q176" s="324"/>
      <c r="R176" s="324"/>
      <c r="S176" s="324"/>
      <c r="T176" s="325">
        <f t="shared" si="2"/>
        <v>2900</v>
      </c>
    </row>
    <row r="177" spans="1:20" ht="18.75" x14ac:dyDescent="0.3">
      <c r="A177" s="512" t="s">
        <v>289</v>
      </c>
      <c r="B177" s="512">
        <v>42513</v>
      </c>
      <c r="C177" s="521">
        <v>59</v>
      </c>
      <c r="D177" s="333">
        <v>1674</v>
      </c>
      <c r="E177" s="328" t="s">
        <v>558</v>
      </c>
      <c r="F177" s="522">
        <v>1050</v>
      </c>
      <c r="G177" s="324" t="s">
        <v>1114</v>
      </c>
      <c r="H177" s="324">
        <v>2016</v>
      </c>
      <c r="I177" s="522">
        <v>1050</v>
      </c>
      <c r="J177" s="324"/>
      <c r="K177" s="324"/>
      <c r="L177" s="324"/>
      <c r="M177" s="324"/>
      <c r="N177" s="324"/>
      <c r="O177" s="324"/>
      <c r="P177" s="324"/>
      <c r="Q177" s="324"/>
      <c r="R177" s="324"/>
      <c r="S177" s="324"/>
      <c r="T177" s="325">
        <f t="shared" si="2"/>
        <v>1050</v>
      </c>
    </row>
    <row r="178" spans="1:20" ht="18.75" x14ac:dyDescent="0.3">
      <c r="A178" s="512" t="s">
        <v>289</v>
      </c>
      <c r="B178" s="512">
        <v>42517</v>
      </c>
      <c r="C178" s="521">
        <v>70</v>
      </c>
      <c r="D178" s="333">
        <v>1675</v>
      </c>
      <c r="E178" s="328" t="s">
        <v>558</v>
      </c>
      <c r="F178" s="522">
        <v>492</v>
      </c>
      <c r="G178" s="324" t="s">
        <v>1114</v>
      </c>
      <c r="H178" s="324">
        <v>2016</v>
      </c>
      <c r="I178" s="522">
        <v>492</v>
      </c>
      <c r="J178" s="324"/>
      <c r="K178" s="324"/>
      <c r="L178" s="324"/>
      <c r="M178" s="324"/>
      <c r="N178" s="324"/>
      <c r="O178" s="324"/>
      <c r="P178" s="324"/>
      <c r="Q178" s="324"/>
      <c r="R178" s="324"/>
      <c r="S178" s="324"/>
      <c r="T178" s="325">
        <f t="shared" si="2"/>
        <v>492</v>
      </c>
    </row>
    <row r="179" spans="1:20" ht="18.75" x14ac:dyDescent="0.3">
      <c r="A179" s="512" t="s">
        <v>289</v>
      </c>
      <c r="B179" s="512">
        <v>42544</v>
      </c>
      <c r="C179" s="521">
        <v>192</v>
      </c>
      <c r="D179" s="333">
        <v>35167</v>
      </c>
      <c r="E179" s="328" t="s">
        <v>558</v>
      </c>
      <c r="F179" s="522">
        <v>1000</v>
      </c>
      <c r="G179" s="324" t="s">
        <v>1114</v>
      </c>
      <c r="H179" s="324">
        <v>2016</v>
      </c>
      <c r="I179" s="522">
        <v>1000</v>
      </c>
      <c r="J179" s="324"/>
      <c r="K179" s="324"/>
      <c r="L179" s="324"/>
      <c r="M179" s="324"/>
      <c r="N179" s="324"/>
      <c r="O179" s="324"/>
      <c r="P179" s="324"/>
      <c r="Q179" s="324"/>
      <c r="R179" s="324"/>
      <c r="S179" s="324"/>
      <c r="T179" s="325">
        <f t="shared" si="2"/>
        <v>1000</v>
      </c>
    </row>
    <row r="180" spans="1:20" ht="18.75" x14ac:dyDescent="0.3">
      <c r="A180" s="512" t="s">
        <v>289</v>
      </c>
      <c r="B180" s="512">
        <v>42593</v>
      </c>
      <c r="C180" s="521">
        <v>439</v>
      </c>
      <c r="D180" s="333">
        <v>1681</v>
      </c>
      <c r="E180" s="328" t="s">
        <v>558</v>
      </c>
      <c r="F180" s="522">
        <v>2250</v>
      </c>
      <c r="G180" s="324" t="s">
        <v>1114</v>
      </c>
      <c r="H180" s="324">
        <v>2016</v>
      </c>
      <c r="I180" s="522">
        <v>2250</v>
      </c>
      <c r="J180" s="324"/>
      <c r="K180" s="324"/>
      <c r="L180" s="324"/>
      <c r="M180" s="324"/>
      <c r="N180" s="324"/>
      <c r="O180" s="324"/>
      <c r="P180" s="324"/>
      <c r="Q180" s="324"/>
      <c r="R180" s="324"/>
      <c r="S180" s="324"/>
      <c r="T180" s="325">
        <f t="shared" si="2"/>
        <v>2250</v>
      </c>
    </row>
    <row r="181" spans="1:20" ht="18.75" x14ac:dyDescent="0.3">
      <c r="A181" s="512" t="s">
        <v>289</v>
      </c>
      <c r="B181" s="512">
        <v>42618</v>
      </c>
      <c r="C181" s="521">
        <v>526</v>
      </c>
      <c r="D181" s="333">
        <v>1686</v>
      </c>
      <c r="E181" s="328" t="s">
        <v>558</v>
      </c>
      <c r="F181" s="522">
        <v>890</v>
      </c>
      <c r="G181" s="324" t="s">
        <v>1114</v>
      </c>
      <c r="H181" s="324">
        <v>2016</v>
      </c>
      <c r="I181" s="522">
        <v>890</v>
      </c>
      <c r="J181" s="324"/>
      <c r="K181" s="324"/>
      <c r="L181" s="324"/>
      <c r="M181" s="324"/>
      <c r="N181" s="324"/>
      <c r="O181" s="324"/>
      <c r="P181" s="324"/>
      <c r="Q181" s="324"/>
      <c r="R181" s="324"/>
      <c r="S181" s="324"/>
      <c r="T181" s="325">
        <f t="shared" si="2"/>
        <v>890</v>
      </c>
    </row>
    <row r="182" spans="1:20" ht="18.75" x14ac:dyDescent="0.3">
      <c r="A182" s="512" t="s">
        <v>256</v>
      </c>
      <c r="B182" s="513">
        <v>42735</v>
      </c>
      <c r="C182" s="514"/>
      <c r="D182" s="321" t="s">
        <v>578</v>
      </c>
      <c r="E182" s="322" t="s">
        <v>466</v>
      </c>
      <c r="F182" s="515">
        <v>342228</v>
      </c>
      <c r="G182" s="324" t="s">
        <v>1114</v>
      </c>
      <c r="H182" s="324">
        <v>2016</v>
      </c>
      <c r="I182" s="515">
        <v>342228</v>
      </c>
      <c r="J182" s="324"/>
      <c r="K182" s="324"/>
      <c r="L182" s="324"/>
      <c r="M182" s="324"/>
      <c r="N182" s="324"/>
      <c r="O182" s="324"/>
      <c r="P182" s="324"/>
      <c r="Q182" s="324"/>
      <c r="R182" s="324"/>
      <c r="S182" s="324"/>
      <c r="T182" s="325">
        <f t="shared" si="2"/>
        <v>342228</v>
      </c>
    </row>
    <row r="183" spans="1:20" ht="18.75" x14ac:dyDescent="0.3">
      <c r="A183" s="512" t="s">
        <v>340</v>
      </c>
      <c r="B183" s="513">
        <v>42781</v>
      </c>
      <c r="C183" s="514">
        <v>1120</v>
      </c>
      <c r="D183" s="321" t="s">
        <v>579</v>
      </c>
      <c r="E183" s="322" t="s">
        <v>580</v>
      </c>
      <c r="F183" s="515">
        <v>3800</v>
      </c>
      <c r="G183" s="324" t="s">
        <v>1114</v>
      </c>
      <c r="H183" s="324">
        <v>2017</v>
      </c>
      <c r="I183" s="515">
        <v>3800</v>
      </c>
      <c r="J183" s="324"/>
      <c r="K183" s="324"/>
      <c r="L183" s="324"/>
      <c r="M183" s="324"/>
      <c r="N183" s="324"/>
      <c r="O183" s="324"/>
      <c r="P183" s="324"/>
      <c r="Q183" s="324"/>
      <c r="R183" s="324"/>
      <c r="S183" s="324"/>
      <c r="T183" s="325">
        <f t="shared" si="2"/>
        <v>3800</v>
      </c>
    </row>
    <row r="184" spans="1:20" ht="18.75" x14ac:dyDescent="0.3">
      <c r="A184" s="512" t="s">
        <v>340</v>
      </c>
      <c r="B184" s="513">
        <v>42809</v>
      </c>
      <c r="C184" s="514">
        <v>1232</v>
      </c>
      <c r="D184" s="321" t="s">
        <v>581</v>
      </c>
      <c r="E184" s="322" t="s">
        <v>582</v>
      </c>
      <c r="F184" s="515">
        <v>12165.8</v>
      </c>
      <c r="G184" s="324" t="s">
        <v>1114</v>
      </c>
      <c r="H184" s="324">
        <v>2017</v>
      </c>
      <c r="I184" s="515">
        <v>12165.8</v>
      </c>
      <c r="J184" s="324"/>
      <c r="K184" s="324"/>
      <c r="L184" s="324"/>
      <c r="M184" s="324"/>
      <c r="N184" s="324"/>
      <c r="O184" s="324"/>
      <c r="P184" s="324"/>
      <c r="Q184" s="324"/>
      <c r="R184" s="324"/>
      <c r="S184" s="324"/>
      <c r="T184" s="325">
        <f t="shared" si="2"/>
        <v>12165.8</v>
      </c>
    </row>
    <row r="185" spans="1:20" ht="18.75" x14ac:dyDescent="0.3">
      <c r="A185" s="512" t="s">
        <v>583</v>
      </c>
      <c r="B185" s="512">
        <v>43005</v>
      </c>
      <c r="C185" s="521">
        <v>1663</v>
      </c>
      <c r="D185" s="329" t="s">
        <v>584</v>
      </c>
      <c r="E185" s="328" t="s">
        <v>585</v>
      </c>
      <c r="F185" s="522">
        <v>29078.5</v>
      </c>
      <c r="G185" s="324" t="s">
        <v>1114</v>
      </c>
      <c r="H185" s="324">
        <v>2017</v>
      </c>
      <c r="I185" s="522">
        <v>29078.5</v>
      </c>
      <c r="J185" s="324"/>
      <c r="K185" s="324"/>
      <c r="L185" s="324"/>
      <c r="M185" s="324"/>
      <c r="N185" s="324"/>
      <c r="O185" s="324"/>
      <c r="P185" s="324"/>
      <c r="Q185" s="324"/>
      <c r="R185" s="324"/>
      <c r="S185" s="324"/>
      <c r="T185" s="325">
        <f t="shared" si="2"/>
        <v>29078.5</v>
      </c>
    </row>
    <row r="186" spans="1:20" ht="18.75" x14ac:dyDescent="0.3">
      <c r="A186" s="512" t="s">
        <v>266</v>
      </c>
      <c r="B186" s="512">
        <v>43008</v>
      </c>
      <c r="C186" s="521">
        <v>1682</v>
      </c>
      <c r="D186" s="321" t="s">
        <v>586</v>
      </c>
      <c r="E186" s="328" t="s">
        <v>587</v>
      </c>
      <c r="F186" s="522">
        <v>106500</v>
      </c>
      <c r="G186" s="324" t="s">
        <v>1114</v>
      </c>
      <c r="H186" s="324">
        <v>2017</v>
      </c>
      <c r="I186" s="522">
        <v>106500</v>
      </c>
      <c r="J186" s="324"/>
      <c r="K186" s="324"/>
      <c r="L186" s="324"/>
      <c r="M186" s="324"/>
      <c r="N186" s="324"/>
      <c r="O186" s="324"/>
      <c r="P186" s="324"/>
      <c r="Q186" s="324"/>
      <c r="R186" s="324"/>
      <c r="S186" s="324"/>
      <c r="T186" s="325">
        <f t="shared" si="2"/>
        <v>106500</v>
      </c>
    </row>
    <row r="187" spans="1:20" ht="18.75" x14ac:dyDescent="0.3">
      <c r="A187" s="512" t="s">
        <v>583</v>
      </c>
      <c r="B187" s="512">
        <v>43035</v>
      </c>
      <c r="C187" s="521">
        <v>1755</v>
      </c>
      <c r="D187" s="329" t="s">
        <v>588</v>
      </c>
      <c r="E187" s="328" t="s">
        <v>585</v>
      </c>
      <c r="F187" s="522">
        <v>32162</v>
      </c>
      <c r="G187" s="324" t="s">
        <v>1114</v>
      </c>
      <c r="H187" s="324">
        <v>2017</v>
      </c>
      <c r="I187" s="522">
        <v>32162</v>
      </c>
      <c r="J187" s="324"/>
      <c r="K187" s="324"/>
      <c r="L187" s="324"/>
      <c r="M187" s="324"/>
      <c r="N187" s="324"/>
      <c r="O187" s="324"/>
      <c r="P187" s="324"/>
      <c r="Q187" s="324"/>
      <c r="R187" s="324"/>
      <c r="S187" s="324"/>
      <c r="T187" s="325">
        <f t="shared" si="2"/>
        <v>32162</v>
      </c>
    </row>
    <row r="188" spans="1:20" ht="18.75" x14ac:dyDescent="0.3">
      <c r="A188" s="512" t="s">
        <v>266</v>
      </c>
      <c r="B188" s="512">
        <v>43041</v>
      </c>
      <c r="C188" s="521">
        <v>1761</v>
      </c>
      <c r="D188" s="321" t="s">
        <v>589</v>
      </c>
      <c r="E188" s="328" t="s">
        <v>587</v>
      </c>
      <c r="F188" s="522">
        <v>21750</v>
      </c>
      <c r="G188" s="324" t="s">
        <v>1114</v>
      </c>
      <c r="H188" s="324">
        <v>2017</v>
      </c>
      <c r="I188" s="522">
        <v>21750</v>
      </c>
      <c r="J188" s="324"/>
      <c r="K188" s="324"/>
      <c r="L188" s="324"/>
      <c r="M188" s="324"/>
      <c r="N188" s="324"/>
      <c r="O188" s="324"/>
      <c r="P188" s="324"/>
      <c r="Q188" s="324"/>
      <c r="R188" s="324"/>
      <c r="S188" s="324"/>
      <c r="T188" s="325">
        <f t="shared" si="2"/>
        <v>21750</v>
      </c>
    </row>
    <row r="189" spans="1:20" ht="18.75" x14ac:dyDescent="0.3">
      <c r="A189" s="512" t="s">
        <v>583</v>
      </c>
      <c r="B189" s="512">
        <v>43069</v>
      </c>
      <c r="C189" s="521">
        <v>1832</v>
      </c>
      <c r="D189" s="329" t="s">
        <v>590</v>
      </c>
      <c r="E189" s="328" t="s">
        <v>585</v>
      </c>
      <c r="F189" s="522">
        <v>39343.5</v>
      </c>
      <c r="G189" s="324" t="s">
        <v>1114</v>
      </c>
      <c r="H189" s="324">
        <v>2017</v>
      </c>
      <c r="I189" s="522">
        <v>39343.5</v>
      </c>
      <c r="J189" s="324"/>
      <c r="K189" s="324"/>
      <c r="L189" s="324"/>
      <c r="M189" s="324"/>
      <c r="N189" s="324"/>
      <c r="O189" s="324"/>
      <c r="P189" s="324"/>
      <c r="Q189" s="324"/>
      <c r="R189" s="324"/>
      <c r="S189" s="324"/>
      <c r="T189" s="325">
        <f t="shared" si="2"/>
        <v>39343.5</v>
      </c>
    </row>
    <row r="190" spans="1:20" ht="18.75" x14ac:dyDescent="0.3">
      <c r="A190" s="512" t="s">
        <v>331</v>
      </c>
      <c r="B190" s="512">
        <v>43073</v>
      </c>
      <c r="C190" s="521">
        <v>1939</v>
      </c>
      <c r="D190" s="329" t="s">
        <v>591</v>
      </c>
      <c r="E190" s="328" t="s">
        <v>592</v>
      </c>
      <c r="F190" s="522">
        <v>25000</v>
      </c>
      <c r="G190" s="324" t="s">
        <v>1114</v>
      </c>
      <c r="H190" s="324">
        <v>2017</v>
      </c>
      <c r="I190" s="522">
        <v>25000</v>
      </c>
      <c r="J190" s="324"/>
      <c r="K190" s="324"/>
      <c r="L190" s="324"/>
      <c r="M190" s="324"/>
      <c r="N190" s="324"/>
      <c r="O190" s="324"/>
      <c r="P190" s="324"/>
      <c r="Q190" s="324"/>
      <c r="R190" s="324"/>
      <c r="S190" s="324"/>
      <c r="T190" s="325">
        <f t="shared" si="2"/>
        <v>25000</v>
      </c>
    </row>
    <row r="191" spans="1:20" ht="18.75" x14ac:dyDescent="0.3">
      <c r="A191" s="512" t="s">
        <v>583</v>
      </c>
      <c r="B191" s="512">
        <v>43099</v>
      </c>
      <c r="C191" s="521">
        <v>1930</v>
      </c>
      <c r="D191" s="329" t="s">
        <v>593</v>
      </c>
      <c r="E191" s="328" t="s">
        <v>585</v>
      </c>
      <c r="F191" s="522">
        <v>41847</v>
      </c>
      <c r="G191" s="324" t="s">
        <v>1114</v>
      </c>
      <c r="H191" s="324">
        <v>2017</v>
      </c>
      <c r="I191" s="522">
        <v>41847</v>
      </c>
      <c r="J191" s="324"/>
      <c r="K191" s="324"/>
      <c r="L191" s="324"/>
      <c r="M191" s="324"/>
      <c r="N191" s="324"/>
      <c r="O191" s="324"/>
      <c r="P191" s="324"/>
      <c r="Q191" s="324"/>
      <c r="R191" s="324"/>
      <c r="S191" s="324"/>
      <c r="T191" s="325">
        <f t="shared" si="2"/>
        <v>41847</v>
      </c>
    </row>
    <row r="192" spans="1:20" ht="18.75" x14ac:dyDescent="0.3">
      <c r="A192" s="512" t="s">
        <v>256</v>
      </c>
      <c r="B192" s="513">
        <v>43100</v>
      </c>
      <c r="C192" s="514"/>
      <c r="D192" s="321" t="s">
        <v>594</v>
      </c>
      <c r="E192" s="322" t="s">
        <v>466</v>
      </c>
      <c r="F192" s="515">
        <v>153204</v>
      </c>
      <c r="G192" s="324" t="s">
        <v>1114</v>
      </c>
      <c r="H192" s="324">
        <v>2017</v>
      </c>
      <c r="I192" s="515">
        <v>153204</v>
      </c>
      <c r="J192" s="324"/>
      <c r="K192" s="324"/>
      <c r="L192" s="324"/>
      <c r="M192" s="324"/>
      <c r="N192" s="324"/>
      <c r="O192" s="324"/>
      <c r="P192" s="324"/>
      <c r="Q192" s="324"/>
      <c r="R192" s="324"/>
      <c r="S192" s="324"/>
      <c r="T192" s="325">
        <f t="shared" si="2"/>
        <v>153204</v>
      </c>
    </row>
    <row r="193" spans="1:244" ht="18.75" x14ac:dyDescent="0.3">
      <c r="A193" s="512" t="s">
        <v>583</v>
      </c>
      <c r="B193" s="512">
        <v>43130</v>
      </c>
      <c r="C193" s="521">
        <v>2015</v>
      </c>
      <c r="D193" s="329" t="s">
        <v>595</v>
      </c>
      <c r="E193" s="328" t="s">
        <v>585</v>
      </c>
      <c r="F193" s="522">
        <v>35188.5</v>
      </c>
      <c r="G193" s="324" t="s">
        <v>1114</v>
      </c>
      <c r="H193" s="324">
        <v>2018</v>
      </c>
      <c r="I193" s="522">
        <v>35188.5</v>
      </c>
      <c r="J193" s="324"/>
      <c r="K193" s="324"/>
      <c r="L193" s="324"/>
      <c r="M193" s="324"/>
      <c r="N193" s="324"/>
      <c r="O193" s="324"/>
      <c r="P193" s="324"/>
      <c r="Q193" s="324"/>
      <c r="R193" s="324"/>
      <c r="S193" s="324"/>
      <c r="T193" s="325">
        <f t="shared" si="2"/>
        <v>35188.5</v>
      </c>
    </row>
    <row r="194" spans="1:244" ht="18.75" x14ac:dyDescent="0.3">
      <c r="A194" s="512" t="s">
        <v>596</v>
      </c>
      <c r="B194" s="512">
        <v>43131</v>
      </c>
      <c r="C194" s="521">
        <v>2020</v>
      </c>
      <c r="D194" s="331">
        <v>339</v>
      </c>
      <c r="E194" s="332" t="s">
        <v>597</v>
      </c>
      <c r="F194" s="522">
        <v>48250</v>
      </c>
      <c r="G194" s="324" t="s">
        <v>1114</v>
      </c>
      <c r="H194" s="324">
        <v>2018</v>
      </c>
      <c r="I194" s="522">
        <v>48250</v>
      </c>
      <c r="J194" s="324"/>
      <c r="K194" s="324"/>
      <c r="L194" s="324"/>
      <c r="M194" s="324"/>
      <c r="N194" s="324"/>
      <c r="O194" s="324"/>
      <c r="P194" s="324"/>
      <c r="Q194" s="324"/>
      <c r="R194" s="324"/>
      <c r="S194" s="324"/>
      <c r="T194" s="325">
        <f t="shared" si="2"/>
        <v>48250</v>
      </c>
    </row>
    <row r="195" spans="1:244" ht="18.75" x14ac:dyDescent="0.3">
      <c r="A195" s="512" t="s">
        <v>583</v>
      </c>
      <c r="B195" s="512">
        <v>43157</v>
      </c>
      <c r="C195" s="521">
        <v>2099</v>
      </c>
      <c r="D195" s="329" t="s">
        <v>598</v>
      </c>
      <c r="E195" s="328" t="s">
        <v>585</v>
      </c>
      <c r="F195" s="522">
        <v>15187.75</v>
      </c>
      <c r="G195" s="324" t="s">
        <v>1114</v>
      </c>
      <c r="H195" s="324">
        <v>2018</v>
      </c>
      <c r="I195" s="522">
        <v>15187.75</v>
      </c>
      <c r="J195" s="324"/>
      <c r="K195" s="324"/>
      <c r="L195" s="324"/>
      <c r="M195" s="324"/>
      <c r="N195" s="324"/>
      <c r="O195" s="324"/>
      <c r="P195" s="324"/>
      <c r="Q195" s="324"/>
      <c r="R195" s="324"/>
      <c r="S195" s="324"/>
      <c r="T195" s="325">
        <f t="shared" si="2"/>
        <v>15187.75</v>
      </c>
    </row>
    <row r="196" spans="1:244" ht="18.75" x14ac:dyDescent="0.3">
      <c r="A196" s="512" t="s">
        <v>596</v>
      </c>
      <c r="B196" s="512">
        <v>43159</v>
      </c>
      <c r="C196" s="521">
        <v>2115</v>
      </c>
      <c r="D196" s="331">
        <v>342</v>
      </c>
      <c r="E196" s="332" t="s">
        <v>599</v>
      </c>
      <c r="F196" s="522">
        <v>23600</v>
      </c>
      <c r="G196" s="324" t="s">
        <v>1114</v>
      </c>
      <c r="H196" s="324">
        <v>2018</v>
      </c>
      <c r="I196" s="522">
        <v>23600</v>
      </c>
      <c r="J196" s="324"/>
      <c r="K196" s="324"/>
      <c r="L196" s="324"/>
      <c r="M196" s="324"/>
      <c r="N196" s="324"/>
      <c r="O196" s="324"/>
      <c r="P196" s="324"/>
      <c r="Q196" s="324"/>
      <c r="R196" s="324"/>
      <c r="S196" s="324"/>
      <c r="T196" s="325">
        <f t="shared" si="2"/>
        <v>23600</v>
      </c>
    </row>
    <row r="197" spans="1:244" ht="18.75" x14ac:dyDescent="0.3">
      <c r="A197" s="512" t="s">
        <v>596</v>
      </c>
      <c r="B197" s="512">
        <v>43187</v>
      </c>
      <c r="C197" s="521">
        <v>2190</v>
      </c>
      <c r="D197" s="331">
        <v>346</v>
      </c>
      <c r="E197" s="332" t="s">
        <v>599</v>
      </c>
      <c r="F197" s="522">
        <v>23600</v>
      </c>
      <c r="G197" s="324" t="s">
        <v>1114</v>
      </c>
      <c r="H197" s="324">
        <v>2018</v>
      </c>
      <c r="I197" s="522">
        <v>23600</v>
      </c>
      <c r="J197" s="324"/>
      <c r="K197" s="324"/>
      <c r="L197" s="324"/>
      <c r="M197" s="324"/>
      <c r="N197" s="324"/>
      <c r="O197" s="324"/>
      <c r="P197" s="324"/>
      <c r="Q197" s="324"/>
      <c r="R197" s="324"/>
      <c r="S197" s="324"/>
      <c r="T197" s="325">
        <f t="shared" si="2"/>
        <v>23600</v>
      </c>
    </row>
    <row r="198" spans="1:244" ht="18.75" x14ac:dyDescent="0.3">
      <c r="A198" s="512" t="s">
        <v>583</v>
      </c>
      <c r="B198" s="512">
        <v>43189</v>
      </c>
      <c r="C198" s="521">
        <v>2181</v>
      </c>
      <c r="D198" s="329" t="s">
        <v>600</v>
      </c>
      <c r="E198" s="328" t="s">
        <v>585</v>
      </c>
      <c r="F198" s="522">
        <v>12802.33</v>
      </c>
      <c r="G198" s="324" t="s">
        <v>1114</v>
      </c>
      <c r="H198" s="324">
        <v>2018</v>
      </c>
      <c r="I198" s="522">
        <v>12802.33</v>
      </c>
      <c r="J198" s="324"/>
      <c r="K198" s="324"/>
      <c r="L198" s="324"/>
      <c r="M198" s="324"/>
      <c r="N198" s="324"/>
      <c r="O198" s="324"/>
      <c r="P198" s="324"/>
      <c r="Q198" s="324"/>
      <c r="R198" s="324"/>
      <c r="S198" s="324"/>
      <c r="T198" s="325">
        <f t="shared" si="2"/>
        <v>12802.33</v>
      </c>
    </row>
    <row r="199" spans="1:244" ht="18.75" x14ac:dyDescent="0.3">
      <c r="A199" s="527" t="s">
        <v>601</v>
      </c>
      <c r="B199" s="528">
        <v>43191</v>
      </c>
      <c r="C199" s="529"/>
      <c r="D199" s="339" t="s">
        <v>602</v>
      </c>
      <c r="E199" s="340" t="s">
        <v>603</v>
      </c>
      <c r="F199" s="530">
        <v>3036.14</v>
      </c>
      <c r="G199" s="324" t="s">
        <v>1114</v>
      </c>
      <c r="H199" s="324">
        <v>2018</v>
      </c>
      <c r="I199" s="530">
        <v>3036.14</v>
      </c>
      <c r="J199" s="324"/>
      <c r="K199" s="324"/>
      <c r="L199" s="324"/>
      <c r="M199" s="324"/>
      <c r="N199" s="324"/>
      <c r="O199" s="324"/>
      <c r="P199" s="324"/>
      <c r="Q199" s="324"/>
      <c r="R199" s="324"/>
      <c r="S199" s="324"/>
      <c r="T199" s="325">
        <f t="shared" si="2"/>
        <v>3036.14</v>
      </c>
      <c r="U199" s="337"/>
      <c r="V199" s="337"/>
      <c r="W199" s="337"/>
      <c r="X199" s="337"/>
      <c r="Y199" s="337"/>
      <c r="Z199" s="337"/>
      <c r="AA199" s="337"/>
      <c r="AB199" s="337"/>
      <c r="AC199" s="337"/>
      <c r="AD199" s="337"/>
      <c r="AE199" s="337"/>
      <c r="AF199" s="337"/>
      <c r="AG199" s="337"/>
      <c r="AH199" s="337"/>
      <c r="AI199" s="337"/>
      <c r="AJ199" s="337"/>
      <c r="AK199" s="337"/>
      <c r="AL199" s="337"/>
      <c r="AM199" s="337"/>
      <c r="AN199" s="337"/>
      <c r="AO199" s="337"/>
      <c r="AP199" s="337"/>
      <c r="AQ199" s="337"/>
      <c r="AR199" s="337"/>
      <c r="AS199" s="337"/>
      <c r="AT199" s="337"/>
      <c r="AU199" s="337"/>
      <c r="AV199" s="337"/>
      <c r="AW199" s="337"/>
      <c r="AX199" s="337"/>
      <c r="AY199" s="337"/>
      <c r="AZ199" s="337"/>
      <c r="BA199" s="337"/>
      <c r="BB199" s="337"/>
      <c r="BC199" s="337"/>
      <c r="BD199" s="337"/>
      <c r="BE199" s="337"/>
      <c r="BF199" s="337"/>
      <c r="BG199" s="337"/>
      <c r="BH199" s="337"/>
      <c r="BI199" s="337"/>
      <c r="BJ199" s="337"/>
      <c r="BK199" s="337"/>
      <c r="BL199" s="337"/>
      <c r="BM199" s="337"/>
      <c r="BN199" s="337"/>
      <c r="BO199" s="337"/>
      <c r="BP199" s="337"/>
      <c r="BQ199" s="337"/>
      <c r="BR199" s="337"/>
      <c r="BS199" s="337"/>
      <c r="BT199" s="337"/>
      <c r="BU199" s="337"/>
      <c r="BV199" s="337"/>
      <c r="BW199" s="337"/>
      <c r="BX199" s="337"/>
      <c r="BY199" s="337"/>
      <c r="BZ199" s="337"/>
      <c r="CA199" s="337"/>
      <c r="CB199" s="337"/>
      <c r="CC199" s="337"/>
      <c r="CD199" s="337"/>
      <c r="CE199" s="337"/>
      <c r="CF199" s="337"/>
      <c r="CG199" s="337"/>
      <c r="CH199" s="337"/>
      <c r="CI199" s="337"/>
      <c r="CJ199" s="337"/>
      <c r="CK199" s="337"/>
      <c r="CL199" s="337"/>
      <c r="CM199" s="337"/>
      <c r="CN199" s="337"/>
      <c r="CO199" s="337"/>
      <c r="CP199" s="337"/>
      <c r="CQ199" s="337"/>
      <c r="CR199" s="337"/>
      <c r="CS199" s="337"/>
      <c r="CT199" s="337"/>
      <c r="CU199" s="337"/>
      <c r="CV199" s="337"/>
      <c r="CW199" s="337"/>
      <c r="CX199" s="337"/>
      <c r="CY199" s="337"/>
      <c r="CZ199" s="337"/>
      <c r="DA199" s="337"/>
      <c r="DB199" s="337"/>
      <c r="DC199" s="337"/>
      <c r="DD199" s="337"/>
      <c r="DE199" s="337"/>
      <c r="DF199" s="337"/>
      <c r="DG199" s="337"/>
      <c r="DH199" s="337"/>
      <c r="DI199" s="337"/>
      <c r="DJ199" s="337"/>
      <c r="DK199" s="337"/>
      <c r="DL199" s="337"/>
      <c r="DM199" s="337"/>
      <c r="DN199" s="337"/>
      <c r="DO199" s="337"/>
      <c r="DP199" s="337"/>
      <c r="DQ199" s="337"/>
      <c r="DR199" s="337"/>
      <c r="DS199" s="337"/>
      <c r="DT199" s="337"/>
      <c r="DU199" s="337"/>
      <c r="DV199" s="337"/>
      <c r="DW199" s="337"/>
      <c r="DX199" s="337"/>
      <c r="DY199" s="337"/>
      <c r="DZ199" s="337"/>
      <c r="EA199" s="337"/>
      <c r="EB199" s="337"/>
      <c r="EC199" s="337"/>
      <c r="ED199" s="337"/>
      <c r="EE199" s="337"/>
      <c r="EF199" s="337"/>
      <c r="EG199" s="337"/>
      <c r="EH199" s="337"/>
      <c r="EI199" s="337"/>
      <c r="EJ199" s="337"/>
      <c r="EK199" s="337"/>
      <c r="EL199" s="337"/>
      <c r="EM199" s="337"/>
      <c r="EN199" s="337"/>
      <c r="EO199" s="337"/>
      <c r="EP199" s="337"/>
      <c r="EQ199" s="337"/>
      <c r="ER199" s="337"/>
      <c r="ES199" s="337"/>
      <c r="ET199" s="337"/>
      <c r="EU199" s="337"/>
      <c r="EV199" s="337"/>
      <c r="EW199" s="337"/>
      <c r="EX199" s="337"/>
      <c r="EY199" s="337"/>
      <c r="EZ199" s="337"/>
      <c r="FA199" s="337"/>
      <c r="FB199" s="337"/>
      <c r="FC199" s="337"/>
      <c r="FD199" s="337"/>
      <c r="FE199" s="337"/>
      <c r="FF199" s="337"/>
      <c r="FG199" s="337"/>
      <c r="FH199" s="337"/>
      <c r="FI199" s="337"/>
      <c r="FJ199" s="337"/>
      <c r="FK199" s="337"/>
      <c r="FL199" s="337"/>
      <c r="FM199" s="337"/>
      <c r="FN199" s="337"/>
      <c r="FO199" s="337"/>
      <c r="FP199" s="337"/>
      <c r="FQ199" s="337"/>
      <c r="FR199" s="337"/>
      <c r="FS199" s="337"/>
      <c r="FT199" s="337"/>
      <c r="FU199" s="337"/>
      <c r="FV199" s="337"/>
      <c r="FW199" s="337"/>
      <c r="FX199" s="337"/>
      <c r="FY199" s="337"/>
      <c r="FZ199" s="337"/>
      <c r="GA199" s="337"/>
      <c r="GB199" s="337"/>
      <c r="GC199" s="337"/>
      <c r="GD199" s="337"/>
      <c r="GE199" s="337"/>
      <c r="GF199" s="337"/>
      <c r="GG199" s="337"/>
      <c r="GH199" s="337"/>
      <c r="GI199" s="337"/>
      <c r="GJ199" s="337"/>
      <c r="GK199" s="337"/>
      <c r="GL199" s="337"/>
      <c r="GM199" s="337"/>
      <c r="GN199" s="337"/>
      <c r="GO199" s="337"/>
      <c r="GP199" s="337"/>
      <c r="GQ199" s="337"/>
      <c r="GR199" s="337"/>
      <c r="GS199" s="337"/>
      <c r="GT199" s="337"/>
      <c r="GU199" s="337"/>
      <c r="GV199" s="337"/>
      <c r="GW199" s="337"/>
      <c r="GX199" s="337"/>
      <c r="GY199" s="337"/>
      <c r="GZ199" s="337"/>
      <c r="HA199" s="337"/>
      <c r="HB199" s="337"/>
      <c r="HC199" s="337"/>
      <c r="HD199" s="337"/>
      <c r="HE199" s="337"/>
      <c r="HF199" s="337"/>
      <c r="HG199" s="337"/>
      <c r="HH199" s="337"/>
      <c r="HI199" s="337"/>
      <c r="HJ199" s="337"/>
      <c r="HK199" s="337"/>
      <c r="HL199" s="337"/>
      <c r="HM199" s="337"/>
      <c r="HN199" s="337"/>
      <c r="HO199" s="337"/>
      <c r="HP199" s="337"/>
      <c r="HQ199" s="337"/>
      <c r="HR199" s="337"/>
      <c r="HS199" s="337"/>
      <c r="HT199" s="337"/>
      <c r="HU199" s="337"/>
      <c r="HV199" s="337"/>
      <c r="HW199" s="337"/>
      <c r="HX199" s="337"/>
      <c r="HY199" s="337"/>
      <c r="HZ199" s="337"/>
      <c r="IA199" s="337"/>
      <c r="IB199" s="337"/>
      <c r="IC199" s="337"/>
      <c r="ID199" s="337"/>
      <c r="IE199" s="337"/>
      <c r="IF199" s="337"/>
      <c r="IG199" s="337"/>
      <c r="IH199" s="337"/>
      <c r="II199" s="337"/>
      <c r="IJ199" s="338"/>
    </row>
    <row r="200" spans="1:244" ht="18.75" x14ac:dyDescent="0.3">
      <c r="A200" s="512" t="s">
        <v>596</v>
      </c>
      <c r="B200" s="512">
        <v>43217</v>
      </c>
      <c r="C200" s="521">
        <v>2277</v>
      </c>
      <c r="D200" s="331">
        <v>349</v>
      </c>
      <c r="E200" s="332" t="s">
        <v>599</v>
      </c>
      <c r="F200" s="522">
        <v>23600</v>
      </c>
      <c r="G200" s="324" t="s">
        <v>1114</v>
      </c>
      <c r="H200" s="324">
        <v>2018</v>
      </c>
      <c r="I200" s="522">
        <v>23600</v>
      </c>
      <c r="J200" s="324"/>
      <c r="K200" s="324"/>
      <c r="L200" s="324"/>
      <c r="M200" s="324"/>
      <c r="N200" s="324"/>
      <c r="O200" s="324"/>
      <c r="P200" s="324"/>
      <c r="Q200" s="324"/>
      <c r="R200" s="324"/>
      <c r="S200" s="324"/>
      <c r="T200" s="325">
        <f t="shared" si="2"/>
        <v>23600</v>
      </c>
      <c r="U200" s="337"/>
      <c r="V200" s="337"/>
      <c r="W200" s="337"/>
      <c r="X200" s="337"/>
      <c r="Y200" s="337"/>
      <c r="Z200" s="337"/>
      <c r="AA200" s="337"/>
      <c r="AB200" s="337"/>
      <c r="AC200" s="337"/>
      <c r="AD200" s="337"/>
      <c r="AE200" s="337"/>
      <c r="AF200" s="337"/>
      <c r="AG200" s="337"/>
      <c r="AH200" s="337"/>
      <c r="AI200" s="337"/>
      <c r="AJ200" s="337"/>
      <c r="AK200" s="337"/>
      <c r="AL200" s="337"/>
      <c r="AM200" s="337"/>
      <c r="AN200" s="337"/>
      <c r="AO200" s="337"/>
      <c r="AP200" s="337"/>
      <c r="AQ200" s="337"/>
      <c r="AR200" s="337"/>
      <c r="AS200" s="337"/>
      <c r="AT200" s="337"/>
      <c r="AU200" s="337"/>
      <c r="AV200" s="337"/>
      <c r="AW200" s="337"/>
      <c r="AX200" s="337"/>
      <c r="AY200" s="337"/>
      <c r="AZ200" s="337"/>
      <c r="BA200" s="337"/>
      <c r="BB200" s="337"/>
      <c r="BC200" s="337"/>
      <c r="BD200" s="337"/>
      <c r="BE200" s="337"/>
      <c r="BF200" s="337"/>
      <c r="BG200" s="337"/>
      <c r="BH200" s="337"/>
      <c r="BI200" s="337"/>
      <c r="BJ200" s="337"/>
      <c r="BK200" s="337"/>
      <c r="BL200" s="337"/>
      <c r="BM200" s="337"/>
      <c r="BN200" s="337"/>
      <c r="BO200" s="337"/>
      <c r="BP200" s="337"/>
      <c r="BQ200" s="337"/>
      <c r="BR200" s="337"/>
      <c r="BS200" s="337"/>
      <c r="BT200" s="337"/>
      <c r="BU200" s="337"/>
      <c r="BV200" s="337"/>
      <c r="BW200" s="337"/>
      <c r="BX200" s="337"/>
      <c r="BY200" s="337"/>
      <c r="BZ200" s="337"/>
      <c r="CA200" s="337"/>
      <c r="CB200" s="337"/>
      <c r="CC200" s="337"/>
      <c r="CD200" s="337"/>
      <c r="CE200" s="337"/>
      <c r="CF200" s="337"/>
      <c r="CG200" s="337"/>
      <c r="CH200" s="337"/>
      <c r="CI200" s="337"/>
      <c r="CJ200" s="337"/>
      <c r="CK200" s="337"/>
      <c r="CL200" s="337"/>
      <c r="CM200" s="337"/>
      <c r="CN200" s="337"/>
      <c r="CO200" s="337"/>
      <c r="CP200" s="337"/>
      <c r="CQ200" s="337"/>
      <c r="CR200" s="337"/>
      <c r="CS200" s="337"/>
      <c r="CT200" s="337"/>
      <c r="CU200" s="337"/>
      <c r="CV200" s="337"/>
      <c r="CW200" s="337"/>
      <c r="CX200" s="337"/>
      <c r="CY200" s="337"/>
      <c r="CZ200" s="337"/>
      <c r="DA200" s="337"/>
      <c r="DB200" s="337"/>
      <c r="DC200" s="337"/>
      <c r="DD200" s="337"/>
      <c r="DE200" s="337"/>
      <c r="DF200" s="337"/>
      <c r="DG200" s="337"/>
      <c r="DH200" s="337"/>
      <c r="DI200" s="337"/>
      <c r="DJ200" s="337"/>
      <c r="DK200" s="337"/>
      <c r="DL200" s="337"/>
      <c r="DM200" s="337"/>
      <c r="DN200" s="337"/>
      <c r="DO200" s="337"/>
      <c r="DP200" s="337"/>
      <c r="DQ200" s="337"/>
      <c r="DR200" s="337"/>
      <c r="DS200" s="337"/>
      <c r="DT200" s="337"/>
      <c r="DU200" s="337"/>
      <c r="DV200" s="337"/>
      <c r="DW200" s="337"/>
      <c r="DX200" s="337"/>
      <c r="DY200" s="337"/>
      <c r="DZ200" s="337"/>
      <c r="EA200" s="337"/>
      <c r="EB200" s="337"/>
      <c r="EC200" s="337"/>
      <c r="ED200" s="337"/>
      <c r="EE200" s="337"/>
      <c r="EF200" s="337"/>
      <c r="EG200" s="337"/>
      <c r="EH200" s="337"/>
      <c r="EI200" s="337"/>
      <c r="EJ200" s="337"/>
      <c r="EK200" s="337"/>
      <c r="EL200" s="337"/>
      <c r="EM200" s="337"/>
      <c r="EN200" s="337"/>
      <c r="EO200" s="337"/>
      <c r="EP200" s="337"/>
      <c r="EQ200" s="337"/>
      <c r="ER200" s="337"/>
      <c r="ES200" s="337"/>
      <c r="ET200" s="337"/>
      <c r="EU200" s="337"/>
      <c r="EV200" s="337"/>
      <c r="EW200" s="337"/>
      <c r="EX200" s="337"/>
      <c r="EY200" s="337"/>
      <c r="EZ200" s="337"/>
      <c r="FA200" s="337"/>
      <c r="FB200" s="337"/>
      <c r="FC200" s="337"/>
      <c r="FD200" s="337"/>
      <c r="FE200" s="337"/>
      <c r="FF200" s="337"/>
      <c r="FG200" s="337"/>
      <c r="FH200" s="337"/>
      <c r="FI200" s="337"/>
      <c r="FJ200" s="337"/>
      <c r="FK200" s="337"/>
      <c r="FL200" s="337"/>
      <c r="FM200" s="337"/>
      <c r="FN200" s="337"/>
      <c r="FO200" s="337"/>
      <c r="FP200" s="337"/>
      <c r="FQ200" s="337"/>
      <c r="FR200" s="337"/>
      <c r="FS200" s="337"/>
      <c r="FT200" s="337"/>
      <c r="FU200" s="337"/>
      <c r="FV200" s="337"/>
      <c r="FW200" s="337"/>
      <c r="FX200" s="337"/>
      <c r="FY200" s="337"/>
      <c r="FZ200" s="337"/>
      <c r="GA200" s="337"/>
      <c r="GB200" s="337"/>
      <c r="GC200" s="337"/>
      <c r="GD200" s="337"/>
      <c r="GE200" s="337"/>
      <c r="GF200" s="337"/>
      <c r="GG200" s="337"/>
      <c r="GH200" s="337"/>
      <c r="GI200" s="337"/>
      <c r="GJ200" s="337"/>
      <c r="GK200" s="337"/>
      <c r="GL200" s="337"/>
      <c r="GM200" s="337"/>
      <c r="GN200" s="337"/>
      <c r="GO200" s="337"/>
      <c r="GP200" s="337"/>
      <c r="GQ200" s="337"/>
      <c r="GR200" s="337"/>
      <c r="GS200" s="337"/>
      <c r="GT200" s="337"/>
      <c r="GU200" s="337"/>
      <c r="GV200" s="337"/>
      <c r="GW200" s="337"/>
      <c r="GX200" s="337"/>
      <c r="GY200" s="337"/>
      <c r="GZ200" s="337"/>
      <c r="HA200" s="337"/>
      <c r="HB200" s="337"/>
      <c r="HC200" s="337"/>
      <c r="HD200" s="337"/>
      <c r="HE200" s="337"/>
      <c r="HF200" s="337"/>
      <c r="HG200" s="337"/>
      <c r="HH200" s="337"/>
      <c r="HI200" s="337"/>
      <c r="HJ200" s="337"/>
      <c r="HK200" s="337"/>
      <c r="HL200" s="337"/>
      <c r="HM200" s="337"/>
      <c r="HN200" s="337"/>
      <c r="HO200" s="337"/>
      <c r="HP200" s="337"/>
      <c r="HQ200" s="337"/>
      <c r="HR200" s="337"/>
      <c r="HS200" s="337"/>
      <c r="HT200" s="337"/>
      <c r="HU200" s="337"/>
      <c r="HV200" s="337"/>
      <c r="HW200" s="337"/>
      <c r="HX200" s="337"/>
      <c r="HY200" s="337"/>
      <c r="HZ200" s="337"/>
      <c r="IA200" s="337"/>
      <c r="IB200" s="337"/>
      <c r="IC200" s="337"/>
      <c r="ID200" s="337"/>
      <c r="IE200" s="337"/>
      <c r="IF200" s="337"/>
      <c r="IG200" s="337"/>
      <c r="IH200" s="337"/>
      <c r="II200" s="337"/>
      <c r="IJ200" s="338"/>
    </row>
    <row r="201" spans="1:244" ht="18.75" x14ac:dyDescent="0.3">
      <c r="A201" s="512" t="s">
        <v>583</v>
      </c>
      <c r="B201" s="512">
        <v>43220</v>
      </c>
      <c r="C201" s="521">
        <v>2262</v>
      </c>
      <c r="D201" s="329" t="s">
        <v>604</v>
      </c>
      <c r="E201" s="328" t="s">
        <v>585</v>
      </c>
      <c r="F201" s="522">
        <v>13520</v>
      </c>
      <c r="G201" s="324" t="s">
        <v>1114</v>
      </c>
      <c r="H201" s="324">
        <v>2018</v>
      </c>
      <c r="I201" s="522">
        <v>13520</v>
      </c>
      <c r="J201" s="324"/>
      <c r="K201" s="324"/>
      <c r="L201" s="324"/>
      <c r="M201" s="324"/>
      <c r="N201" s="324"/>
      <c r="O201" s="324"/>
      <c r="P201" s="324"/>
      <c r="Q201" s="324"/>
      <c r="R201" s="324"/>
      <c r="S201" s="324"/>
      <c r="T201" s="325">
        <f t="shared" si="2"/>
        <v>13520</v>
      </c>
      <c r="U201" s="337"/>
      <c r="V201" s="337"/>
      <c r="W201" s="337"/>
      <c r="X201" s="337"/>
      <c r="Y201" s="337"/>
      <c r="Z201" s="337"/>
      <c r="AA201" s="337"/>
      <c r="AB201" s="337"/>
      <c r="AC201" s="337"/>
      <c r="AD201" s="337"/>
      <c r="AE201" s="337"/>
      <c r="AF201" s="337"/>
      <c r="AG201" s="337"/>
      <c r="AH201" s="337"/>
      <c r="AI201" s="337"/>
      <c r="AJ201" s="337"/>
      <c r="AK201" s="337"/>
      <c r="AL201" s="337"/>
      <c r="AM201" s="337"/>
      <c r="AN201" s="337"/>
      <c r="AO201" s="337"/>
      <c r="AP201" s="337"/>
      <c r="AQ201" s="337"/>
      <c r="AR201" s="337"/>
      <c r="AS201" s="337"/>
      <c r="AT201" s="337"/>
      <c r="AU201" s="337"/>
      <c r="AV201" s="337"/>
      <c r="AW201" s="337"/>
      <c r="AX201" s="337"/>
      <c r="AY201" s="337"/>
      <c r="AZ201" s="337"/>
      <c r="BA201" s="337"/>
      <c r="BB201" s="337"/>
      <c r="BC201" s="337"/>
      <c r="BD201" s="337"/>
      <c r="BE201" s="337"/>
      <c r="BF201" s="337"/>
      <c r="BG201" s="337"/>
      <c r="BH201" s="337"/>
      <c r="BI201" s="337"/>
      <c r="BJ201" s="337"/>
      <c r="BK201" s="337"/>
      <c r="BL201" s="337"/>
      <c r="BM201" s="337"/>
      <c r="BN201" s="337"/>
      <c r="BO201" s="337"/>
      <c r="BP201" s="337"/>
      <c r="BQ201" s="337"/>
      <c r="BR201" s="337"/>
      <c r="BS201" s="337"/>
      <c r="BT201" s="337"/>
      <c r="BU201" s="337"/>
      <c r="BV201" s="337"/>
      <c r="BW201" s="337"/>
      <c r="BX201" s="337"/>
      <c r="BY201" s="337"/>
      <c r="BZ201" s="337"/>
      <c r="CA201" s="337"/>
      <c r="CB201" s="337"/>
      <c r="CC201" s="337"/>
      <c r="CD201" s="337"/>
      <c r="CE201" s="337"/>
      <c r="CF201" s="337"/>
      <c r="CG201" s="337"/>
      <c r="CH201" s="337"/>
      <c r="CI201" s="337"/>
      <c r="CJ201" s="337"/>
      <c r="CK201" s="337"/>
      <c r="CL201" s="337"/>
      <c r="CM201" s="337"/>
      <c r="CN201" s="337"/>
      <c r="CO201" s="337"/>
      <c r="CP201" s="337"/>
      <c r="CQ201" s="337"/>
      <c r="CR201" s="337"/>
      <c r="CS201" s="337"/>
      <c r="CT201" s="337"/>
      <c r="CU201" s="337"/>
      <c r="CV201" s="337"/>
      <c r="CW201" s="337"/>
      <c r="CX201" s="337"/>
      <c r="CY201" s="337"/>
      <c r="CZ201" s="337"/>
      <c r="DA201" s="337"/>
      <c r="DB201" s="337"/>
      <c r="DC201" s="337"/>
      <c r="DD201" s="337"/>
      <c r="DE201" s="337"/>
      <c r="DF201" s="337"/>
      <c r="DG201" s="337"/>
      <c r="DH201" s="337"/>
      <c r="DI201" s="337"/>
      <c r="DJ201" s="337"/>
      <c r="DK201" s="337"/>
      <c r="DL201" s="337"/>
      <c r="DM201" s="337"/>
      <c r="DN201" s="337"/>
      <c r="DO201" s="337"/>
      <c r="DP201" s="337"/>
      <c r="DQ201" s="337"/>
      <c r="DR201" s="337"/>
      <c r="DS201" s="337"/>
      <c r="DT201" s="337"/>
      <c r="DU201" s="337"/>
      <c r="DV201" s="337"/>
      <c r="DW201" s="337"/>
      <c r="DX201" s="337"/>
      <c r="DY201" s="337"/>
      <c r="DZ201" s="337"/>
      <c r="EA201" s="337"/>
      <c r="EB201" s="337"/>
      <c r="EC201" s="337"/>
      <c r="ED201" s="337"/>
      <c r="EE201" s="337"/>
      <c r="EF201" s="337"/>
      <c r="EG201" s="337"/>
      <c r="EH201" s="337"/>
      <c r="EI201" s="337"/>
      <c r="EJ201" s="337"/>
      <c r="EK201" s="337"/>
      <c r="EL201" s="337"/>
      <c r="EM201" s="337"/>
      <c r="EN201" s="337"/>
      <c r="EO201" s="337"/>
      <c r="EP201" s="337"/>
      <c r="EQ201" s="337"/>
      <c r="ER201" s="337"/>
      <c r="ES201" s="337"/>
      <c r="ET201" s="337"/>
      <c r="EU201" s="337"/>
      <c r="EV201" s="337"/>
      <c r="EW201" s="337"/>
      <c r="EX201" s="337"/>
      <c r="EY201" s="337"/>
      <c r="EZ201" s="337"/>
      <c r="FA201" s="337"/>
      <c r="FB201" s="337"/>
      <c r="FC201" s="337"/>
      <c r="FD201" s="337"/>
      <c r="FE201" s="337"/>
      <c r="FF201" s="337"/>
      <c r="FG201" s="337"/>
      <c r="FH201" s="337"/>
      <c r="FI201" s="337"/>
      <c r="FJ201" s="337"/>
      <c r="FK201" s="337"/>
      <c r="FL201" s="337"/>
      <c r="FM201" s="337"/>
      <c r="FN201" s="337"/>
      <c r="FO201" s="337"/>
      <c r="FP201" s="337"/>
      <c r="FQ201" s="337"/>
      <c r="FR201" s="337"/>
      <c r="FS201" s="337"/>
      <c r="FT201" s="337"/>
      <c r="FU201" s="337"/>
      <c r="FV201" s="337"/>
      <c r="FW201" s="337"/>
      <c r="FX201" s="337"/>
      <c r="FY201" s="337"/>
      <c r="FZ201" s="337"/>
      <c r="GA201" s="337"/>
      <c r="GB201" s="337"/>
      <c r="GC201" s="337"/>
      <c r="GD201" s="337"/>
      <c r="GE201" s="337"/>
      <c r="GF201" s="337"/>
      <c r="GG201" s="337"/>
      <c r="GH201" s="337"/>
      <c r="GI201" s="337"/>
      <c r="GJ201" s="337"/>
      <c r="GK201" s="337"/>
      <c r="GL201" s="337"/>
      <c r="GM201" s="337"/>
      <c r="GN201" s="337"/>
      <c r="GO201" s="337"/>
      <c r="GP201" s="337"/>
      <c r="GQ201" s="337"/>
      <c r="GR201" s="337"/>
      <c r="GS201" s="337"/>
      <c r="GT201" s="337"/>
      <c r="GU201" s="337"/>
      <c r="GV201" s="337"/>
      <c r="GW201" s="337"/>
      <c r="GX201" s="337"/>
      <c r="GY201" s="337"/>
      <c r="GZ201" s="337"/>
      <c r="HA201" s="337"/>
      <c r="HB201" s="337"/>
      <c r="HC201" s="337"/>
      <c r="HD201" s="337"/>
      <c r="HE201" s="337"/>
      <c r="HF201" s="337"/>
      <c r="HG201" s="337"/>
      <c r="HH201" s="337"/>
      <c r="HI201" s="337"/>
      <c r="HJ201" s="337"/>
      <c r="HK201" s="337"/>
      <c r="HL201" s="337"/>
      <c r="HM201" s="337"/>
      <c r="HN201" s="337"/>
      <c r="HO201" s="337"/>
      <c r="HP201" s="337"/>
      <c r="HQ201" s="337"/>
      <c r="HR201" s="337"/>
      <c r="HS201" s="337"/>
      <c r="HT201" s="337"/>
      <c r="HU201" s="337"/>
      <c r="HV201" s="337"/>
      <c r="HW201" s="337"/>
      <c r="HX201" s="337"/>
      <c r="HY201" s="337"/>
      <c r="HZ201" s="337"/>
      <c r="IA201" s="337"/>
      <c r="IB201" s="337"/>
      <c r="IC201" s="337"/>
      <c r="ID201" s="337"/>
      <c r="IE201" s="337"/>
      <c r="IF201" s="337"/>
      <c r="IG201" s="337"/>
      <c r="IH201" s="337"/>
      <c r="II201" s="337"/>
      <c r="IJ201" s="338"/>
    </row>
    <row r="202" spans="1:244" s="520" customFormat="1" ht="18.75" x14ac:dyDescent="0.3">
      <c r="A202" s="527" t="s">
        <v>601</v>
      </c>
      <c r="B202" s="528">
        <v>43221</v>
      </c>
      <c r="C202" s="529"/>
      <c r="D202" s="339" t="s">
        <v>605</v>
      </c>
      <c r="E202" s="340" t="s">
        <v>603</v>
      </c>
      <c r="F202" s="530">
        <v>3036.14</v>
      </c>
      <c r="G202" s="324" t="s">
        <v>1114</v>
      </c>
      <c r="H202" s="324">
        <v>2018</v>
      </c>
      <c r="I202" s="530">
        <v>3036.14</v>
      </c>
      <c r="J202" s="519"/>
      <c r="K202" s="519"/>
      <c r="L202" s="519"/>
      <c r="M202" s="519"/>
      <c r="N202" s="519"/>
      <c r="O202" s="519"/>
      <c r="P202" s="519"/>
      <c r="Q202" s="519"/>
      <c r="R202" s="519"/>
      <c r="S202" s="519"/>
      <c r="T202" s="325">
        <f t="shared" si="2"/>
        <v>3036.14</v>
      </c>
    </row>
    <row r="203" spans="1:244" s="520" customFormat="1" ht="18.75" x14ac:dyDescent="0.3">
      <c r="A203" s="512" t="s">
        <v>596</v>
      </c>
      <c r="B203" s="512">
        <v>43248</v>
      </c>
      <c r="C203" s="521">
        <v>2359</v>
      </c>
      <c r="D203" s="331">
        <v>351</v>
      </c>
      <c r="E203" s="332" t="s">
        <v>599</v>
      </c>
      <c r="F203" s="522">
        <v>23600</v>
      </c>
      <c r="G203" s="324" t="s">
        <v>1114</v>
      </c>
      <c r="H203" s="324">
        <v>2018</v>
      </c>
      <c r="I203" s="522">
        <v>23600</v>
      </c>
      <c r="J203" s="519"/>
      <c r="K203" s="519"/>
      <c r="L203" s="519"/>
      <c r="M203" s="519"/>
      <c r="N203" s="519"/>
      <c r="O203" s="519"/>
      <c r="P203" s="519"/>
      <c r="Q203" s="519"/>
      <c r="R203" s="519"/>
      <c r="S203" s="519"/>
      <c r="T203" s="325">
        <f t="shared" ref="T203:T266" si="3">SUM(I203:S203)</f>
        <v>23600</v>
      </c>
    </row>
    <row r="204" spans="1:244" s="520" customFormat="1" ht="18.75" x14ac:dyDescent="0.3">
      <c r="A204" s="512" t="s">
        <v>583</v>
      </c>
      <c r="B204" s="512">
        <v>43250</v>
      </c>
      <c r="C204" s="521">
        <v>2346</v>
      </c>
      <c r="D204" s="329" t="s">
        <v>606</v>
      </c>
      <c r="E204" s="328" t="s">
        <v>585</v>
      </c>
      <c r="F204" s="522">
        <v>35974</v>
      </c>
      <c r="G204" s="324" t="s">
        <v>1114</v>
      </c>
      <c r="H204" s="324">
        <v>2018</v>
      </c>
      <c r="I204" s="522">
        <v>35974</v>
      </c>
      <c r="J204" s="519"/>
      <c r="K204" s="519"/>
      <c r="L204" s="519"/>
      <c r="M204" s="519"/>
      <c r="N204" s="519"/>
      <c r="O204" s="519"/>
      <c r="P204" s="519"/>
      <c r="Q204" s="519"/>
      <c r="R204" s="519"/>
      <c r="S204" s="519"/>
      <c r="T204" s="325">
        <f t="shared" si="3"/>
        <v>35974</v>
      </c>
    </row>
    <row r="205" spans="1:244" s="520" customFormat="1" ht="18.75" x14ac:dyDescent="0.3">
      <c r="A205" s="527" t="s">
        <v>601</v>
      </c>
      <c r="B205" s="528">
        <v>43252</v>
      </c>
      <c r="C205" s="529"/>
      <c r="D205" s="339" t="s">
        <v>607</v>
      </c>
      <c r="E205" s="340" t="s">
        <v>608</v>
      </c>
      <c r="F205" s="530">
        <v>34060.699999999997</v>
      </c>
      <c r="G205" s="324" t="s">
        <v>1114</v>
      </c>
      <c r="H205" s="324">
        <v>2018</v>
      </c>
      <c r="I205" s="530">
        <v>34060.699999999997</v>
      </c>
      <c r="J205" s="519"/>
      <c r="K205" s="519"/>
      <c r="L205" s="519"/>
      <c r="M205" s="519"/>
      <c r="N205" s="519"/>
      <c r="O205" s="519"/>
      <c r="P205" s="519"/>
      <c r="Q205" s="519"/>
      <c r="R205" s="519"/>
      <c r="S205" s="519"/>
      <c r="T205" s="325">
        <f t="shared" si="3"/>
        <v>34060.699999999997</v>
      </c>
    </row>
    <row r="206" spans="1:244" s="520" customFormat="1" ht="18.75" x14ac:dyDescent="0.3">
      <c r="A206" s="512" t="s">
        <v>596</v>
      </c>
      <c r="B206" s="512">
        <v>43279</v>
      </c>
      <c r="C206" s="521">
        <v>2451</v>
      </c>
      <c r="D206" s="331">
        <v>353</v>
      </c>
      <c r="E206" s="332" t="s">
        <v>599</v>
      </c>
      <c r="F206" s="522">
        <v>23600</v>
      </c>
      <c r="G206" s="324" t="s">
        <v>1114</v>
      </c>
      <c r="H206" s="324">
        <v>2018</v>
      </c>
      <c r="I206" s="522">
        <v>23600</v>
      </c>
      <c r="J206" s="519"/>
      <c r="K206" s="519"/>
      <c r="L206" s="519"/>
      <c r="M206" s="519"/>
      <c r="N206" s="519"/>
      <c r="O206" s="519"/>
      <c r="P206" s="519"/>
      <c r="Q206" s="519"/>
      <c r="R206" s="519"/>
      <c r="S206" s="519"/>
      <c r="T206" s="325">
        <f t="shared" si="3"/>
        <v>23600</v>
      </c>
    </row>
    <row r="207" spans="1:244" s="520" customFormat="1" ht="18.75" x14ac:dyDescent="0.3">
      <c r="A207" s="512" t="s">
        <v>583</v>
      </c>
      <c r="B207" s="512">
        <v>43281</v>
      </c>
      <c r="C207" s="521">
        <v>2439</v>
      </c>
      <c r="D207" s="329" t="s">
        <v>609</v>
      </c>
      <c r="E207" s="328" t="s">
        <v>585</v>
      </c>
      <c r="F207" s="522">
        <v>23814</v>
      </c>
      <c r="G207" s="324" t="s">
        <v>1114</v>
      </c>
      <c r="H207" s="324">
        <v>2018</v>
      </c>
      <c r="I207" s="522">
        <v>23814</v>
      </c>
      <c r="J207" s="519"/>
      <c r="K207" s="519"/>
      <c r="L207" s="519"/>
      <c r="M207" s="519"/>
      <c r="N207" s="519"/>
      <c r="O207" s="519"/>
      <c r="P207" s="519"/>
      <c r="Q207" s="519"/>
      <c r="R207" s="519"/>
      <c r="S207" s="519"/>
      <c r="T207" s="325">
        <f t="shared" si="3"/>
        <v>23814</v>
      </c>
    </row>
    <row r="208" spans="1:244" s="520" customFormat="1" ht="18.75" x14ac:dyDescent="0.3">
      <c r="A208" s="527" t="s">
        <v>601</v>
      </c>
      <c r="B208" s="528">
        <v>43282</v>
      </c>
      <c r="C208" s="529"/>
      <c r="D208" s="339" t="s">
        <v>610</v>
      </c>
      <c r="E208" s="340" t="s">
        <v>608</v>
      </c>
      <c r="F208" s="530">
        <v>34060.699999999997</v>
      </c>
      <c r="G208" s="324" t="s">
        <v>1114</v>
      </c>
      <c r="H208" s="324">
        <v>2018</v>
      </c>
      <c r="I208" s="530">
        <v>34060.699999999997</v>
      </c>
      <c r="J208" s="519"/>
      <c r="K208" s="519"/>
      <c r="L208" s="519"/>
      <c r="M208" s="519"/>
      <c r="N208" s="519"/>
      <c r="O208" s="519"/>
      <c r="P208" s="519"/>
      <c r="Q208" s="519"/>
      <c r="R208" s="519"/>
      <c r="S208" s="519"/>
      <c r="T208" s="325">
        <f t="shared" si="3"/>
        <v>34060.699999999997</v>
      </c>
    </row>
    <row r="209" spans="1:20" s="520" customFormat="1" ht="18.75" x14ac:dyDescent="0.3">
      <c r="A209" s="512" t="s">
        <v>596</v>
      </c>
      <c r="B209" s="512">
        <v>43305</v>
      </c>
      <c r="C209" s="521">
        <v>2534</v>
      </c>
      <c r="D209" s="331">
        <v>355</v>
      </c>
      <c r="E209" s="332" t="s">
        <v>599</v>
      </c>
      <c r="F209" s="522">
        <v>23600</v>
      </c>
      <c r="G209" s="324" t="s">
        <v>1114</v>
      </c>
      <c r="H209" s="324">
        <v>2018</v>
      </c>
      <c r="I209" s="522">
        <v>23600</v>
      </c>
      <c r="J209" s="519"/>
      <c r="K209" s="519"/>
      <c r="L209" s="519"/>
      <c r="M209" s="519"/>
      <c r="N209" s="519"/>
      <c r="O209" s="519"/>
      <c r="P209" s="519"/>
      <c r="Q209" s="519"/>
      <c r="R209" s="519"/>
      <c r="S209" s="519"/>
      <c r="T209" s="325">
        <f t="shared" si="3"/>
        <v>23600</v>
      </c>
    </row>
    <row r="210" spans="1:20" s="520" customFormat="1" ht="18.75" x14ac:dyDescent="0.3">
      <c r="A210" s="512" t="s">
        <v>583</v>
      </c>
      <c r="B210" s="512">
        <v>43311</v>
      </c>
      <c r="C210" s="521">
        <v>2522</v>
      </c>
      <c r="D210" s="329" t="s">
        <v>611</v>
      </c>
      <c r="E210" s="328" t="s">
        <v>612</v>
      </c>
      <c r="F210" s="522">
        <v>13672.5</v>
      </c>
      <c r="G210" s="324" t="s">
        <v>1114</v>
      </c>
      <c r="H210" s="324">
        <v>2018</v>
      </c>
      <c r="I210" s="522">
        <v>13672.5</v>
      </c>
      <c r="J210" s="519"/>
      <c r="K210" s="519"/>
      <c r="L210" s="519"/>
      <c r="M210" s="519"/>
      <c r="N210" s="519"/>
      <c r="O210" s="519"/>
      <c r="P210" s="519"/>
      <c r="Q210" s="519"/>
      <c r="R210" s="519"/>
      <c r="S210" s="519"/>
      <c r="T210" s="325">
        <f t="shared" si="3"/>
        <v>13672.5</v>
      </c>
    </row>
    <row r="211" spans="1:20" ht="18.75" x14ac:dyDescent="0.3">
      <c r="A211" s="527" t="s">
        <v>601</v>
      </c>
      <c r="B211" s="528">
        <v>43313</v>
      </c>
      <c r="C211" s="529"/>
      <c r="D211" s="339" t="s">
        <v>613</v>
      </c>
      <c r="E211" s="340" t="s">
        <v>608</v>
      </c>
      <c r="F211" s="530">
        <v>34060.699999999997</v>
      </c>
      <c r="G211" s="324" t="s">
        <v>1114</v>
      </c>
      <c r="H211" s="324">
        <v>2018</v>
      </c>
      <c r="I211" s="530">
        <v>34060.699999999997</v>
      </c>
      <c r="J211" s="324"/>
      <c r="K211" s="324"/>
      <c r="L211" s="324"/>
      <c r="M211" s="324"/>
      <c r="N211" s="324"/>
      <c r="O211" s="324"/>
      <c r="P211" s="324"/>
      <c r="Q211" s="324"/>
      <c r="R211" s="324"/>
      <c r="S211" s="324"/>
      <c r="T211" s="325">
        <f t="shared" si="3"/>
        <v>34060.699999999997</v>
      </c>
    </row>
    <row r="212" spans="1:20" ht="18.75" x14ac:dyDescent="0.3">
      <c r="A212" s="512" t="s">
        <v>596</v>
      </c>
      <c r="B212" s="512">
        <v>43340</v>
      </c>
      <c r="C212" s="521">
        <v>2609</v>
      </c>
      <c r="D212" s="331">
        <v>9</v>
      </c>
      <c r="E212" s="332" t="s">
        <v>599</v>
      </c>
      <c r="F212" s="522">
        <v>23600</v>
      </c>
      <c r="G212" s="324" t="s">
        <v>1114</v>
      </c>
      <c r="H212" s="324">
        <v>2018</v>
      </c>
      <c r="I212" s="522">
        <v>23600</v>
      </c>
      <c r="J212" s="324"/>
      <c r="K212" s="324"/>
      <c r="L212" s="324"/>
      <c r="M212" s="324"/>
      <c r="N212" s="324"/>
      <c r="O212" s="324"/>
      <c r="P212" s="324"/>
      <c r="Q212" s="324"/>
      <c r="R212" s="324"/>
      <c r="S212" s="324"/>
      <c r="T212" s="325">
        <f t="shared" si="3"/>
        <v>23600</v>
      </c>
    </row>
    <row r="213" spans="1:20" ht="18.75" x14ac:dyDescent="0.3">
      <c r="A213" s="512" t="s">
        <v>583</v>
      </c>
      <c r="B213" s="512">
        <v>43342</v>
      </c>
      <c r="C213" s="521">
        <v>2598</v>
      </c>
      <c r="D213" s="329" t="s">
        <v>614</v>
      </c>
      <c r="E213" s="328" t="s">
        <v>612</v>
      </c>
      <c r="F213" s="522">
        <v>14096</v>
      </c>
      <c r="G213" s="324" t="s">
        <v>1114</v>
      </c>
      <c r="H213" s="324">
        <v>2018</v>
      </c>
      <c r="I213" s="522">
        <v>14096</v>
      </c>
      <c r="J213" s="324"/>
      <c r="K213" s="324"/>
      <c r="L213" s="324"/>
      <c r="M213" s="324"/>
      <c r="N213" s="324"/>
      <c r="O213" s="324"/>
      <c r="P213" s="324"/>
      <c r="Q213" s="324"/>
      <c r="R213" s="324"/>
      <c r="S213" s="324"/>
      <c r="T213" s="325">
        <f t="shared" si="3"/>
        <v>14096</v>
      </c>
    </row>
    <row r="214" spans="1:20" ht="18.75" x14ac:dyDescent="0.3">
      <c r="A214" s="527" t="s">
        <v>601</v>
      </c>
      <c r="B214" s="528">
        <v>43344</v>
      </c>
      <c r="C214" s="529"/>
      <c r="D214" s="339" t="s">
        <v>615</v>
      </c>
      <c r="E214" s="340" t="s">
        <v>608</v>
      </c>
      <c r="F214" s="530">
        <v>34060.699999999997</v>
      </c>
      <c r="G214" s="324" t="s">
        <v>1114</v>
      </c>
      <c r="H214" s="324">
        <v>2018</v>
      </c>
      <c r="I214" s="530">
        <v>34060.699999999997</v>
      </c>
      <c r="J214" s="324"/>
      <c r="K214" s="324"/>
      <c r="L214" s="324"/>
      <c r="M214" s="324"/>
      <c r="N214" s="324"/>
      <c r="O214" s="324"/>
      <c r="P214" s="324"/>
      <c r="Q214" s="324"/>
      <c r="R214" s="324"/>
      <c r="S214" s="324"/>
      <c r="T214" s="325">
        <f t="shared" si="3"/>
        <v>34060.699999999997</v>
      </c>
    </row>
    <row r="215" spans="1:20" ht="18.75" x14ac:dyDescent="0.3">
      <c r="A215" s="512" t="s">
        <v>596</v>
      </c>
      <c r="B215" s="512">
        <v>43371</v>
      </c>
      <c r="C215" s="521">
        <v>2674</v>
      </c>
      <c r="D215" s="331">
        <v>12</v>
      </c>
      <c r="E215" s="332" t="s">
        <v>599</v>
      </c>
      <c r="F215" s="522">
        <v>23600</v>
      </c>
      <c r="G215" s="324" t="s">
        <v>1114</v>
      </c>
      <c r="H215" s="324">
        <v>2018</v>
      </c>
      <c r="I215" s="522">
        <v>23600</v>
      </c>
      <c r="J215" s="324"/>
      <c r="K215" s="324"/>
      <c r="L215" s="324"/>
      <c r="M215" s="324"/>
      <c r="N215" s="324"/>
      <c r="O215" s="324"/>
      <c r="P215" s="324"/>
      <c r="Q215" s="324"/>
      <c r="R215" s="324"/>
      <c r="S215" s="324"/>
      <c r="T215" s="325">
        <f t="shared" si="3"/>
        <v>23600</v>
      </c>
    </row>
    <row r="216" spans="1:20" ht="18.75" x14ac:dyDescent="0.3">
      <c r="A216" s="512" t="s">
        <v>583</v>
      </c>
      <c r="B216" s="512">
        <v>43373</v>
      </c>
      <c r="C216" s="521">
        <v>2599</v>
      </c>
      <c r="D216" s="329" t="s">
        <v>616</v>
      </c>
      <c r="E216" s="328" t="s">
        <v>612</v>
      </c>
      <c r="F216" s="522">
        <v>42354.5</v>
      </c>
      <c r="G216" s="324" t="s">
        <v>1114</v>
      </c>
      <c r="H216" s="324">
        <v>2018</v>
      </c>
      <c r="I216" s="522">
        <v>42354.5</v>
      </c>
      <c r="J216" s="324"/>
      <c r="K216" s="324"/>
      <c r="L216" s="324"/>
      <c r="M216" s="324"/>
      <c r="N216" s="324"/>
      <c r="O216" s="324"/>
      <c r="P216" s="324"/>
      <c r="Q216" s="324"/>
      <c r="R216" s="324"/>
      <c r="S216" s="324"/>
      <c r="T216" s="325">
        <f t="shared" si="3"/>
        <v>42354.5</v>
      </c>
    </row>
    <row r="217" spans="1:20" ht="18.75" x14ac:dyDescent="0.3">
      <c r="A217" s="527" t="s">
        <v>601</v>
      </c>
      <c r="B217" s="528">
        <v>43374</v>
      </c>
      <c r="C217" s="529"/>
      <c r="D217" s="339" t="s">
        <v>617</v>
      </c>
      <c r="E217" s="340" t="s">
        <v>608</v>
      </c>
      <c r="F217" s="530">
        <v>34060.699999999997</v>
      </c>
      <c r="G217" s="324" t="s">
        <v>1114</v>
      </c>
      <c r="H217" s="324">
        <v>2018</v>
      </c>
      <c r="I217" s="530">
        <v>34060.699999999997</v>
      </c>
      <c r="J217" s="324"/>
      <c r="K217" s="324"/>
      <c r="L217" s="324"/>
      <c r="M217" s="324"/>
      <c r="N217" s="324"/>
      <c r="O217" s="324"/>
      <c r="P217" s="324"/>
      <c r="Q217" s="324"/>
      <c r="R217" s="324"/>
      <c r="S217" s="324"/>
      <c r="T217" s="325">
        <f t="shared" si="3"/>
        <v>34060.699999999997</v>
      </c>
    </row>
    <row r="218" spans="1:20" ht="18.75" x14ac:dyDescent="0.3">
      <c r="A218" s="512" t="s">
        <v>596</v>
      </c>
      <c r="B218" s="512">
        <v>43398</v>
      </c>
      <c r="C218" s="521">
        <v>2750</v>
      </c>
      <c r="D218" s="331">
        <v>15</v>
      </c>
      <c r="E218" s="332" t="s">
        <v>599</v>
      </c>
      <c r="F218" s="522">
        <v>23600</v>
      </c>
      <c r="G218" s="324" t="s">
        <v>1114</v>
      </c>
      <c r="H218" s="324">
        <v>2018</v>
      </c>
      <c r="I218" s="522">
        <v>23600</v>
      </c>
      <c r="J218" s="324"/>
      <c r="K218" s="324"/>
      <c r="L218" s="324"/>
      <c r="M218" s="324"/>
      <c r="N218" s="324"/>
      <c r="O218" s="324"/>
      <c r="P218" s="324"/>
      <c r="Q218" s="324"/>
      <c r="R218" s="324"/>
      <c r="S218" s="324"/>
      <c r="T218" s="325">
        <f t="shared" si="3"/>
        <v>23600</v>
      </c>
    </row>
    <row r="219" spans="1:20" ht="18.75" x14ac:dyDescent="0.3">
      <c r="A219" s="512" t="s">
        <v>583</v>
      </c>
      <c r="B219" s="527">
        <v>43403</v>
      </c>
      <c r="C219" s="531">
        <v>2739</v>
      </c>
      <c r="D219" s="329" t="s">
        <v>618</v>
      </c>
      <c r="E219" s="328" t="s">
        <v>612</v>
      </c>
      <c r="F219" s="532">
        <v>14984</v>
      </c>
      <c r="G219" s="324" t="s">
        <v>1114</v>
      </c>
      <c r="H219" s="324">
        <v>2018</v>
      </c>
      <c r="I219" s="532">
        <v>14984</v>
      </c>
      <c r="J219" s="324"/>
      <c r="K219" s="324"/>
      <c r="L219" s="324"/>
      <c r="M219" s="324"/>
      <c r="N219" s="324"/>
      <c r="O219" s="324"/>
      <c r="P219" s="324"/>
      <c r="Q219" s="324"/>
      <c r="R219" s="324"/>
      <c r="S219" s="324"/>
      <c r="T219" s="325">
        <f t="shared" si="3"/>
        <v>14984</v>
      </c>
    </row>
    <row r="220" spans="1:20" ht="18.75" x14ac:dyDescent="0.3">
      <c r="A220" s="527" t="s">
        <v>601</v>
      </c>
      <c r="B220" s="528">
        <v>43405</v>
      </c>
      <c r="C220" s="529"/>
      <c r="D220" s="339" t="s">
        <v>619</v>
      </c>
      <c r="E220" s="340" t="s">
        <v>608</v>
      </c>
      <c r="F220" s="530">
        <v>34060.699999999997</v>
      </c>
      <c r="G220" s="324" t="s">
        <v>1114</v>
      </c>
      <c r="H220" s="324">
        <v>2018</v>
      </c>
      <c r="I220" s="530">
        <v>34060.699999999997</v>
      </c>
      <c r="J220" s="324"/>
      <c r="K220" s="324"/>
      <c r="L220" s="324"/>
      <c r="M220" s="324"/>
      <c r="N220" s="324"/>
      <c r="O220" s="324"/>
      <c r="P220" s="324"/>
      <c r="Q220" s="324"/>
      <c r="R220" s="324"/>
      <c r="S220" s="324"/>
      <c r="T220" s="325">
        <f t="shared" si="3"/>
        <v>34060.699999999997</v>
      </c>
    </row>
    <row r="221" spans="1:20" s="520" customFormat="1" ht="18.75" x14ac:dyDescent="0.3">
      <c r="A221" s="512" t="s">
        <v>596</v>
      </c>
      <c r="B221" s="512">
        <v>43434</v>
      </c>
      <c r="C221" s="521">
        <v>2844</v>
      </c>
      <c r="D221" s="331">
        <v>17</v>
      </c>
      <c r="E221" s="332" t="s">
        <v>599</v>
      </c>
      <c r="F221" s="522">
        <v>23600</v>
      </c>
      <c r="G221" s="324" t="s">
        <v>1114</v>
      </c>
      <c r="H221" s="324">
        <v>2018</v>
      </c>
      <c r="I221" s="522">
        <v>23600</v>
      </c>
      <c r="J221" s="519"/>
      <c r="K221" s="519"/>
      <c r="L221" s="519"/>
      <c r="M221" s="519"/>
      <c r="N221" s="519"/>
      <c r="O221" s="519"/>
      <c r="P221" s="519"/>
      <c r="Q221" s="519"/>
      <c r="R221" s="519"/>
      <c r="S221" s="519"/>
      <c r="T221" s="325">
        <f t="shared" si="3"/>
        <v>23600</v>
      </c>
    </row>
    <row r="222" spans="1:20" s="520" customFormat="1" ht="18.75" x14ac:dyDescent="0.3">
      <c r="A222" s="512" t="s">
        <v>583</v>
      </c>
      <c r="B222" s="527">
        <v>43434</v>
      </c>
      <c r="C222" s="531">
        <v>2833</v>
      </c>
      <c r="D222" s="329" t="s">
        <v>1116</v>
      </c>
      <c r="E222" s="328" t="s">
        <v>612</v>
      </c>
      <c r="F222" s="532">
        <v>21267</v>
      </c>
      <c r="G222" s="324" t="s">
        <v>1114</v>
      </c>
      <c r="H222" s="324">
        <v>2018</v>
      </c>
      <c r="I222" s="532">
        <v>21267</v>
      </c>
      <c r="J222" s="519"/>
      <c r="K222" s="519"/>
      <c r="L222" s="519"/>
      <c r="M222" s="519"/>
      <c r="N222" s="519"/>
      <c r="O222" s="519"/>
      <c r="P222" s="519"/>
      <c r="Q222" s="519"/>
      <c r="R222" s="519"/>
      <c r="S222" s="519"/>
      <c r="T222" s="325">
        <f t="shared" si="3"/>
        <v>21267</v>
      </c>
    </row>
    <row r="223" spans="1:20" ht="18.75" x14ac:dyDescent="0.3">
      <c r="A223" s="527" t="s">
        <v>601</v>
      </c>
      <c r="B223" s="528">
        <v>43435</v>
      </c>
      <c r="C223" s="529"/>
      <c r="D223" s="339" t="s">
        <v>620</v>
      </c>
      <c r="E223" s="340" t="s">
        <v>608</v>
      </c>
      <c r="F223" s="530">
        <v>34060.699999999997</v>
      </c>
      <c r="G223" s="324" t="s">
        <v>1114</v>
      </c>
      <c r="H223" s="324">
        <v>2018</v>
      </c>
      <c r="I223" s="530">
        <v>34060.699999999997</v>
      </c>
      <c r="J223" s="324"/>
      <c r="K223" s="324"/>
      <c r="L223" s="324"/>
      <c r="M223" s="324"/>
      <c r="N223" s="324"/>
      <c r="O223" s="324"/>
      <c r="P223" s="324"/>
      <c r="Q223" s="324"/>
      <c r="R223" s="324"/>
      <c r="S223" s="324"/>
      <c r="T223" s="325">
        <f t="shared" si="3"/>
        <v>34060.699999999997</v>
      </c>
    </row>
    <row r="224" spans="1:20" ht="18.75" x14ac:dyDescent="0.3">
      <c r="A224" s="512" t="s">
        <v>583</v>
      </c>
      <c r="B224" s="527">
        <v>43464</v>
      </c>
      <c r="C224" s="531">
        <v>2905</v>
      </c>
      <c r="D224" s="329" t="s">
        <v>621</v>
      </c>
      <c r="E224" s="328" t="s">
        <v>612</v>
      </c>
      <c r="F224" s="532">
        <v>10586.6</v>
      </c>
      <c r="G224" s="324" t="s">
        <v>1114</v>
      </c>
      <c r="H224" s="324">
        <v>2018</v>
      </c>
      <c r="I224" s="532">
        <v>10586.6</v>
      </c>
      <c r="J224" s="324"/>
      <c r="K224" s="324"/>
      <c r="L224" s="324"/>
      <c r="M224" s="324"/>
      <c r="N224" s="324"/>
      <c r="O224" s="324"/>
      <c r="P224" s="324"/>
      <c r="Q224" s="324"/>
      <c r="R224" s="324"/>
      <c r="S224" s="324"/>
      <c r="T224" s="325">
        <f t="shared" si="3"/>
        <v>10586.6</v>
      </c>
    </row>
    <row r="225" spans="1:20" ht="18.75" x14ac:dyDescent="0.3">
      <c r="A225" s="512" t="s">
        <v>256</v>
      </c>
      <c r="B225" s="513">
        <v>43465</v>
      </c>
      <c r="C225" s="514"/>
      <c r="D225" s="321" t="s">
        <v>622</v>
      </c>
      <c r="E225" s="322" t="s">
        <v>466</v>
      </c>
      <c r="F225" s="515">
        <f>216122</f>
        <v>216122</v>
      </c>
      <c r="G225" s="324" t="s">
        <v>1114</v>
      </c>
      <c r="H225" s="324">
        <v>2018</v>
      </c>
      <c r="I225" s="515">
        <f>216122</f>
        <v>216122</v>
      </c>
      <c r="J225" s="324"/>
      <c r="K225" s="324"/>
      <c r="L225" s="324"/>
      <c r="M225" s="324"/>
      <c r="N225" s="324"/>
      <c r="O225" s="324"/>
      <c r="P225" s="324"/>
      <c r="Q225" s="324"/>
      <c r="R225" s="324"/>
      <c r="S225" s="324"/>
      <c r="T225" s="325">
        <f t="shared" si="3"/>
        <v>216122</v>
      </c>
    </row>
    <row r="226" spans="1:20" ht="18.75" x14ac:dyDescent="0.3">
      <c r="A226" s="527" t="s">
        <v>601</v>
      </c>
      <c r="B226" s="528">
        <v>43466</v>
      </c>
      <c r="C226" s="529"/>
      <c r="D226" s="339" t="s">
        <v>623</v>
      </c>
      <c r="E226" s="340" t="s">
        <v>608</v>
      </c>
      <c r="F226" s="530">
        <v>34060.699999999997</v>
      </c>
      <c r="G226" s="324" t="s">
        <v>1114</v>
      </c>
      <c r="H226" s="324">
        <v>2019</v>
      </c>
      <c r="I226" s="530">
        <v>34060.699999999997</v>
      </c>
      <c r="J226" s="324"/>
      <c r="K226" s="324"/>
      <c r="L226" s="324"/>
      <c r="M226" s="324"/>
      <c r="N226" s="324"/>
      <c r="O226" s="324"/>
      <c r="P226" s="324"/>
      <c r="Q226" s="324"/>
      <c r="R226" s="324"/>
      <c r="S226" s="324"/>
      <c r="T226" s="325">
        <f t="shared" si="3"/>
        <v>34060.699999999997</v>
      </c>
    </row>
    <row r="227" spans="1:20" ht="18.75" x14ac:dyDescent="0.3">
      <c r="A227" s="513" t="s">
        <v>624</v>
      </c>
      <c r="B227" s="528">
        <v>43467</v>
      </c>
      <c r="C227" s="529">
        <v>2953</v>
      </c>
      <c r="D227" s="339" t="s">
        <v>625</v>
      </c>
      <c r="E227" s="340" t="s">
        <v>626</v>
      </c>
      <c r="F227" s="530">
        <v>76400.28</v>
      </c>
      <c r="G227" s="324" t="s">
        <v>1114</v>
      </c>
      <c r="H227" s="324">
        <v>2019</v>
      </c>
      <c r="I227" s="530">
        <v>76400.28</v>
      </c>
      <c r="J227" s="324"/>
      <c r="K227" s="324"/>
      <c r="L227" s="324"/>
      <c r="M227" s="324"/>
      <c r="N227" s="324"/>
      <c r="O227" s="324"/>
      <c r="P227" s="324"/>
      <c r="Q227" s="324"/>
      <c r="R227" s="324"/>
      <c r="S227" s="324"/>
      <c r="T227" s="325">
        <f t="shared" si="3"/>
        <v>76400.28</v>
      </c>
    </row>
    <row r="228" spans="1:20" ht="18.75" x14ac:dyDescent="0.3">
      <c r="A228" s="527" t="s">
        <v>627</v>
      </c>
      <c r="B228" s="528">
        <v>43488</v>
      </c>
      <c r="C228" s="529">
        <v>2972</v>
      </c>
      <c r="D228" s="339" t="s">
        <v>628</v>
      </c>
      <c r="E228" s="340" t="s">
        <v>629</v>
      </c>
      <c r="F228" s="530">
        <v>220376.61</v>
      </c>
      <c r="G228" s="324" t="s">
        <v>1114</v>
      </c>
      <c r="H228" s="324">
        <v>2019</v>
      </c>
      <c r="I228" s="530">
        <v>220376.61</v>
      </c>
      <c r="J228" s="324"/>
      <c r="K228" s="324"/>
      <c r="L228" s="324"/>
      <c r="M228" s="324"/>
      <c r="N228" s="324"/>
      <c r="O228" s="324"/>
      <c r="P228" s="324"/>
      <c r="Q228" s="324"/>
      <c r="R228" s="324"/>
      <c r="S228" s="324"/>
      <c r="T228" s="325">
        <f t="shared" si="3"/>
        <v>220376.61</v>
      </c>
    </row>
    <row r="229" spans="1:20" ht="18.75" x14ac:dyDescent="0.3">
      <c r="A229" s="512" t="s">
        <v>596</v>
      </c>
      <c r="B229" s="527">
        <v>43494</v>
      </c>
      <c r="C229" s="531">
        <v>2997</v>
      </c>
      <c r="D229" s="342">
        <v>22</v>
      </c>
      <c r="E229" s="343" t="s">
        <v>599</v>
      </c>
      <c r="F229" s="532">
        <v>23600</v>
      </c>
      <c r="G229" s="324" t="s">
        <v>1114</v>
      </c>
      <c r="H229" s="324">
        <v>2019</v>
      </c>
      <c r="I229" s="532">
        <v>23600</v>
      </c>
      <c r="J229" s="324"/>
      <c r="K229" s="324"/>
      <c r="L229" s="324"/>
      <c r="M229" s="324"/>
      <c r="N229" s="324"/>
      <c r="O229" s="324"/>
      <c r="P229" s="324"/>
      <c r="Q229" s="324"/>
      <c r="R229" s="324"/>
      <c r="S229" s="324"/>
      <c r="T229" s="325">
        <f t="shared" si="3"/>
        <v>23600</v>
      </c>
    </row>
    <row r="230" spans="1:20" ht="18.75" x14ac:dyDescent="0.3">
      <c r="A230" s="512" t="s">
        <v>596</v>
      </c>
      <c r="B230" s="527">
        <v>43494</v>
      </c>
      <c r="C230" s="531">
        <v>2997</v>
      </c>
      <c r="D230" s="342">
        <v>23</v>
      </c>
      <c r="E230" s="343" t="s">
        <v>599</v>
      </c>
      <c r="F230" s="532">
        <v>23600</v>
      </c>
      <c r="G230" s="324" t="s">
        <v>1114</v>
      </c>
      <c r="H230" s="324">
        <v>2019</v>
      </c>
      <c r="I230" s="532">
        <v>23600</v>
      </c>
      <c r="J230" s="324"/>
      <c r="K230" s="324"/>
      <c r="L230" s="324"/>
      <c r="M230" s="324"/>
      <c r="N230" s="324"/>
      <c r="O230" s="324"/>
      <c r="P230" s="324"/>
      <c r="Q230" s="324"/>
      <c r="R230" s="324"/>
      <c r="S230" s="324"/>
      <c r="T230" s="325">
        <f t="shared" si="3"/>
        <v>23600</v>
      </c>
    </row>
    <row r="231" spans="1:20" ht="18.75" x14ac:dyDescent="0.3">
      <c r="A231" s="512" t="s">
        <v>583</v>
      </c>
      <c r="B231" s="512">
        <v>43495</v>
      </c>
      <c r="C231" s="521">
        <v>2986</v>
      </c>
      <c r="D231" s="329" t="s">
        <v>630</v>
      </c>
      <c r="E231" s="328" t="s">
        <v>585</v>
      </c>
      <c r="F231" s="522">
        <v>12283</v>
      </c>
      <c r="G231" s="324" t="s">
        <v>1114</v>
      </c>
      <c r="H231" s="324">
        <v>2019</v>
      </c>
      <c r="I231" s="522">
        <v>12283</v>
      </c>
      <c r="J231" s="324"/>
      <c r="K231" s="324"/>
      <c r="L231" s="324"/>
      <c r="M231" s="324"/>
      <c r="N231" s="324"/>
      <c r="O231" s="324"/>
      <c r="P231" s="324"/>
      <c r="Q231" s="324"/>
      <c r="R231" s="324"/>
      <c r="S231" s="324"/>
      <c r="T231" s="325">
        <f t="shared" si="3"/>
        <v>12283</v>
      </c>
    </row>
    <row r="232" spans="1:20" ht="18.75" x14ac:dyDescent="0.3">
      <c r="A232" s="527" t="s">
        <v>601</v>
      </c>
      <c r="B232" s="528">
        <v>43497</v>
      </c>
      <c r="C232" s="529"/>
      <c r="D232" s="339" t="s">
        <v>631</v>
      </c>
      <c r="E232" s="340" t="s">
        <v>608</v>
      </c>
      <c r="F232" s="530">
        <v>34060.699999999997</v>
      </c>
      <c r="G232" s="324" t="s">
        <v>1114</v>
      </c>
      <c r="H232" s="324">
        <v>2019</v>
      </c>
      <c r="I232" s="530">
        <v>34060.699999999997</v>
      </c>
      <c r="J232" s="324"/>
      <c r="K232" s="324"/>
      <c r="L232" s="324"/>
      <c r="M232" s="324"/>
      <c r="N232" s="324"/>
      <c r="O232" s="324"/>
      <c r="P232" s="324"/>
      <c r="Q232" s="324"/>
      <c r="R232" s="324"/>
      <c r="S232" s="324"/>
      <c r="T232" s="325">
        <f t="shared" si="3"/>
        <v>34060.699999999997</v>
      </c>
    </row>
    <row r="233" spans="1:20" ht="18.75" x14ac:dyDescent="0.3">
      <c r="A233" s="512" t="s">
        <v>596</v>
      </c>
      <c r="B233" s="527">
        <v>43522</v>
      </c>
      <c r="C233" s="531">
        <v>3086</v>
      </c>
      <c r="D233" s="342">
        <v>25</v>
      </c>
      <c r="E233" s="343" t="s">
        <v>599</v>
      </c>
      <c r="F233" s="532">
        <v>23600</v>
      </c>
      <c r="G233" s="324" t="s">
        <v>1114</v>
      </c>
      <c r="H233" s="324">
        <v>2019</v>
      </c>
      <c r="I233" s="532">
        <v>23600</v>
      </c>
      <c r="J233" s="324"/>
      <c r="K233" s="324"/>
      <c r="L233" s="324"/>
      <c r="M233" s="324"/>
      <c r="N233" s="324"/>
      <c r="O233" s="324"/>
      <c r="P233" s="324"/>
      <c r="Q233" s="324"/>
      <c r="R233" s="324"/>
      <c r="S233" s="324"/>
      <c r="T233" s="325">
        <f t="shared" si="3"/>
        <v>23600</v>
      </c>
    </row>
    <row r="234" spans="1:20" ht="18.75" x14ac:dyDescent="0.3">
      <c r="A234" s="512" t="s">
        <v>583</v>
      </c>
      <c r="B234" s="512">
        <v>43524</v>
      </c>
      <c r="C234" s="521">
        <v>3075</v>
      </c>
      <c r="D234" s="329" t="s">
        <v>632</v>
      </c>
      <c r="E234" s="328" t="s">
        <v>612</v>
      </c>
      <c r="F234" s="522">
        <v>16186</v>
      </c>
      <c r="G234" s="324" t="s">
        <v>1114</v>
      </c>
      <c r="H234" s="324">
        <v>2019</v>
      </c>
      <c r="I234" s="522">
        <v>16186</v>
      </c>
      <c r="J234" s="324"/>
      <c r="K234" s="324"/>
      <c r="L234" s="324"/>
      <c r="M234" s="324"/>
      <c r="N234" s="324"/>
      <c r="O234" s="324"/>
      <c r="P234" s="324"/>
      <c r="Q234" s="324"/>
      <c r="R234" s="324"/>
      <c r="S234" s="324"/>
      <c r="T234" s="325">
        <f t="shared" si="3"/>
        <v>16186</v>
      </c>
    </row>
    <row r="235" spans="1:20" ht="18.75" x14ac:dyDescent="0.3">
      <c r="A235" s="527" t="s">
        <v>601</v>
      </c>
      <c r="B235" s="528">
        <v>43525</v>
      </c>
      <c r="C235" s="529"/>
      <c r="D235" s="339" t="s">
        <v>633</v>
      </c>
      <c r="E235" s="340" t="s">
        <v>608</v>
      </c>
      <c r="F235" s="530">
        <v>31024.560000000001</v>
      </c>
      <c r="G235" s="324" t="s">
        <v>1114</v>
      </c>
      <c r="H235" s="324">
        <v>2019</v>
      </c>
      <c r="I235" s="530">
        <v>31024.560000000001</v>
      </c>
      <c r="J235" s="324"/>
      <c r="K235" s="324"/>
      <c r="L235" s="324"/>
      <c r="M235" s="324"/>
      <c r="N235" s="324"/>
      <c r="O235" s="324"/>
      <c r="P235" s="324"/>
      <c r="Q235" s="324"/>
      <c r="R235" s="324"/>
      <c r="S235" s="324"/>
      <c r="T235" s="325">
        <f t="shared" si="3"/>
        <v>31024.560000000001</v>
      </c>
    </row>
    <row r="236" spans="1:20" ht="18.75" x14ac:dyDescent="0.3">
      <c r="A236" s="512" t="s">
        <v>596</v>
      </c>
      <c r="B236" s="527">
        <v>43550</v>
      </c>
      <c r="C236" s="531">
        <v>3164</v>
      </c>
      <c r="D236" s="342">
        <v>27</v>
      </c>
      <c r="E236" s="343" t="s">
        <v>599</v>
      </c>
      <c r="F236" s="532">
        <v>23600</v>
      </c>
      <c r="G236" s="324" t="s">
        <v>1114</v>
      </c>
      <c r="H236" s="324">
        <v>2019</v>
      </c>
      <c r="I236" s="532">
        <v>23600</v>
      </c>
      <c r="J236" s="324"/>
      <c r="K236" s="324"/>
      <c r="L236" s="324"/>
      <c r="M236" s="324"/>
      <c r="N236" s="324"/>
      <c r="O236" s="324"/>
      <c r="P236" s="324"/>
      <c r="Q236" s="324"/>
      <c r="R236" s="324"/>
      <c r="S236" s="324"/>
      <c r="T236" s="325">
        <f t="shared" si="3"/>
        <v>23600</v>
      </c>
    </row>
    <row r="237" spans="1:20" ht="18.75" x14ac:dyDescent="0.3">
      <c r="A237" s="512" t="s">
        <v>583</v>
      </c>
      <c r="B237" s="512">
        <v>43554</v>
      </c>
      <c r="C237" s="521">
        <v>3153</v>
      </c>
      <c r="D237" s="329" t="s">
        <v>634</v>
      </c>
      <c r="E237" s="328" t="s">
        <v>612</v>
      </c>
      <c r="F237" s="522">
        <v>19469</v>
      </c>
      <c r="G237" s="324" t="s">
        <v>1114</v>
      </c>
      <c r="H237" s="324">
        <v>2019</v>
      </c>
      <c r="I237" s="522">
        <v>19469</v>
      </c>
      <c r="J237" s="324"/>
      <c r="K237" s="324"/>
      <c r="L237" s="324"/>
      <c r="M237" s="324"/>
      <c r="N237" s="324"/>
      <c r="O237" s="324"/>
      <c r="P237" s="324"/>
      <c r="Q237" s="324"/>
      <c r="R237" s="324"/>
      <c r="S237" s="324"/>
      <c r="T237" s="325">
        <f t="shared" si="3"/>
        <v>19469</v>
      </c>
    </row>
    <row r="238" spans="1:20" ht="18.75" x14ac:dyDescent="0.3">
      <c r="A238" s="527" t="s">
        <v>601</v>
      </c>
      <c r="B238" s="528">
        <v>43556</v>
      </c>
      <c r="C238" s="529"/>
      <c r="D238" s="339" t="s">
        <v>635</v>
      </c>
      <c r="E238" s="340" t="s">
        <v>608</v>
      </c>
      <c r="F238" s="530">
        <v>31024.560000000001</v>
      </c>
      <c r="G238" s="324" t="s">
        <v>1114</v>
      </c>
      <c r="H238" s="324">
        <v>2019</v>
      </c>
      <c r="I238" s="530">
        <v>31024.560000000001</v>
      </c>
      <c r="J238" s="324"/>
      <c r="K238" s="324"/>
      <c r="L238" s="324"/>
      <c r="M238" s="324"/>
      <c r="N238" s="324"/>
      <c r="O238" s="324"/>
      <c r="P238" s="324"/>
      <c r="Q238" s="324"/>
      <c r="R238" s="324"/>
      <c r="S238" s="324"/>
      <c r="T238" s="325">
        <f t="shared" si="3"/>
        <v>31024.560000000001</v>
      </c>
    </row>
    <row r="239" spans="1:20" ht="18.75" x14ac:dyDescent="0.3">
      <c r="A239" s="512" t="s">
        <v>596</v>
      </c>
      <c r="B239" s="527">
        <v>43585</v>
      </c>
      <c r="C239" s="531">
        <v>3246</v>
      </c>
      <c r="D239" s="342">
        <v>29</v>
      </c>
      <c r="E239" s="343" t="s">
        <v>599</v>
      </c>
      <c r="F239" s="532">
        <v>23600</v>
      </c>
      <c r="G239" s="324" t="s">
        <v>1114</v>
      </c>
      <c r="H239" s="324">
        <v>2019</v>
      </c>
      <c r="I239" s="532">
        <v>23600</v>
      </c>
      <c r="J239" s="324"/>
      <c r="K239" s="324"/>
      <c r="L239" s="324"/>
      <c r="M239" s="324"/>
      <c r="N239" s="324"/>
      <c r="O239" s="324"/>
      <c r="P239" s="324"/>
      <c r="Q239" s="324"/>
      <c r="R239" s="324"/>
      <c r="S239" s="324"/>
      <c r="T239" s="325">
        <f t="shared" si="3"/>
        <v>23600</v>
      </c>
    </row>
    <row r="240" spans="1:20" ht="18.75" x14ac:dyDescent="0.3">
      <c r="A240" s="512" t="s">
        <v>583</v>
      </c>
      <c r="B240" s="512">
        <v>43585</v>
      </c>
      <c r="C240" s="521">
        <v>3235</v>
      </c>
      <c r="D240" s="329" t="s">
        <v>636</v>
      </c>
      <c r="E240" s="328" t="s">
        <v>585</v>
      </c>
      <c r="F240" s="522">
        <v>21318</v>
      </c>
      <c r="G240" s="324" t="s">
        <v>1114</v>
      </c>
      <c r="H240" s="324">
        <v>2019</v>
      </c>
      <c r="I240" s="522">
        <v>21318</v>
      </c>
      <c r="J240" s="324"/>
      <c r="K240" s="324"/>
      <c r="L240" s="324"/>
      <c r="M240" s="324"/>
      <c r="N240" s="324"/>
      <c r="O240" s="324"/>
      <c r="P240" s="324"/>
      <c r="Q240" s="324"/>
      <c r="R240" s="324"/>
      <c r="S240" s="324"/>
      <c r="T240" s="325">
        <f t="shared" si="3"/>
        <v>21318</v>
      </c>
    </row>
    <row r="241" spans="1:20" ht="18.75" x14ac:dyDescent="0.3">
      <c r="A241" s="512" t="s">
        <v>372</v>
      </c>
      <c r="B241" s="512">
        <v>43585</v>
      </c>
      <c r="C241" s="521">
        <v>3199</v>
      </c>
      <c r="D241" s="327" t="s">
        <v>1733</v>
      </c>
      <c r="E241" s="332" t="s">
        <v>1734</v>
      </c>
      <c r="F241" s="522">
        <v>28000</v>
      </c>
      <c r="G241" s="324" t="s">
        <v>1114</v>
      </c>
      <c r="H241" s="324">
        <v>2019</v>
      </c>
      <c r="I241" s="522">
        <v>28000</v>
      </c>
      <c r="J241" s="324"/>
      <c r="K241" s="324"/>
      <c r="L241" s="324"/>
      <c r="M241" s="324"/>
      <c r="N241" s="324"/>
      <c r="O241" s="324"/>
      <c r="P241" s="324"/>
      <c r="Q241" s="324"/>
      <c r="R241" s="324"/>
      <c r="S241" s="324"/>
      <c r="T241" s="325">
        <f t="shared" si="3"/>
        <v>28000</v>
      </c>
    </row>
    <row r="242" spans="1:20" ht="18.75" x14ac:dyDescent="0.3">
      <c r="A242" s="527" t="s">
        <v>601</v>
      </c>
      <c r="B242" s="528">
        <v>43586</v>
      </c>
      <c r="C242" s="529"/>
      <c r="D242" s="339" t="s">
        <v>637</v>
      </c>
      <c r="E242" s="340" t="s">
        <v>608</v>
      </c>
      <c r="F242" s="530">
        <v>31024.560000000001</v>
      </c>
      <c r="G242" s="324" t="s">
        <v>1114</v>
      </c>
      <c r="H242" s="324">
        <v>2019</v>
      </c>
      <c r="I242" s="530">
        <v>31024.560000000001</v>
      </c>
      <c r="J242" s="324"/>
      <c r="K242" s="324"/>
      <c r="L242" s="324"/>
      <c r="M242" s="324"/>
      <c r="N242" s="324"/>
      <c r="O242" s="324"/>
      <c r="P242" s="324"/>
      <c r="Q242" s="324"/>
      <c r="R242" s="324"/>
      <c r="S242" s="324"/>
      <c r="T242" s="325">
        <f t="shared" si="3"/>
        <v>31024.560000000001</v>
      </c>
    </row>
    <row r="243" spans="1:20" ht="18.75" x14ac:dyDescent="0.3">
      <c r="A243" s="512" t="s">
        <v>583</v>
      </c>
      <c r="B243" s="512">
        <v>43615</v>
      </c>
      <c r="C243" s="521">
        <v>3327</v>
      </c>
      <c r="D243" s="329" t="s">
        <v>638</v>
      </c>
      <c r="E243" s="328" t="s">
        <v>612</v>
      </c>
      <c r="F243" s="522">
        <v>15792</v>
      </c>
      <c r="G243" s="324" t="s">
        <v>1114</v>
      </c>
      <c r="H243" s="324">
        <v>2019</v>
      </c>
      <c r="I243" s="522">
        <v>15792</v>
      </c>
      <c r="J243" s="324"/>
      <c r="K243" s="324"/>
      <c r="L243" s="324"/>
      <c r="M243" s="324"/>
      <c r="N243" s="324"/>
      <c r="O243" s="324"/>
      <c r="P243" s="324"/>
      <c r="Q243" s="324"/>
      <c r="R243" s="324"/>
      <c r="S243" s="324"/>
      <c r="T243" s="325">
        <f t="shared" si="3"/>
        <v>15792</v>
      </c>
    </row>
    <row r="244" spans="1:20" s="534" customFormat="1" ht="18.75" x14ac:dyDescent="0.3">
      <c r="A244" s="512" t="s">
        <v>583</v>
      </c>
      <c r="B244" s="512">
        <v>43646</v>
      </c>
      <c r="C244" s="521">
        <v>3423</v>
      </c>
      <c r="D244" s="329" t="s">
        <v>639</v>
      </c>
      <c r="E244" s="328" t="s">
        <v>612</v>
      </c>
      <c r="F244" s="522">
        <v>12940</v>
      </c>
      <c r="G244" s="324" t="s">
        <v>1114</v>
      </c>
      <c r="H244" s="324">
        <v>2019</v>
      </c>
      <c r="I244" s="522">
        <v>12940</v>
      </c>
      <c r="J244" s="533"/>
      <c r="K244" s="533"/>
      <c r="L244" s="533"/>
      <c r="M244" s="533"/>
      <c r="N244" s="533"/>
      <c r="O244" s="533"/>
      <c r="P244" s="533"/>
      <c r="Q244" s="533"/>
      <c r="R244" s="533"/>
      <c r="S244" s="533"/>
      <c r="T244" s="325">
        <f t="shared" si="3"/>
        <v>12940</v>
      </c>
    </row>
    <row r="245" spans="1:20" s="534" customFormat="1" ht="18.75" x14ac:dyDescent="0.3">
      <c r="A245" s="512" t="s">
        <v>583</v>
      </c>
      <c r="B245" s="512">
        <v>43662</v>
      </c>
      <c r="C245" s="521">
        <v>3574</v>
      </c>
      <c r="D245" s="329" t="s">
        <v>640</v>
      </c>
      <c r="E245" s="328" t="s">
        <v>585</v>
      </c>
      <c r="F245" s="522">
        <v>188400</v>
      </c>
      <c r="G245" s="324" t="s">
        <v>1114</v>
      </c>
      <c r="H245" s="324">
        <v>2019</v>
      </c>
      <c r="I245" s="522">
        <v>188400</v>
      </c>
      <c r="J245" s="533"/>
      <c r="K245" s="533"/>
      <c r="L245" s="533"/>
      <c r="M245" s="533"/>
      <c r="N245" s="533"/>
      <c r="O245" s="533"/>
      <c r="P245" s="533"/>
      <c r="Q245" s="533"/>
      <c r="R245" s="533"/>
      <c r="S245" s="533"/>
      <c r="T245" s="325">
        <f t="shared" si="3"/>
        <v>188400</v>
      </c>
    </row>
    <row r="246" spans="1:20" s="534" customFormat="1" ht="18.75" x14ac:dyDescent="0.3">
      <c r="A246" s="512" t="s">
        <v>583</v>
      </c>
      <c r="B246" s="512">
        <v>43676</v>
      </c>
      <c r="C246" s="521">
        <v>3512</v>
      </c>
      <c r="D246" s="329" t="s">
        <v>641</v>
      </c>
      <c r="E246" s="328" t="s">
        <v>612</v>
      </c>
      <c r="F246" s="522">
        <v>16408</v>
      </c>
      <c r="G246" s="324" t="s">
        <v>1114</v>
      </c>
      <c r="H246" s="324">
        <v>2019</v>
      </c>
      <c r="I246" s="522">
        <v>16408</v>
      </c>
      <c r="J246" s="533"/>
      <c r="K246" s="533"/>
      <c r="L246" s="533"/>
      <c r="M246" s="533"/>
      <c r="N246" s="533"/>
      <c r="O246" s="533"/>
      <c r="P246" s="533"/>
      <c r="Q246" s="533"/>
      <c r="R246" s="533"/>
      <c r="S246" s="533"/>
      <c r="T246" s="325">
        <f t="shared" si="3"/>
        <v>16408</v>
      </c>
    </row>
    <row r="247" spans="1:20" s="534" customFormat="1" ht="18.75" x14ac:dyDescent="0.3">
      <c r="A247" s="512" t="s">
        <v>583</v>
      </c>
      <c r="B247" s="512">
        <v>43707</v>
      </c>
      <c r="C247" s="521">
        <v>3694</v>
      </c>
      <c r="D247" s="329" t="s">
        <v>642</v>
      </c>
      <c r="E247" s="328" t="s">
        <v>585</v>
      </c>
      <c r="F247" s="522">
        <v>93000</v>
      </c>
      <c r="G247" s="324" t="s">
        <v>1114</v>
      </c>
      <c r="H247" s="324">
        <v>2019</v>
      </c>
      <c r="I247" s="522">
        <v>93000</v>
      </c>
      <c r="J247" s="533"/>
      <c r="K247" s="533"/>
      <c r="L247" s="533"/>
      <c r="M247" s="533"/>
      <c r="N247" s="533"/>
      <c r="O247" s="533"/>
      <c r="P247" s="533"/>
      <c r="Q247" s="533"/>
      <c r="R247" s="533"/>
      <c r="S247" s="533"/>
      <c r="T247" s="325">
        <f t="shared" si="3"/>
        <v>93000</v>
      </c>
    </row>
    <row r="248" spans="1:20" s="534" customFormat="1" ht="18.75" x14ac:dyDescent="0.3">
      <c r="A248" s="512" t="s">
        <v>583</v>
      </c>
      <c r="B248" s="512">
        <v>43707</v>
      </c>
      <c r="C248" s="521">
        <v>3695</v>
      </c>
      <c r="D248" s="329" t="s">
        <v>643</v>
      </c>
      <c r="E248" s="328" t="s">
        <v>612</v>
      </c>
      <c r="F248" s="522">
        <v>19468</v>
      </c>
      <c r="G248" s="324" t="s">
        <v>1114</v>
      </c>
      <c r="H248" s="324">
        <v>2019</v>
      </c>
      <c r="I248" s="522">
        <v>19468</v>
      </c>
      <c r="J248" s="533"/>
      <c r="K248" s="533"/>
      <c r="L248" s="533"/>
      <c r="M248" s="533"/>
      <c r="N248" s="533"/>
      <c r="O248" s="533"/>
      <c r="P248" s="533"/>
      <c r="Q248" s="533"/>
      <c r="R248" s="533"/>
      <c r="S248" s="533"/>
      <c r="T248" s="325">
        <f t="shared" si="3"/>
        <v>19468</v>
      </c>
    </row>
    <row r="249" spans="1:20" s="534" customFormat="1" ht="18.75" x14ac:dyDescent="0.3">
      <c r="A249" s="512" t="s">
        <v>583</v>
      </c>
      <c r="B249" s="512">
        <v>43719</v>
      </c>
      <c r="C249" s="521">
        <v>3754</v>
      </c>
      <c r="D249" s="329" t="s">
        <v>644</v>
      </c>
      <c r="E249" s="328" t="s">
        <v>585</v>
      </c>
      <c r="F249" s="522">
        <v>187300</v>
      </c>
      <c r="G249" s="324" t="s">
        <v>1114</v>
      </c>
      <c r="H249" s="324">
        <v>2019</v>
      </c>
      <c r="I249" s="522">
        <v>187300</v>
      </c>
      <c r="J249" s="533"/>
      <c r="K249" s="533"/>
      <c r="L249" s="533"/>
      <c r="M249" s="533"/>
      <c r="N249" s="533"/>
      <c r="O249" s="533"/>
      <c r="P249" s="533"/>
      <c r="Q249" s="533"/>
      <c r="R249" s="533"/>
      <c r="S249" s="533"/>
      <c r="T249" s="325">
        <f t="shared" si="3"/>
        <v>187300</v>
      </c>
    </row>
    <row r="250" spans="1:20" s="534" customFormat="1" ht="18.75" x14ac:dyDescent="0.3">
      <c r="A250" s="512" t="s">
        <v>583</v>
      </c>
      <c r="B250" s="512">
        <v>43738</v>
      </c>
      <c r="C250" s="521">
        <v>3708</v>
      </c>
      <c r="D250" s="329" t="s">
        <v>645</v>
      </c>
      <c r="E250" s="328" t="s">
        <v>585</v>
      </c>
      <c r="F250" s="522">
        <v>16320</v>
      </c>
      <c r="G250" s="324" t="s">
        <v>1114</v>
      </c>
      <c r="H250" s="324">
        <v>2019</v>
      </c>
      <c r="I250" s="522">
        <v>16320</v>
      </c>
      <c r="J250" s="533"/>
      <c r="K250" s="533"/>
      <c r="L250" s="533"/>
      <c r="M250" s="533"/>
      <c r="N250" s="533"/>
      <c r="O250" s="533"/>
      <c r="P250" s="533"/>
      <c r="Q250" s="533"/>
      <c r="R250" s="533"/>
      <c r="S250" s="533"/>
      <c r="T250" s="325">
        <f t="shared" si="3"/>
        <v>16320</v>
      </c>
    </row>
    <row r="251" spans="1:20" s="534" customFormat="1" ht="18.75" x14ac:dyDescent="0.3">
      <c r="A251" s="512" t="s">
        <v>583</v>
      </c>
      <c r="B251" s="512">
        <v>43742</v>
      </c>
      <c r="C251" s="521">
        <v>3790</v>
      </c>
      <c r="D251" s="329" t="s">
        <v>646</v>
      </c>
      <c r="E251" s="328" t="s">
        <v>585</v>
      </c>
      <c r="F251" s="522">
        <v>190900</v>
      </c>
      <c r="G251" s="324" t="s">
        <v>1114</v>
      </c>
      <c r="H251" s="324">
        <v>2019</v>
      </c>
      <c r="I251" s="522">
        <v>190900</v>
      </c>
      <c r="J251" s="533"/>
      <c r="K251" s="533"/>
      <c r="L251" s="533"/>
      <c r="M251" s="533"/>
      <c r="N251" s="533"/>
      <c r="O251" s="533"/>
      <c r="P251" s="533"/>
      <c r="Q251" s="533"/>
      <c r="R251" s="533"/>
      <c r="S251" s="533"/>
      <c r="T251" s="325">
        <f t="shared" si="3"/>
        <v>190900</v>
      </c>
    </row>
    <row r="252" spans="1:20" s="534" customFormat="1" ht="18.75" x14ac:dyDescent="0.3">
      <c r="A252" s="512" t="s">
        <v>583</v>
      </c>
      <c r="B252" s="512">
        <v>43761</v>
      </c>
      <c r="C252" s="521">
        <v>3865</v>
      </c>
      <c r="D252" s="329" t="s">
        <v>647</v>
      </c>
      <c r="E252" s="328" t="s">
        <v>585</v>
      </c>
      <c r="F252" s="522">
        <v>194300</v>
      </c>
      <c r="G252" s="324" t="s">
        <v>1114</v>
      </c>
      <c r="H252" s="324">
        <v>2019</v>
      </c>
      <c r="I252" s="522">
        <v>194300</v>
      </c>
      <c r="J252" s="533"/>
      <c r="K252" s="533"/>
      <c r="L252" s="533"/>
      <c r="M252" s="533"/>
      <c r="N252" s="533"/>
      <c r="O252" s="533"/>
      <c r="P252" s="533"/>
      <c r="Q252" s="533"/>
      <c r="R252" s="533"/>
      <c r="S252" s="533"/>
      <c r="T252" s="325">
        <f t="shared" si="3"/>
        <v>194300</v>
      </c>
    </row>
    <row r="253" spans="1:20" s="534" customFormat="1" ht="18.75" x14ac:dyDescent="0.3">
      <c r="A253" s="513" t="s">
        <v>648</v>
      </c>
      <c r="B253" s="528">
        <v>43767</v>
      </c>
      <c r="C253" s="529">
        <v>3873</v>
      </c>
      <c r="D253" s="339" t="s">
        <v>649</v>
      </c>
      <c r="E253" s="340" t="s">
        <v>650</v>
      </c>
      <c r="F253" s="530">
        <v>116448.3</v>
      </c>
      <c r="G253" s="324" t="s">
        <v>1114</v>
      </c>
      <c r="H253" s="324">
        <v>2019</v>
      </c>
      <c r="I253" s="530">
        <v>116448.3</v>
      </c>
      <c r="J253" s="533"/>
      <c r="K253" s="533"/>
      <c r="L253" s="533"/>
      <c r="M253" s="533"/>
      <c r="N253" s="533"/>
      <c r="O253" s="533"/>
      <c r="P253" s="533"/>
      <c r="Q253" s="533"/>
      <c r="R253" s="533"/>
      <c r="S253" s="533"/>
      <c r="T253" s="325">
        <f t="shared" si="3"/>
        <v>116448.3</v>
      </c>
    </row>
    <row r="254" spans="1:20" s="534" customFormat="1" ht="18.75" x14ac:dyDescent="0.3">
      <c r="A254" s="512" t="s">
        <v>583</v>
      </c>
      <c r="B254" s="512">
        <v>43768</v>
      </c>
      <c r="C254" s="521"/>
      <c r="D254" s="329" t="s">
        <v>651</v>
      </c>
      <c r="E254" s="328" t="s">
        <v>612</v>
      </c>
      <c r="F254" s="522">
        <v>23709</v>
      </c>
      <c r="G254" s="324" t="s">
        <v>1114</v>
      </c>
      <c r="H254" s="324">
        <v>2019</v>
      </c>
      <c r="I254" s="522">
        <v>23709</v>
      </c>
      <c r="J254" s="533"/>
      <c r="K254" s="533"/>
      <c r="L254" s="533"/>
      <c r="M254" s="533"/>
      <c r="N254" s="533"/>
      <c r="O254" s="533"/>
      <c r="P254" s="533"/>
      <c r="Q254" s="533"/>
      <c r="R254" s="533"/>
      <c r="S254" s="533"/>
      <c r="T254" s="325">
        <f t="shared" si="3"/>
        <v>23709</v>
      </c>
    </row>
    <row r="255" spans="1:20" s="534" customFormat="1" ht="18.75" x14ac:dyDescent="0.3">
      <c r="A255" s="512" t="s">
        <v>583</v>
      </c>
      <c r="B255" s="512">
        <v>43777</v>
      </c>
      <c r="C255" s="521">
        <v>3927</v>
      </c>
      <c r="D255" s="329" t="s">
        <v>651</v>
      </c>
      <c r="E255" s="328" t="s">
        <v>585</v>
      </c>
      <c r="F255" s="522">
        <v>183000</v>
      </c>
      <c r="G255" s="324" t="s">
        <v>1114</v>
      </c>
      <c r="H255" s="324">
        <v>2019</v>
      </c>
      <c r="I255" s="522">
        <v>183000</v>
      </c>
      <c r="J255" s="533"/>
      <c r="K255" s="533"/>
      <c r="L255" s="533"/>
      <c r="M255" s="533"/>
      <c r="N255" s="533"/>
      <c r="O255" s="533"/>
      <c r="P255" s="533"/>
      <c r="Q255" s="533"/>
      <c r="R255" s="533"/>
      <c r="S255" s="533"/>
      <c r="T255" s="325">
        <f t="shared" si="3"/>
        <v>183000</v>
      </c>
    </row>
    <row r="256" spans="1:20" s="534" customFormat="1" ht="18.75" x14ac:dyDescent="0.3">
      <c r="A256" s="513" t="s">
        <v>648</v>
      </c>
      <c r="B256" s="528">
        <v>43787</v>
      </c>
      <c r="C256" s="529">
        <v>3946</v>
      </c>
      <c r="D256" s="339" t="s">
        <v>652</v>
      </c>
      <c r="E256" s="340" t="s">
        <v>653</v>
      </c>
      <c r="F256" s="530">
        <v>232896.6</v>
      </c>
      <c r="G256" s="324" t="s">
        <v>1114</v>
      </c>
      <c r="H256" s="324">
        <v>2019</v>
      </c>
      <c r="I256" s="530">
        <v>232896.6</v>
      </c>
      <c r="J256" s="533"/>
      <c r="K256" s="533"/>
      <c r="L256" s="533"/>
      <c r="M256" s="533"/>
      <c r="N256" s="533"/>
      <c r="O256" s="533"/>
      <c r="P256" s="533"/>
      <c r="Q256" s="533"/>
      <c r="R256" s="533"/>
      <c r="S256" s="533"/>
      <c r="T256" s="325">
        <f t="shared" si="3"/>
        <v>232896.6</v>
      </c>
    </row>
    <row r="257" spans="1:20" s="534" customFormat="1" ht="18.75" x14ac:dyDescent="0.3">
      <c r="A257" s="513" t="s">
        <v>648</v>
      </c>
      <c r="B257" s="528">
        <v>43819</v>
      </c>
      <c r="C257" s="529">
        <v>4045</v>
      </c>
      <c r="D257" s="339" t="s">
        <v>642</v>
      </c>
      <c r="E257" s="340" t="s">
        <v>653</v>
      </c>
      <c r="F257" s="530">
        <v>232896.6</v>
      </c>
      <c r="G257" s="324" t="s">
        <v>1114</v>
      </c>
      <c r="H257" s="324">
        <v>2019</v>
      </c>
      <c r="I257" s="530">
        <v>232896.6</v>
      </c>
      <c r="J257" s="533"/>
      <c r="K257" s="533"/>
      <c r="L257" s="533"/>
      <c r="M257" s="533"/>
      <c r="N257" s="533"/>
      <c r="O257" s="533"/>
      <c r="P257" s="533"/>
      <c r="Q257" s="533"/>
      <c r="R257" s="533"/>
      <c r="S257" s="533"/>
      <c r="T257" s="325">
        <f t="shared" si="3"/>
        <v>232896.6</v>
      </c>
    </row>
    <row r="258" spans="1:20" s="534" customFormat="1" ht="18.75" x14ac:dyDescent="0.3">
      <c r="A258" s="512" t="s">
        <v>256</v>
      </c>
      <c r="B258" s="513">
        <v>43830</v>
      </c>
      <c r="C258" s="514"/>
      <c r="D258" s="321" t="s">
        <v>654</v>
      </c>
      <c r="E258" s="322" t="s">
        <v>466</v>
      </c>
      <c r="F258" s="515">
        <v>836352</v>
      </c>
      <c r="G258" s="324" t="s">
        <v>1114</v>
      </c>
      <c r="H258" s="324">
        <v>2019</v>
      </c>
      <c r="I258" s="515">
        <v>836352</v>
      </c>
      <c r="J258" s="533"/>
      <c r="K258" s="533"/>
      <c r="L258" s="533"/>
      <c r="M258" s="533"/>
      <c r="N258" s="533"/>
      <c r="O258" s="533"/>
      <c r="P258" s="533"/>
      <c r="Q258" s="533"/>
      <c r="R258" s="533"/>
      <c r="S258" s="533"/>
      <c r="T258" s="325">
        <f t="shared" si="3"/>
        <v>836352</v>
      </c>
    </row>
    <row r="259" spans="1:20" s="534" customFormat="1" ht="18.75" x14ac:dyDescent="0.3">
      <c r="A259" s="513" t="s">
        <v>648</v>
      </c>
      <c r="B259" s="528">
        <v>43881</v>
      </c>
      <c r="C259" s="529"/>
      <c r="D259" s="339" t="s">
        <v>655</v>
      </c>
      <c r="E259" s="340" t="s">
        <v>653</v>
      </c>
      <c r="F259" s="530">
        <v>382241.5</v>
      </c>
      <c r="G259" s="324" t="s">
        <v>1114</v>
      </c>
      <c r="H259" s="533">
        <v>2020</v>
      </c>
      <c r="I259" s="533"/>
      <c r="J259" s="530">
        <v>382241.5</v>
      </c>
      <c r="K259" s="533"/>
      <c r="L259" s="533"/>
      <c r="M259" s="533"/>
      <c r="N259" s="533"/>
      <c r="O259" s="533"/>
      <c r="P259" s="533"/>
      <c r="Q259" s="533"/>
      <c r="R259" s="533"/>
      <c r="S259" s="533"/>
      <c r="T259" s="325">
        <f t="shared" si="3"/>
        <v>382241.5</v>
      </c>
    </row>
    <row r="260" spans="1:20" s="534" customFormat="1" ht="18.75" x14ac:dyDescent="0.3">
      <c r="A260" s="512" t="s">
        <v>656</v>
      </c>
      <c r="B260" s="513">
        <v>44769</v>
      </c>
      <c r="C260" s="514" t="s">
        <v>1117</v>
      </c>
      <c r="D260" s="321" t="s">
        <v>657</v>
      </c>
      <c r="E260" s="322" t="s">
        <v>658</v>
      </c>
      <c r="F260" s="515">
        <v>63720</v>
      </c>
      <c r="G260" s="324" t="s">
        <v>1114</v>
      </c>
      <c r="H260" s="533">
        <v>2022</v>
      </c>
      <c r="I260" s="533"/>
      <c r="J260" s="533"/>
      <c r="K260" s="533"/>
      <c r="L260" s="515">
        <v>63720</v>
      </c>
      <c r="M260" s="533"/>
      <c r="N260" s="533"/>
      <c r="O260" s="533"/>
      <c r="P260" s="533"/>
      <c r="Q260" s="533"/>
      <c r="R260" s="533"/>
      <c r="S260" s="533"/>
      <c r="T260" s="325">
        <f t="shared" si="3"/>
        <v>63720</v>
      </c>
    </row>
    <row r="261" spans="1:20" s="534" customFormat="1" ht="18.75" x14ac:dyDescent="0.3">
      <c r="A261" s="512" t="s">
        <v>659</v>
      </c>
      <c r="B261" s="527">
        <v>44848</v>
      </c>
      <c r="C261" s="531" t="s">
        <v>660</v>
      </c>
      <c r="D261" s="341" t="s">
        <v>661</v>
      </c>
      <c r="E261" s="344" t="s">
        <v>541</v>
      </c>
      <c r="F261" s="532">
        <v>180151</v>
      </c>
      <c r="G261" s="324" t="s">
        <v>1114</v>
      </c>
      <c r="H261" s="533">
        <v>2022</v>
      </c>
      <c r="I261" s="533"/>
      <c r="J261" s="533"/>
      <c r="K261" s="533"/>
      <c r="L261" s="532">
        <v>180151</v>
      </c>
      <c r="M261" s="533"/>
      <c r="N261" s="533"/>
      <c r="O261" s="533"/>
      <c r="P261" s="533"/>
      <c r="Q261" s="533"/>
      <c r="R261" s="533"/>
      <c r="S261" s="533"/>
      <c r="T261" s="325">
        <f t="shared" si="3"/>
        <v>180151</v>
      </c>
    </row>
    <row r="262" spans="1:20" ht="18.75" x14ac:dyDescent="0.3">
      <c r="A262" s="512" t="s">
        <v>271</v>
      </c>
      <c r="B262" s="512">
        <v>44865</v>
      </c>
      <c r="C262" s="521" t="s">
        <v>662</v>
      </c>
      <c r="D262" s="321" t="s">
        <v>663</v>
      </c>
      <c r="E262" s="328" t="s">
        <v>680</v>
      </c>
      <c r="F262" s="522">
        <v>14300</v>
      </c>
      <c r="G262" s="324" t="s">
        <v>1114</v>
      </c>
      <c r="H262" s="533">
        <v>2022</v>
      </c>
      <c r="I262" s="324"/>
      <c r="J262" s="324"/>
      <c r="K262" s="324"/>
      <c r="L262" s="522">
        <v>14300</v>
      </c>
      <c r="M262" s="324"/>
      <c r="N262" s="324"/>
      <c r="O262" s="324"/>
      <c r="P262" s="324"/>
      <c r="Q262" s="324"/>
      <c r="R262" s="324"/>
      <c r="S262" s="324"/>
      <c r="T262" s="325">
        <f t="shared" si="3"/>
        <v>14300</v>
      </c>
    </row>
    <row r="263" spans="1:20" ht="18.75" x14ac:dyDescent="0.3">
      <c r="A263" s="512" t="s">
        <v>664</v>
      </c>
      <c r="B263" s="513">
        <v>44874</v>
      </c>
      <c r="C263" s="514">
        <v>287</v>
      </c>
      <c r="D263" s="321" t="s">
        <v>636</v>
      </c>
      <c r="E263" s="322" t="s">
        <v>665</v>
      </c>
      <c r="F263" s="515">
        <f>250000-200000</f>
        <v>50000</v>
      </c>
      <c r="G263" s="324" t="s">
        <v>1114</v>
      </c>
      <c r="H263" s="533">
        <v>2022</v>
      </c>
      <c r="I263" s="324"/>
      <c r="J263" s="324"/>
      <c r="K263" s="324"/>
      <c r="L263" s="515">
        <f>250000-200000</f>
        <v>50000</v>
      </c>
      <c r="M263" s="324"/>
      <c r="N263" s="324"/>
      <c r="O263" s="324"/>
      <c r="P263" s="324"/>
      <c r="Q263" s="324"/>
      <c r="R263" s="324"/>
      <c r="S263" s="324"/>
      <c r="T263" s="325">
        <f t="shared" si="3"/>
        <v>50000</v>
      </c>
    </row>
    <row r="264" spans="1:20" ht="18.75" x14ac:dyDescent="0.3">
      <c r="A264" s="319" t="s">
        <v>666</v>
      </c>
      <c r="B264" s="512">
        <v>44881</v>
      </c>
      <c r="C264" s="535" t="s">
        <v>667</v>
      </c>
      <c r="D264" s="320" t="s">
        <v>668</v>
      </c>
      <c r="E264" s="345" t="s">
        <v>669</v>
      </c>
      <c r="F264" s="522">
        <v>259600</v>
      </c>
      <c r="G264" s="324" t="s">
        <v>1114</v>
      </c>
      <c r="H264" s="533">
        <v>2022</v>
      </c>
      <c r="I264" s="324"/>
      <c r="J264" s="324"/>
      <c r="K264" s="324"/>
      <c r="L264" s="522">
        <v>259600</v>
      </c>
      <c r="M264" s="324"/>
      <c r="N264" s="324"/>
      <c r="O264" s="324"/>
      <c r="P264" s="324"/>
      <c r="Q264" s="324"/>
      <c r="R264" s="324"/>
      <c r="S264" s="324"/>
      <c r="T264" s="325">
        <f t="shared" si="3"/>
        <v>259600</v>
      </c>
    </row>
    <row r="265" spans="1:20" ht="18.75" x14ac:dyDescent="0.3">
      <c r="A265" s="512" t="s">
        <v>237</v>
      </c>
      <c r="B265" s="527">
        <v>44888</v>
      </c>
      <c r="C265" s="531"/>
      <c r="D265" s="346" t="s">
        <v>670</v>
      </c>
      <c r="E265" s="344" t="s">
        <v>671</v>
      </c>
      <c r="F265" s="532">
        <v>12921</v>
      </c>
      <c r="G265" s="324" t="s">
        <v>1114</v>
      </c>
      <c r="H265" s="533">
        <v>2022</v>
      </c>
      <c r="I265" s="324"/>
      <c r="J265" s="324"/>
      <c r="K265" s="324"/>
      <c r="L265" s="532">
        <v>12921</v>
      </c>
      <c r="M265" s="324"/>
      <c r="N265" s="324"/>
      <c r="O265" s="324"/>
      <c r="P265" s="324"/>
      <c r="Q265" s="324"/>
      <c r="R265" s="324"/>
      <c r="S265" s="324"/>
      <c r="T265" s="325">
        <f t="shared" si="3"/>
        <v>12921</v>
      </c>
    </row>
    <row r="266" spans="1:20" ht="18.75" x14ac:dyDescent="0.3">
      <c r="A266" s="512" t="s">
        <v>672</v>
      </c>
      <c r="B266" s="513">
        <v>44930</v>
      </c>
      <c r="C266" s="514" t="s">
        <v>673</v>
      </c>
      <c r="D266" s="321" t="s">
        <v>674</v>
      </c>
      <c r="E266" s="322" t="s">
        <v>675</v>
      </c>
      <c r="F266" s="515">
        <f>734045.85-350000</f>
        <v>384045.85</v>
      </c>
      <c r="G266" s="324" t="s">
        <v>1114</v>
      </c>
      <c r="H266" s="324">
        <v>2023</v>
      </c>
      <c r="I266" s="324"/>
      <c r="J266" s="324"/>
      <c r="K266" s="324"/>
      <c r="L266" s="324"/>
      <c r="M266" s="515">
        <f>734045.85-350000</f>
        <v>384045.85</v>
      </c>
      <c r="N266" s="324"/>
      <c r="O266" s="324"/>
      <c r="P266" s="324"/>
      <c r="Q266" s="324"/>
      <c r="R266" s="324"/>
      <c r="S266" s="324"/>
      <c r="T266" s="325">
        <f t="shared" si="3"/>
        <v>384045.85</v>
      </c>
    </row>
    <row r="267" spans="1:20" ht="18.75" x14ac:dyDescent="0.3">
      <c r="A267" s="512" t="s">
        <v>288</v>
      </c>
      <c r="B267" s="513">
        <v>44937</v>
      </c>
      <c r="C267" s="514"/>
      <c r="D267" s="321" t="s">
        <v>1068</v>
      </c>
      <c r="E267" s="322" t="s">
        <v>1069</v>
      </c>
      <c r="F267" s="515">
        <v>102960</v>
      </c>
      <c r="G267" s="324" t="s">
        <v>1114</v>
      </c>
      <c r="H267" s="324">
        <v>2023</v>
      </c>
      <c r="I267" s="324"/>
      <c r="J267" s="324"/>
      <c r="K267" s="324"/>
      <c r="L267" s="324"/>
      <c r="M267" s="515">
        <v>102960</v>
      </c>
      <c r="N267" s="324"/>
      <c r="O267" s="324"/>
      <c r="P267" s="324"/>
      <c r="Q267" s="324"/>
      <c r="R267" s="324"/>
      <c r="S267" s="324"/>
      <c r="T267" s="325">
        <f t="shared" ref="T267:T330" si="4">SUM(I267:S267)</f>
        <v>102960</v>
      </c>
    </row>
    <row r="268" spans="1:20" ht="18.75" x14ac:dyDescent="0.3">
      <c r="A268" s="513" t="s">
        <v>264</v>
      </c>
      <c r="B268" s="527">
        <v>44938</v>
      </c>
      <c r="C268" s="531" t="s">
        <v>676</v>
      </c>
      <c r="D268" s="342" t="s">
        <v>677</v>
      </c>
      <c r="E268" s="344" t="s">
        <v>678</v>
      </c>
      <c r="F268" s="532">
        <f>708162.1-200000-400000</f>
        <v>108162.09999999998</v>
      </c>
      <c r="G268" s="324" t="s">
        <v>1114</v>
      </c>
      <c r="H268" s="324">
        <v>2023</v>
      </c>
      <c r="I268" s="324"/>
      <c r="J268" s="324"/>
      <c r="K268" s="324"/>
      <c r="L268" s="324"/>
      <c r="M268" s="532">
        <f>708162.1-200000-400000</f>
        <v>108162.09999999998</v>
      </c>
      <c r="N268" s="324"/>
      <c r="O268" s="324"/>
      <c r="P268" s="324"/>
      <c r="Q268" s="324"/>
      <c r="R268" s="324"/>
      <c r="S268" s="324"/>
      <c r="T268" s="325">
        <f t="shared" si="4"/>
        <v>108162.09999999998</v>
      </c>
    </row>
    <row r="269" spans="1:20" ht="18.75" x14ac:dyDescent="0.3">
      <c r="A269" s="512" t="s">
        <v>271</v>
      </c>
      <c r="B269" s="512">
        <v>44943</v>
      </c>
      <c r="C269" s="521" t="s">
        <v>1036</v>
      </c>
      <c r="D269" s="321" t="s">
        <v>1037</v>
      </c>
      <c r="E269" s="328" t="s">
        <v>680</v>
      </c>
      <c r="F269" s="522">
        <v>61360</v>
      </c>
      <c r="G269" s="324" t="s">
        <v>1114</v>
      </c>
      <c r="H269" s="324">
        <v>2023</v>
      </c>
      <c r="I269" s="324"/>
      <c r="J269" s="324"/>
      <c r="K269" s="324"/>
      <c r="L269" s="324"/>
      <c r="M269" s="522">
        <v>61360</v>
      </c>
      <c r="N269" s="324"/>
      <c r="O269" s="324"/>
      <c r="P269" s="324"/>
      <c r="Q269" s="324"/>
      <c r="R269" s="324"/>
      <c r="S269" s="324"/>
      <c r="T269" s="325">
        <f t="shared" si="4"/>
        <v>61360</v>
      </c>
    </row>
    <row r="270" spans="1:20" ht="18.75" x14ac:dyDescent="0.3">
      <c r="A270" s="512" t="s">
        <v>681</v>
      </c>
      <c r="B270" s="513">
        <v>44943</v>
      </c>
      <c r="C270" s="514" t="s">
        <v>682</v>
      </c>
      <c r="D270" s="321" t="s">
        <v>683</v>
      </c>
      <c r="E270" s="322" t="s">
        <v>684</v>
      </c>
      <c r="F270" s="515">
        <v>68650</v>
      </c>
      <c r="G270" s="324" t="s">
        <v>1114</v>
      </c>
      <c r="H270" s="324">
        <v>2023</v>
      </c>
      <c r="I270" s="324"/>
      <c r="J270" s="324"/>
      <c r="K270" s="324"/>
      <c r="L270" s="324"/>
      <c r="M270" s="515">
        <v>68650</v>
      </c>
      <c r="N270" s="324"/>
      <c r="O270" s="324"/>
      <c r="P270" s="324"/>
      <c r="Q270" s="324"/>
      <c r="R270" s="324"/>
      <c r="S270" s="324"/>
      <c r="T270" s="325">
        <f t="shared" si="4"/>
        <v>68650</v>
      </c>
    </row>
    <row r="271" spans="1:20" ht="18.75" x14ac:dyDescent="0.3">
      <c r="A271" s="512" t="s">
        <v>672</v>
      </c>
      <c r="B271" s="513">
        <v>44957</v>
      </c>
      <c r="C271" s="514" t="s">
        <v>687</v>
      </c>
      <c r="D271" s="321" t="s">
        <v>688</v>
      </c>
      <c r="E271" s="322" t="s">
        <v>689</v>
      </c>
      <c r="F271" s="515">
        <v>286982.99</v>
      </c>
      <c r="G271" s="324" t="s">
        <v>1114</v>
      </c>
      <c r="H271" s="324">
        <v>2023</v>
      </c>
      <c r="I271" s="324"/>
      <c r="J271" s="324"/>
      <c r="K271" s="324"/>
      <c r="L271" s="324"/>
      <c r="M271" s="515">
        <v>286982.99</v>
      </c>
      <c r="N271" s="324"/>
      <c r="O271" s="324"/>
      <c r="P271" s="324"/>
      <c r="Q271" s="324"/>
      <c r="R271" s="324"/>
      <c r="S271" s="324"/>
      <c r="T271" s="325">
        <f t="shared" si="4"/>
        <v>286982.99</v>
      </c>
    </row>
    <row r="272" spans="1:20" ht="18.75" x14ac:dyDescent="0.3">
      <c r="A272" s="513" t="s">
        <v>302</v>
      </c>
      <c r="B272" s="513">
        <v>44963</v>
      </c>
      <c r="C272" s="514" t="s">
        <v>690</v>
      </c>
      <c r="D272" s="321" t="s">
        <v>691</v>
      </c>
      <c r="E272" s="322" t="s">
        <v>692</v>
      </c>
      <c r="F272" s="515">
        <v>11375</v>
      </c>
      <c r="G272" s="324" t="s">
        <v>1114</v>
      </c>
      <c r="H272" s="324">
        <v>2023</v>
      </c>
      <c r="I272" s="324"/>
      <c r="J272" s="324"/>
      <c r="K272" s="324"/>
      <c r="L272" s="324"/>
      <c r="M272" s="515">
        <v>11375</v>
      </c>
      <c r="N272" s="324"/>
      <c r="O272" s="324"/>
      <c r="P272" s="324"/>
      <c r="Q272" s="324"/>
      <c r="R272" s="324"/>
      <c r="S272" s="324"/>
      <c r="T272" s="325">
        <f t="shared" si="4"/>
        <v>11375</v>
      </c>
    </row>
    <row r="273" spans="1:20" ht="18.75" x14ac:dyDescent="0.3">
      <c r="A273" s="513" t="s">
        <v>253</v>
      </c>
      <c r="B273" s="513">
        <v>44973</v>
      </c>
      <c r="C273" s="514" t="s">
        <v>699</v>
      </c>
      <c r="D273" s="321" t="s">
        <v>700</v>
      </c>
      <c r="E273" s="322" t="s">
        <v>701</v>
      </c>
      <c r="F273" s="515">
        <v>1650</v>
      </c>
      <c r="G273" s="324" t="s">
        <v>1114</v>
      </c>
      <c r="H273" s="324">
        <v>2023</v>
      </c>
      <c r="I273" s="324"/>
      <c r="J273" s="324"/>
      <c r="K273" s="324"/>
      <c r="L273" s="324"/>
      <c r="M273" s="515">
        <v>1650</v>
      </c>
      <c r="N273" s="324"/>
      <c r="O273" s="324"/>
      <c r="P273" s="324"/>
      <c r="Q273" s="324"/>
      <c r="R273" s="324"/>
      <c r="S273" s="324"/>
      <c r="T273" s="325">
        <f t="shared" si="4"/>
        <v>1650</v>
      </c>
    </row>
    <row r="274" spans="1:20" ht="18.75" x14ac:dyDescent="0.3">
      <c r="A274" s="513" t="s">
        <v>253</v>
      </c>
      <c r="B274" s="513">
        <v>44980</v>
      </c>
      <c r="C274" s="514" t="s">
        <v>702</v>
      </c>
      <c r="D274" s="321" t="s">
        <v>703</v>
      </c>
      <c r="E274" s="322" t="s">
        <v>701</v>
      </c>
      <c r="F274" s="515">
        <v>1650</v>
      </c>
      <c r="G274" s="324" t="s">
        <v>1114</v>
      </c>
      <c r="H274" s="324">
        <v>2023</v>
      </c>
      <c r="I274" s="324"/>
      <c r="J274" s="324"/>
      <c r="K274" s="324"/>
      <c r="L274" s="324"/>
      <c r="M274" s="515">
        <v>1650</v>
      </c>
      <c r="N274" s="324"/>
      <c r="O274" s="324"/>
      <c r="P274" s="324"/>
      <c r="Q274" s="324"/>
      <c r="R274" s="324"/>
      <c r="S274" s="324"/>
      <c r="T274" s="325">
        <f t="shared" si="4"/>
        <v>1650</v>
      </c>
    </row>
    <row r="275" spans="1:20" ht="18.75" x14ac:dyDescent="0.3">
      <c r="A275" s="512" t="s">
        <v>685</v>
      </c>
      <c r="B275" s="512">
        <v>44985</v>
      </c>
      <c r="C275" s="536"/>
      <c r="D275" s="326" t="s">
        <v>705</v>
      </c>
      <c r="E275" s="347" t="s">
        <v>686</v>
      </c>
      <c r="F275" s="522">
        <v>37375</v>
      </c>
      <c r="G275" s="324" t="s">
        <v>1114</v>
      </c>
      <c r="H275" s="324">
        <v>2023</v>
      </c>
      <c r="I275" s="324"/>
      <c r="J275" s="324"/>
      <c r="K275" s="324"/>
      <c r="L275" s="324"/>
      <c r="M275" s="522">
        <v>37375</v>
      </c>
      <c r="N275" s="324"/>
      <c r="O275" s="324"/>
      <c r="P275" s="324"/>
      <c r="Q275" s="324"/>
      <c r="R275" s="324"/>
      <c r="S275" s="324"/>
      <c r="T275" s="325">
        <f t="shared" si="4"/>
        <v>37375</v>
      </c>
    </row>
    <row r="276" spans="1:20" ht="18.75" x14ac:dyDescent="0.3">
      <c r="A276" s="513" t="s">
        <v>253</v>
      </c>
      <c r="B276" s="513">
        <v>44987</v>
      </c>
      <c r="C276" s="514"/>
      <c r="D276" s="321" t="s">
        <v>706</v>
      </c>
      <c r="E276" s="322" t="s">
        <v>701</v>
      </c>
      <c r="F276" s="515">
        <v>1100</v>
      </c>
      <c r="G276" s="324" t="s">
        <v>1114</v>
      </c>
      <c r="H276" s="324">
        <v>2023</v>
      </c>
      <c r="I276" s="324"/>
      <c r="J276" s="324"/>
      <c r="K276" s="324"/>
      <c r="L276" s="324"/>
      <c r="M276" s="515">
        <v>1100</v>
      </c>
      <c r="N276" s="324"/>
      <c r="O276" s="324"/>
      <c r="P276" s="324"/>
      <c r="Q276" s="324"/>
      <c r="R276" s="324"/>
      <c r="S276" s="324"/>
      <c r="T276" s="325">
        <f t="shared" si="4"/>
        <v>1100</v>
      </c>
    </row>
    <row r="277" spans="1:20" ht="18.75" x14ac:dyDescent="0.3">
      <c r="A277" s="518" t="s">
        <v>708</v>
      </c>
      <c r="B277" s="513">
        <v>44991</v>
      </c>
      <c r="C277" s="514" t="s">
        <v>709</v>
      </c>
      <c r="D277" s="321" t="s">
        <v>1118</v>
      </c>
      <c r="E277" s="322" t="s">
        <v>710</v>
      </c>
      <c r="F277" s="515">
        <v>214288</v>
      </c>
      <c r="G277" s="324" t="s">
        <v>1114</v>
      </c>
      <c r="H277" s="324">
        <v>2023</v>
      </c>
      <c r="I277" s="324"/>
      <c r="J277" s="324"/>
      <c r="K277" s="324"/>
      <c r="L277" s="324"/>
      <c r="M277" s="515">
        <v>214288</v>
      </c>
      <c r="N277" s="324"/>
      <c r="O277" s="324"/>
      <c r="P277" s="324"/>
      <c r="Q277" s="324"/>
      <c r="R277" s="324"/>
      <c r="S277" s="324"/>
      <c r="T277" s="325">
        <f t="shared" si="4"/>
        <v>214288</v>
      </c>
    </row>
    <row r="278" spans="1:20" ht="18.75" x14ac:dyDescent="0.3">
      <c r="A278" s="513" t="s">
        <v>253</v>
      </c>
      <c r="B278" s="513">
        <v>44994</v>
      </c>
      <c r="C278" s="514"/>
      <c r="D278" s="321" t="s">
        <v>711</v>
      </c>
      <c r="E278" s="322" t="s">
        <v>701</v>
      </c>
      <c r="F278" s="515">
        <v>1650</v>
      </c>
      <c r="G278" s="324" t="s">
        <v>1114</v>
      </c>
      <c r="H278" s="324">
        <v>2023</v>
      </c>
      <c r="I278" s="324"/>
      <c r="J278" s="324"/>
      <c r="K278" s="324"/>
      <c r="L278" s="324"/>
      <c r="M278" s="515">
        <v>1650</v>
      </c>
      <c r="N278" s="324"/>
      <c r="O278" s="324"/>
      <c r="P278" s="324"/>
      <c r="Q278" s="324"/>
      <c r="R278" s="324"/>
      <c r="S278" s="324"/>
      <c r="T278" s="325">
        <f t="shared" si="4"/>
        <v>1650</v>
      </c>
    </row>
    <row r="279" spans="1:20" ht="18.75" x14ac:dyDescent="0.3">
      <c r="A279" s="512" t="s">
        <v>664</v>
      </c>
      <c r="B279" s="513">
        <v>44999</v>
      </c>
      <c r="C279" s="514" t="s">
        <v>712</v>
      </c>
      <c r="D279" s="321" t="s">
        <v>713</v>
      </c>
      <c r="E279" s="322" t="s">
        <v>714</v>
      </c>
      <c r="F279" s="515">
        <v>560500</v>
      </c>
      <c r="G279" s="324" t="s">
        <v>1114</v>
      </c>
      <c r="H279" s="324">
        <v>2023</v>
      </c>
      <c r="I279" s="324"/>
      <c r="J279" s="324"/>
      <c r="K279" s="324"/>
      <c r="L279" s="324"/>
      <c r="M279" s="515">
        <v>560500</v>
      </c>
      <c r="N279" s="324"/>
      <c r="O279" s="324"/>
      <c r="P279" s="324"/>
      <c r="Q279" s="324"/>
      <c r="R279" s="324"/>
      <c r="S279" s="324"/>
      <c r="T279" s="325">
        <f t="shared" si="4"/>
        <v>560500</v>
      </c>
    </row>
    <row r="280" spans="1:20" ht="18.75" x14ac:dyDescent="0.3">
      <c r="A280" s="512" t="s">
        <v>271</v>
      </c>
      <c r="B280" s="512">
        <v>45001</v>
      </c>
      <c r="C280" s="521" t="s">
        <v>715</v>
      </c>
      <c r="D280" s="321" t="s">
        <v>716</v>
      </c>
      <c r="E280" s="328" t="s">
        <v>680</v>
      </c>
      <c r="F280" s="522">
        <v>141600</v>
      </c>
      <c r="G280" s="324" t="s">
        <v>1114</v>
      </c>
      <c r="H280" s="324">
        <v>2023</v>
      </c>
      <c r="I280" s="324"/>
      <c r="J280" s="324"/>
      <c r="K280" s="324"/>
      <c r="L280" s="324"/>
      <c r="M280" s="522">
        <v>141600</v>
      </c>
      <c r="N280" s="324"/>
      <c r="O280" s="324"/>
      <c r="P280" s="324"/>
      <c r="Q280" s="324"/>
      <c r="R280" s="324"/>
      <c r="S280" s="324"/>
      <c r="T280" s="325">
        <f t="shared" si="4"/>
        <v>141600</v>
      </c>
    </row>
    <row r="281" spans="1:20" ht="18.75" x14ac:dyDescent="0.3">
      <c r="A281" s="513" t="s">
        <v>254</v>
      </c>
      <c r="B281" s="513">
        <v>45009</v>
      </c>
      <c r="C281" s="514" t="s">
        <v>717</v>
      </c>
      <c r="D281" s="321" t="s">
        <v>634</v>
      </c>
      <c r="E281" s="322" t="s">
        <v>718</v>
      </c>
      <c r="F281" s="515">
        <v>88116</v>
      </c>
      <c r="G281" s="324" t="s">
        <v>1114</v>
      </c>
      <c r="H281" s="324">
        <v>2023</v>
      </c>
      <c r="I281" s="324"/>
      <c r="J281" s="324"/>
      <c r="K281" s="324"/>
      <c r="L281" s="324"/>
      <c r="M281" s="515">
        <v>88116</v>
      </c>
      <c r="N281" s="324"/>
      <c r="O281" s="324"/>
      <c r="P281" s="324"/>
      <c r="Q281" s="324"/>
      <c r="R281" s="324"/>
      <c r="S281" s="324"/>
      <c r="T281" s="325">
        <f t="shared" si="4"/>
        <v>88116</v>
      </c>
    </row>
    <row r="282" spans="1:20" ht="18.75" x14ac:dyDescent="0.3">
      <c r="A282" s="319" t="s">
        <v>719</v>
      </c>
      <c r="B282" s="512">
        <v>45012</v>
      </c>
      <c r="C282" s="524" t="s">
        <v>720</v>
      </c>
      <c r="D282" s="329" t="s">
        <v>630</v>
      </c>
      <c r="E282" s="524" t="s">
        <v>721</v>
      </c>
      <c r="F282" s="522">
        <v>204321.46</v>
      </c>
      <c r="G282" s="324" t="s">
        <v>1114</v>
      </c>
      <c r="H282" s="324">
        <v>2023</v>
      </c>
      <c r="I282" s="324"/>
      <c r="J282" s="324"/>
      <c r="K282" s="324"/>
      <c r="L282" s="324"/>
      <c r="M282" s="522">
        <v>204321.46</v>
      </c>
      <c r="N282" s="324"/>
      <c r="O282" s="324"/>
      <c r="P282" s="324"/>
      <c r="Q282" s="324"/>
      <c r="R282" s="324"/>
      <c r="S282" s="324"/>
      <c r="T282" s="325">
        <f t="shared" si="4"/>
        <v>204321.46</v>
      </c>
    </row>
    <row r="283" spans="1:20" ht="18.75" x14ac:dyDescent="0.3">
      <c r="A283" s="512" t="s">
        <v>256</v>
      </c>
      <c r="B283" s="513">
        <v>45019</v>
      </c>
      <c r="C283" s="514"/>
      <c r="D283" s="321" t="s">
        <v>728</v>
      </c>
      <c r="E283" s="322" t="s">
        <v>466</v>
      </c>
      <c r="F283" s="515">
        <v>43200</v>
      </c>
      <c r="G283" s="324" t="s">
        <v>1114</v>
      </c>
      <c r="H283" s="324">
        <v>2023</v>
      </c>
      <c r="I283" s="324"/>
      <c r="J283" s="324"/>
      <c r="K283" s="324"/>
      <c r="L283" s="324"/>
      <c r="M283" s="515">
        <v>43200</v>
      </c>
      <c r="N283" s="324"/>
      <c r="O283" s="324"/>
      <c r="P283" s="324"/>
      <c r="Q283" s="324"/>
      <c r="R283" s="324"/>
      <c r="S283" s="324"/>
      <c r="T283" s="325">
        <f t="shared" si="4"/>
        <v>43200</v>
      </c>
    </row>
    <row r="284" spans="1:20" ht="18.75" x14ac:dyDescent="0.3">
      <c r="A284" s="513" t="s">
        <v>697</v>
      </c>
      <c r="B284" s="513">
        <v>45019</v>
      </c>
      <c r="C284" s="514" t="s">
        <v>726</v>
      </c>
      <c r="D284" s="321" t="s">
        <v>727</v>
      </c>
      <c r="E284" s="322" t="s">
        <v>680</v>
      </c>
      <c r="F284" s="515">
        <v>53395</v>
      </c>
      <c r="G284" s="324" t="s">
        <v>1114</v>
      </c>
      <c r="H284" s="324">
        <v>2023</v>
      </c>
      <c r="I284" s="324"/>
      <c r="J284" s="324"/>
      <c r="K284" s="324"/>
      <c r="L284" s="324"/>
      <c r="M284" s="515">
        <v>53395</v>
      </c>
      <c r="N284" s="324"/>
      <c r="O284" s="324"/>
      <c r="P284" s="324"/>
      <c r="Q284" s="324"/>
      <c r="R284" s="324"/>
      <c r="S284" s="324"/>
      <c r="T284" s="325">
        <f t="shared" si="4"/>
        <v>53395</v>
      </c>
    </row>
    <row r="285" spans="1:20" ht="18.75" x14ac:dyDescent="0.3">
      <c r="A285" s="513" t="s">
        <v>440</v>
      </c>
      <c r="B285" s="513">
        <v>45041</v>
      </c>
      <c r="C285" s="514" t="s">
        <v>730</v>
      </c>
      <c r="D285" s="321" t="s">
        <v>731</v>
      </c>
      <c r="E285" s="322" t="s">
        <v>732</v>
      </c>
      <c r="F285" s="515">
        <v>34338</v>
      </c>
      <c r="G285" s="324" t="s">
        <v>1114</v>
      </c>
      <c r="H285" s="324">
        <v>2023</v>
      </c>
      <c r="I285" s="324"/>
      <c r="J285" s="324"/>
      <c r="K285" s="324"/>
      <c r="L285" s="324"/>
      <c r="M285" s="515">
        <v>34338</v>
      </c>
      <c r="N285" s="324"/>
      <c r="O285" s="324"/>
      <c r="P285" s="324"/>
      <c r="Q285" s="324"/>
      <c r="R285" s="324"/>
      <c r="S285" s="324"/>
      <c r="T285" s="325">
        <f t="shared" si="4"/>
        <v>34338</v>
      </c>
    </row>
    <row r="286" spans="1:20" ht="18.75" x14ac:dyDescent="0.3">
      <c r="A286" s="512" t="s">
        <v>338</v>
      </c>
      <c r="B286" s="527">
        <v>45041</v>
      </c>
      <c r="C286" s="531"/>
      <c r="D286" s="346" t="s">
        <v>733</v>
      </c>
      <c r="E286" s="344" t="s">
        <v>734</v>
      </c>
      <c r="F286" s="532">
        <v>21546.799999999999</v>
      </c>
      <c r="G286" s="324" t="s">
        <v>1114</v>
      </c>
      <c r="H286" s="324">
        <v>2023</v>
      </c>
      <c r="I286" s="324"/>
      <c r="J286" s="324"/>
      <c r="K286" s="324"/>
      <c r="L286" s="324"/>
      <c r="M286" s="532">
        <v>21546.799999999999</v>
      </c>
      <c r="N286" s="324"/>
      <c r="O286" s="324"/>
      <c r="P286" s="324"/>
      <c r="Q286" s="324"/>
      <c r="R286" s="324"/>
      <c r="S286" s="324"/>
      <c r="T286" s="325">
        <f t="shared" si="4"/>
        <v>21546.799999999999</v>
      </c>
    </row>
    <row r="287" spans="1:20" ht="18.75" x14ac:dyDescent="0.3">
      <c r="A287" s="512" t="s">
        <v>387</v>
      </c>
      <c r="B287" s="513">
        <v>45042</v>
      </c>
      <c r="C287" s="514" t="s">
        <v>1120</v>
      </c>
      <c r="D287" s="342" t="s">
        <v>1121</v>
      </c>
      <c r="E287" s="343" t="s">
        <v>729</v>
      </c>
      <c r="F287" s="532">
        <v>224775</v>
      </c>
      <c r="G287" s="324" t="s">
        <v>1114</v>
      </c>
      <c r="H287" s="324">
        <v>2023</v>
      </c>
      <c r="I287" s="324"/>
      <c r="J287" s="324"/>
      <c r="K287" s="324"/>
      <c r="L287" s="324"/>
      <c r="M287" s="532">
        <v>224775</v>
      </c>
      <c r="N287" s="324"/>
      <c r="O287" s="324"/>
      <c r="P287" s="324"/>
      <c r="Q287" s="324"/>
      <c r="R287" s="324"/>
      <c r="S287" s="324"/>
      <c r="T287" s="325">
        <f t="shared" si="4"/>
        <v>224775</v>
      </c>
    </row>
    <row r="288" spans="1:20" ht="18.75" x14ac:dyDescent="0.3">
      <c r="A288" s="512" t="s">
        <v>685</v>
      </c>
      <c r="B288" s="512">
        <v>45044</v>
      </c>
      <c r="C288" s="536"/>
      <c r="D288" s="326" t="s">
        <v>735</v>
      </c>
      <c r="E288" s="347" t="s">
        <v>686</v>
      </c>
      <c r="F288" s="522">
        <v>169760</v>
      </c>
      <c r="G288" s="324" t="s">
        <v>1114</v>
      </c>
      <c r="H288" s="324">
        <v>2023</v>
      </c>
      <c r="I288" s="324"/>
      <c r="J288" s="324"/>
      <c r="K288" s="324"/>
      <c r="L288" s="324"/>
      <c r="M288" s="522">
        <v>169760</v>
      </c>
      <c r="N288" s="324"/>
      <c r="O288" s="324"/>
      <c r="P288" s="324"/>
      <c r="Q288" s="324"/>
      <c r="R288" s="324"/>
      <c r="S288" s="324"/>
      <c r="T288" s="325">
        <f t="shared" si="4"/>
        <v>169760</v>
      </c>
    </row>
    <row r="289" spans="1:20" ht="18.75" x14ac:dyDescent="0.3">
      <c r="A289" s="513" t="s">
        <v>307</v>
      </c>
      <c r="B289" s="513">
        <v>45049</v>
      </c>
      <c r="C289" s="514" t="s">
        <v>736</v>
      </c>
      <c r="D289" s="321" t="s">
        <v>737</v>
      </c>
      <c r="E289" s="322" t="s">
        <v>738</v>
      </c>
      <c r="F289" s="515">
        <v>225678.72</v>
      </c>
      <c r="G289" s="324" t="s">
        <v>1114</v>
      </c>
      <c r="H289" s="324">
        <v>2023</v>
      </c>
      <c r="I289" s="324"/>
      <c r="J289" s="324"/>
      <c r="K289" s="324"/>
      <c r="L289" s="324"/>
      <c r="M289" s="515">
        <v>225678.72</v>
      </c>
      <c r="N289" s="324"/>
      <c r="O289" s="324"/>
      <c r="P289" s="324"/>
      <c r="Q289" s="324"/>
      <c r="R289" s="324"/>
      <c r="S289" s="324"/>
      <c r="T289" s="325">
        <f t="shared" si="4"/>
        <v>225678.72</v>
      </c>
    </row>
    <row r="290" spans="1:20" ht="18.75" x14ac:dyDescent="0.3">
      <c r="A290" s="513" t="s">
        <v>307</v>
      </c>
      <c r="B290" s="513">
        <v>45051</v>
      </c>
      <c r="C290" s="514" t="s">
        <v>739</v>
      </c>
      <c r="D290" s="321" t="s">
        <v>740</v>
      </c>
      <c r="E290" s="322" t="s">
        <v>738</v>
      </c>
      <c r="F290" s="515">
        <v>155764.07999999999</v>
      </c>
      <c r="G290" s="324" t="s">
        <v>1114</v>
      </c>
      <c r="H290" s="324">
        <v>2023</v>
      </c>
      <c r="I290" s="324"/>
      <c r="J290" s="324"/>
      <c r="K290" s="324"/>
      <c r="L290" s="324"/>
      <c r="M290" s="515">
        <v>155764.07999999999</v>
      </c>
      <c r="N290" s="324"/>
      <c r="O290" s="324"/>
      <c r="P290" s="324"/>
      <c r="Q290" s="324"/>
      <c r="R290" s="324"/>
      <c r="S290" s="324"/>
      <c r="T290" s="325">
        <f t="shared" si="4"/>
        <v>155764.07999999999</v>
      </c>
    </row>
    <row r="291" spans="1:20" ht="18.75" x14ac:dyDescent="0.3">
      <c r="A291" s="513" t="s">
        <v>307</v>
      </c>
      <c r="B291" s="513">
        <v>45051</v>
      </c>
      <c r="C291" s="514" t="s">
        <v>741</v>
      </c>
      <c r="D291" s="321" t="s">
        <v>742</v>
      </c>
      <c r="E291" s="322" t="s">
        <v>738</v>
      </c>
      <c r="F291" s="515">
        <v>202368.9</v>
      </c>
      <c r="G291" s="324" t="s">
        <v>1114</v>
      </c>
      <c r="H291" s="324">
        <v>2023</v>
      </c>
      <c r="I291" s="324"/>
      <c r="J291" s="324"/>
      <c r="K291" s="324"/>
      <c r="L291" s="324"/>
      <c r="M291" s="515">
        <v>202368.9</v>
      </c>
      <c r="N291" s="324"/>
      <c r="O291" s="324"/>
      <c r="P291" s="324"/>
      <c r="Q291" s="324"/>
      <c r="R291" s="324"/>
      <c r="S291" s="324"/>
      <c r="T291" s="325">
        <f t="shared" si="4"/>
        <v>202368.9</v>
      </c>
    </row>
    <row r="292" spans="1:20" ht="18.75" x14ac:dyDescent="0.3">
      <c r="A292" s="512" t="s">
        <v>442</v>
      </c>
      <c r="B292" s="513">
        <v>45055</v>
      </c>
      <c r="C292" s="514" t="s">
        <v>743</v>
      </c>
      <c r="D292" s="326" t="s">
        <v>642</v>
      </c>
      <c r="E292" s="322" t="s">
        <v>744</v>
      </c>
      <c r="F292" s="515">
        <v>287920</v>
      </c>
      <c r="G292" s="324" t="s">
        <v>1114</v>
      </c>
      <c r="H292" s="324">
        <v>2023</v>
      </c>
      <c r="I292" s="324"/>
      <c r="J292" s="324"/>
      <c r="K292" s="324"/>
      <c r="L292" s="324"/>
      <c r="M292" s="515">
        <v>287920</v>
      </c>
      <c r="N292" s="324"/>
      <c r="O292" s="324"/>
      <c r="P292" s="324"/>
      <c r="Q292" s="324"/>
      <c r="R292" s="324"/>
      <c r="S292" s="324"/>
      <c r="T292" s="325">
        <f t="shared" si="4"/>
        <v>287920</v>
      </c>
    </row>
    <row r="293" spans="1:20" ht="18.75" x14ac:dyDescent="0.3">
      <c r="A293" s="513" t="s">
        <v>747</v>
      </c>
      <c r="B293" s="513">
        <v>45064</v>
      </c>
      <c r="C293" s="514" t="s">
        <v>748</v>
      </c>
      <c r="D293" s="321" t="s">
        <v>749</v>
      </c>
      <c r="E293" s="322" t="s">
        <v>750</v>
      </c>
      <c r="F293" s="515">
        <v>10425.299999999999</v>
      </c>
      <c r="G293" s="324" t="s">
        <v>1114</v>
      </c>
      <c r="H293" s="324">
        <v>2023</v>
      </c>
      <c r="I293" s="324"/>
      <c r="J293" s="324"/>
      <c r="K293" s="324"/>
      <c r="L293" s="324"/>
      <c r="M293" s="515">
        <v>10425.299999999999</v>
      </c>
      <c r="N293" s="324"/>
      <c r="O293" s="324"/>
      <c r="P293" s="324"/>
      <c r="Q293" s="324"/>
      <c r="R293" s="324"/>
      <c r="S293" s="324"/>
      <c r="T293" s="325">
        <f t="shared" si="4"/>
        <v>10425.299999999999</v>
      </c>
    </row>
    <row r="294" spans="1:20" ht="18.75" x14ac:dyDescent="0.3">
      <c r="A294" s="512" t="s">
        <v>271</v>
      </c>
      <c r="B294" s="512">
        <v>45068</v>
      </c>
      <c r="C294" s="521" t="s">
        <v>751</v>
      </c>
      <c r="D294" s="321" t="s">
        <v>752</v>
      </c>
      <c r="E294" s="328" t="s">
        <v>680</v>
      </c>
      <c r="F294" s="522">
        <v>136500</v>
      </c>
      <c r="G294" s="324" t="s">
        <v>1114</v>
      </c>
      <c r="H294" s="324">
        <v>2023</v>
      </c>
      <c r="I294" s="324"/>
      <c r="J294" s="324"/>
      <c r="K294" s="324"/>
      <c r="L294" s="324"/>
      <c r="M294" s="522">
        <v>136500</v>
      </c>
      <c r="N294" s="324"/>
      <c r="O294" s="324"/>
      <c r="P294" s="324"/>
      <c r="Q294" s="324"/>
      <c r="R294" s="324"/>
      <c r="S294" s="324"/>
      <c r="T294" s="325">
        <f t="shared" si="4"/>
        <v>136500</v>
      </c>
    </row>
    <row r="295" spans="1:20" ht="18.75" x14ac:dyDescent="0.3">
      <c r="A295" s="512" t="s">
        <v>338</v>
      </c>
      <c r="B295" s="527">
        <v>45069</v>
      </c>
      <c r="C295" s="531"/>
      <c r="D295" s="346" t="s">
        <v>753</v>
      </c>
      <c r="E295" s="344" t="s">
        <v>734</v>
      </c>
      <c r="F295" s="532">
        <v>25180</v>
      </c>
      <c r="G295" s="324" t="s">
        <v>1114</v>
      </c>
      <c r="H295" s="324">
        <v>2023</v>
      </c>
      <c r="I295" s="324"/>
      <c r="J295" s="324"/>
      <c r="K295" s="324"/>
      <c r="L295" s="324"/>
      <c r="M295" s="532">
        <v>25180</v>
      </c>
      <c r="N295" s="324"/>
      <c r="O295" s="324"/>
      <c r="P295" s="324"/>
      <c r="Q295" s="324"/>
      <c r="R295" s="324"/>
      <c r="S295" s="324"/>
      <c r="T295" s="325">
        <f t="shared" si="4"/>
        <v>25180</v>
      </c>
    </row>
    <row r="296" spans="1:20" ht="18.75" x14ac:dyDescent="0.3">
      <c r="A296" s="512" t="s">
        <v>672</v>
      </c>
      <c r="B296" s="513">
        <v>45071</v>
      </c>
      <c r="C296" s="514" t="s">
        <v>1122</v>
      </c>
      <c r="D296" s="321" t="s">
        <v>946</v>
      </c>
      <c r="E296" s="322" t="s">
        <v>707</v>
      </c>
      <c r="F296" s="515">
        <v>69201.17</v>
      </c>
      <c r="G296" s="324" t="s">
        <v>1114</v>
      </c>
      <c r="H296" s="324">
        <v>2023</v>
      </c>
      <c r="I296" s="324"/>
      <c r="J296" s="324"/>
      <c r="K296" s="324"/>
      <c r="L296" s="324"/>
      <c r="M296" s="515">
        <v>69201.17</v>
      </c>
      <c r="N296" s="324"/>
      <c r="O296" s="324"/>
      <c r="P296" s="324"/>
      <c r="Q296" s="324"/>
      <c r="R296" s="324"/>
      <c r="S296" s="324"/>
      <c r="T296" s="325">
        <f t="shared" si="4"/>
        <v>69201.17</v>
      </c>
    </row>
    <row r="297" spans="1:20" ht="18.75" x14ac:dyDescent="0.3">
      <c r="A297" s="513" t="s">
        <v>757</v>
      </c>
      <c r="B297" s="513">
        <v>45077</v>
      </c>
      <c r="C297" s="514" t="s">
        <v>758</v>
      </c>
      <c r="D297" s="321" t="s">
        <v>759</v>
      </c>
      <c r="E297" s="322" t="s">
        <v>760</v>
      </c>
      <c r="F297" s="515">
        <v>207600</v>
      </c>
      <c r="G297" s="324" t="s">
        <v>1114</v>
      </c>
      <c r="H297" s="324">
        <v>2023</v>
      </c>
      <c r="I297" s="324"/>
      <c r="J297" s="324"/>
      <c r="K297" s="324"/>
      <c r="L297" s="324"/>
      <c r="M297" s="515">
        <v>207600</v>
      </c>
      <c r="N297" s="324"/>
      <c r="O297" s="324"/>
      <c r="P297" s="324"/>
      <c r="Q297" s="324"/>
      <c r="R297" s="324"/>
      <c r="S297" s="324"/>
      <c r="T297" s="325">
        <f t="shared" si="4"/>
        <v>207600</v>
      </c>
    </row>
    <row r="298" spans="1:20" ht="18.75" x14ac:dyDescent="0.3">
      <c r="A298" s="512" t="s">
        <v>685</v>
      </c>
      <c r="B298" s="512">
        <v>45077</v>
      </c>
      <c r="C298" s="536"/>
      <c r="D298" s="326" t="s">
        <v>761</v>
      </c>
      <c r="E298" s="347" t="s">
        <v>686</v>
      </c>
      <c r="F298" s="522">
        <v>106150</v>
      </c>
      <c r="G298" s="324" t="s">
        <v>1114</v>
      </c>
      <c r="H298" s="324">
        <v>2023</v>
      </c>
      <c r="I298" s="324"/>
      <c r="J298" s="324"/>
      <c r="K298" s="324"/>
      <c r="L298" s="324"/>
      <c r="M298" s="522">
        <v>106150</v>
      </c>
      <c r="N298" s="324"/>
      <c r="O298" s="324"/>
      <c r="P298" s="324"/>
      <c r="Q298" s="324"/>
      <c r="R298" s="324"/>
      <c r="S298" s="324"/>
      <c r="T298" s="325">
        <f t="shared" si="4"/>
        <v>106150</v>
      </c>
    </row>
    <row r="299" spans="1:20" ht="18.75" x14ac:dyDescent="0.3">
      <c r="A299" s="512" t="s">
        <v>256</v>
      </c>
      <c r="B299" s="513">
        <v>45078</v>
      </c>
      <c r="C299" s="514"/>
      <c r="D299" s="321" t="s">
        <v>762</v>
      </c>
      <c r="E299" s="322" t="s">
        <v>466</v>
      </c>
      <c r="F299" s="515">
        <v>43200</v>
      </c>
      <c r="G299" s="324" t="s">
        <v>1114</v>
      </c>
      <c r="H299" s="324">
        <v>2023</v>
      </c>
      <c r="I299" s="324"/>
      <c r="J299" s="324"/>
      <c r="K299" s="324"/>
      <c r="L299" s="324"/>
      <c r="M299" s="515">
        <v>43200</v>
      </c>
      <c r="N299" s="324"/>
      <c r="O299" s="324"/>
      <c r="P299" s="324"/>
      <c r="Q299" s="324"/>
      <c r="R299" s="324"/>
      <c r="S299" s="324"/>
      <c r="T299" s="325">
        <f t="shared" si="4"/>
        <v>43200</v>
      </c>
    </row>
    <row r="300" spans="1:20" ht="18.75" x14ac:dyDescent="0.3">
      <c r="A300" s="512" t="s">
        <v>766</v>
      </c>
      <c r="B300" s="513">
        <v>45083</v>
      </c>
      <c r="C300" s="514" t="s">
        <v>767</v>
      </c>
      <c r="D300" s="321" t="s">
        <v>768</v>
      </c>
      <c r="E300" s="322" t="s">
        <v>769</v>
      </c>
      <c r="F300" s="515">
        <v>307309.2</v>
      </c>
      <c r="G300" s="324" t="s">
        <v>1114</v>
      </c>
      <c r="H300" s="324">
        <v>2023</v>
      </c>
      <c r="I300" s="324"/>
      <c r="J300" s="324"/>
      <c r="K300" s="324"/>
      <c r="L300" s="324"/>
      <c r="M300" s="515">
        <v>307309.2</v>
      </c>
      <c r="N300" s="324"/>
      <c r="O300" s="324"/>
      <c r="P300" s="324"/>
      <c r="Q300" s="324"/>
      <c r="R300" s="324"/>
      <c r="S300" s="324"/>
      <c r="T300" s="325">
        <f t="shared" si="4"/>
        <v>307309.2</v>
      </c>
    </row>
    <row r="301" spans="1:20" ht="18.75" x14ac:dyDescent="0.3">
      <c r="A301" s="513" t="s">
        <v>770</v>
      </c>
      <c r="B301" s="513">
        <v>45083</v>
      </c>
      <c r="C301" s="514" t="s">
        <v>771</v>
      </c>
      <c r="D301" s="321" t="s">
        <v>772</v>
      </c>
      <c r="E301" s="322" t="s">
        <v>773</v>
      </c>
      <c r="F301" s="515">
        <v>220483.05</v>
      </c>
      <c r="G301" s="324" t="s">
        <v>1114</v>
      </c>
      <c r="H301" s="324">
        <v>2023</v>
      </c>
      <c r="I301" s="324"/>
      <c r="J301" s="324"/>
      <c r="K301" s="324"/>
      <c r="L301" s="324"/>
      <c r="M301" s="515">
        <v>220483.05</v>
      </c>
      <c r="N301" s="324"/>
      <c r="O301" s="324"/>
      <c r="P301" s="324"/>
      <c r="Q301" s="324"/>
      <c r="R301" s="324"/>
      <c r="S301" s="324"/>
      <c r="T301" s="325">
        <f t="shared" si="4"/>
        <v>220483.05</v>
      </c>
    </row>
    <row r="302" spans="1:20" ht="18.75" x14ac:dyDescent="0.3">
      <c r="A302" s="512" t="s">
        <v>764</v>
      </c>
      <c r="B302" s="512">
        <v>45083</v>
      </c>
      <c r="C302" s="521" t="s">
        <v>947</v>
      </c>
      <c r="D302" s="331" t="s">
        <v>725</v>
      </c>
      <c r="E302" s="332" t="s">
        <v>765</v>
      </c>
      <c r="F302" s="522">
        <v>1310401.8</v>
      </c>
      <c r="G302" s="324" t="s">
        <v>1114</v>
      </c>
      <c r="H302" s="324">
        <v>2023</v>
      </c>
      <c r="I302" s="324"/>
      <c r="J302" s="324"/>
      <c r="K302" s="324"/>
      <c r="L302" s="324"/>
      <c r="M302" s="522">
        <v>1310401.8</v>
      </c>
      <c r="N302" s="324"/>
      <c r="O302" s="324"/>
      <c r="P302" s="324"/>
      <c r="Q302" s="324"/>
      <c r="R302" s="324"/>
      <c r="S302" s="324"/>
      <c r="T302" s="325">
        <f t="shared" si="4"/>
        <v>1310401.8</v>
      </c>
    </row>
    <row r="303" spans="1:20" ht="18.75" x14ac:dyDescent="0.3">
      <c r="A303" s="513" t="s">
        <v>307</v>
      </c>
      <c r="B303" s="513">
        <v>45090</v>
      </c>
      <c r="C303" s="514" t="s">
        <v>736</v>
      </c>
      <c r="D303" s="321" t="s">
        <v>776</v>
      </c>
      <c r="E303" s="322" t="s">
        <v>738</v>
      </c>
      <c r="F303" s="515">
        <v>219671.42</v>
      </c>
      <c r="G303" s="324" t="s">
        <v>1114</v>
      </c>
      <c r="H303" s="324">
        <v>2023</v>
      </c>
      <c r="I303" s="324"/>
      <c r="J303" s="324"/>
      <c r="K303" s="324"/>
      <c r="L303" s="324"/>
      <c r="M303" s="515">
        <v>219671.42</v>
      </c>
      <c r="N303" s="324"/>
      <c r="O303" s="324"/>
      <c r="P303" s="324"/>
      <c r="Q303" s="324"/>
      <c r="R303" s="324"/>
      <c r="S303" s="324"/>
      <c r="T303" s="325">
        <f t="shared" si="4"/>
        <v>219671.42</v>
      </c>
    </row>
    <row r="304" spans="1:20" ht="18.75" x14ac:dyDescent="0.3">
      <c r="A304" s="518" t="s">
        <v>251</v>
      </c>
      <c r="B304" s="512">
        <v>45092</v>
      </c>
      <c r="C304" s="521" t="s">
        <v>780</v>
      </c>
      <c r="D304" s="331" t="s">
        <v>781</v>
      </c>
      <c r="E304" s="328" t="s">
        <v>506</v>
      </c>
      <c r="F304" s="522">
        <v>4182</v>
      </c>
      <c r="G304" s="324" t="s">
        <v>1114</v>
      </c>
      <c r="H304" s="324">
        <v>2023</v>
      </c>
      <c r="I304" s="324"/>
      <c r="J304" s="324"/>
      <c r="K304" s="324"/>
      <c r="L304" s="324"/>
      <c r="M304" s="522">
        <v>4182</v>
      </c>
      <c r="N304" s="324"/>
      <c r="O304" s="324"/>
      <c r="P304" s="324"/>
      <c r="Q304" s="324"/>
      <c r="R304" s="324"/>
      <c r="S304" s="324"/>
      <c r="T304" s="325">
        <f t="shared" si="4"/>
        <v>4182</v>
      </c>
    </row>
    <row r="305" spans="1:20" ht="18.75" x14ac:dyDescent="0.3">
      <c r="A305" s="512" t="s">
        <v>777</v>
      </c>
      <c r="B305" s="513">
        <v>45092</v>
      </c>
      <c r="C305" s="514" t="s">
        <v>778</v>
      </c>
      <c r="D305" s="321" t="s">
        <v>737</v>
      </c>
      <c r="E305" s="322" t="s">
        <v>779</v>
      </c>
      <c r="F305" s="515">
        <v>58382.86</v>
      </c>
      <c r="G305" s="324" t="s">
        <v>1114</v>
      </c>
      <c r="H305" s="324">
        <v>2023</v>
      </c>
      <c r="I305" s="324"/>
      <c r="J305" s="324"/>
      <c r="K305" s="324"/>
      <c r="L305" s="324"/>
      <c r="M305" s="515">
        <v>58382.86</v>
      </c>
      <c r="N305" s="324"/>
      <c r="O305" s="324"/>
      <c r="P305" s="324"/>
      <c r="Q305" s="324"/>
      <c r="R305" s="324"/>
      <c r="S305" s="324"/>
      <c r="T305" s="325">
        <f t="shared" si="4"/>
        <v>58382.86</v>
      </c>
    </row>
    <row r="306" spans="1:20" ht="18.75" x14ac:dyDescent="0.3">
      <c r="A306" s="513" t="s">
        <v>757</v>
      </c>
      <c r="B306" s="513">
        <v>45093</v>
      </c>
      <c r="C306" s="514" t="s">
        <v>948</v>
      </c>
      <c r="D306" s="321" t="s">
        <v>949</v>
      </c>
      <c r="E306" s="322" t="s">
        <v>950</v>
      </c>
      <c r="F306" s="515">
        <v>225750</v>
      </c>
      <c r="G306" s="324" t="s">
        <v>1114</v>
      </c>
      <c r="H306" s="324">
        <v>2023</v>
      </c>
      <c r="I306" s="324"/>
      <c r="J306" s="324"/>
      <c r="K306" s="324"/>
      <c r="L306" s="324"/>
      <c r="M306" s="515">
        <v>225750</v>
      </c>
      <c r="N306" s="324"/>
      <c r="O306" s="324"/>
      <c r="P306" s="324"/>
      <c r="Q306" s="324"/>
      <c r="R306" s="324"/>
      <c r="S306" s="324"/>
      <c r="T306" s="325">
        <f t="shared" si="4"/>
        <v>225750</v>
      </c>
    </row>
    <row r="307" spans="1:20" ht="18.75" x14ac:dyDescent="0.3">
      <c r="A307" s="512" t="s">
        <v>783</v>
      </c>
      <c r="B307" s="513">
        <v>45097</v>
      </c>
      <c r="C307" s="514" t="s">
        <v>1123</v>
      </c>
      <c r="D307" s="321" t="s">
        <v>784</v>
      </c>
      <c r="E307" s="322" t="s">
        <v>785</v>
      </c>
      <c r="F307" s="515">
        <v>306337.44</v>
      </c>
      <c r="G307" s="324" t="s">
        <v>1114</v>
      </c>
      <c r="H307" s="324">
        <v>2023</v>
      </c>
      <c r="I307" s="324"/>
      <c r="J307" s="324"/>
      <c r="K307" s="324"/>
      <c r="L307" s="324"/>
      <c r="M307" s="515">
        <v>306337.44</v>
      </c>
      <c r="N307" s="324"/>
      <c r="O307" s="324"/>
      <c r="P307" s="324"/>
      <c r="Q307" s="324"/>
      <c r="R307" s="324"/>
      <c r="S307" s="324"/>
      <c r="T307" s="325">
        <f t="shared" si="4"/>
        <v>306337.44</v>
      </c>
    </row>
    <row r="308" spans="1:20" ht="18.75" x14ac:dyDescent="0.3">
      <c r="A308" s="513" t="s">
        <v>697</v>
      </c>
      <c r="B308" s="513">
        <v>45098</v>
      </c>
      <c r="C308" s="514" t="s">
        <v>1124</v>
      </c>
      <c r="D308" s="321" t="s">
        <v>1125</v>
      </c>
      <c r="E308" s="322" t="s">
        <v>680</v>
      </c>
      <c r="F308" s="515">
        <v>30000</v>
      </c>
      <c r="G308" s="324" t="s">
        <v>1114</v>
      </c>
      <c r="H308" s="324">
        <v>2023</v>
      </c>
      <c r="I308" s="324"/>
      <c r="J308" s="324"/>
      <c r="K308" s="324"/>
      <c r="L308" s="324"/>
      <c r="M308" s="515">
        <v>30000</v>
      </c>
      <c r="N308" s="324"/>
      <c r="O308" s="324"/>
      <c r="P308" s="324"/>
      <c r="Q308" s="324"/>
      <c r="R308" s="324"/>
      <c r="S308" s="324"/>
      <c r="T308" s="325">
        <f t="shared" si="4"/>
        <v>30000</v>
      </c>
    </row>
    <row r="309" spans="1:20" ht="18.75" x14ac:dyDescent="0.3">
      <c r="A309" s="518" t="s">
        <v>251</v>
      </c>
      <c r="B309" s="512">
        <v>45100</v>
      </c>
      <c r="C309" s="521"/>
      <c r="D309" s="331" t="s">
        <v>788</v>
      </c>
      <c r="E309" s="328" t="s">
        <v>789</v>
      </c>
      <c r="F309" s="522">
        <v>17883</v>
      </c>
      <c r="G309" s="324" t="s">
        <v>1114</v>
      </c>
      <c r="H309" s="324">
        <v>2023</v>
      </c>
      <c r="I309" s="324"/>
      <c r="J309" s="324"/>
      <c r="K309" s="324"/>
      <c r="L309" s="324"/>
      <c r="M309" s="522">
        <v>17883</v>
      </c>
      <c r="N309" s="324"/>
      <c r="O309" s="324"/>
      <c r="P309" s="324"/>
      <c r="Q309" s="324"/>
      <c r="R309" s="324"/>
      <c r="S309" s="324"/>
      <c r="T309" s="325">
        <f t="shared" si="4"/>
        <v>17883</v>
      </c>
    </row>
    <row r="310" spans="1:20" ht="18.75" x14ac:dyDescent="0.3">
      <c r="A310" s="513" t="s">
        <v>264</v>
      </c>
      <c r="B310" s="527">
        <v>45100</v>
      </c>
      <c r="C310" s="531" t="s">
        <v>786</v>
      </c>
      <c r="D310" s="342" t="s">
        <v>787</v>
      </c>
      <c r="E310" s="344" t="s">
        <v>678</v>
      </c>
      <c r="F310" s="532">
        <v>412586.4</v>
      </c>
      <c r="G310" s="324" t="s">
        <v>1114</v>
      </c>
      <c r="H310" s="324">
        <v>2023</v>
      </c>
      <c r="I310" s="324"/>
      <c r="J310" s="324"/>
      <c r="K310" s="324"/>
      <c r="L310" s="324"/>
      <c r="M310" s="532">
        <v>412586.4</v>
      </c>
      <c r="N310" s="324"/>
      <c r="O310" s="324"/>
      <c r="P310" s="324"/>
      <c r="Q310" s="324"/>
      <c r="R310" s="324"/>
      <c r="S310" s="324"/>
      <c r="T310" s="325">
        <f t="shared" si="4"/>
        <v>412586.4</v>
      </c>
    </row>
    <row r="311" spans="1:20" ht="18.75" x14ac:dyDescent="0.3">
      <c r="A311" s="518" t="s">
        <v>1735</v>
      </c>
      <c r="B311" s="513">
        <v>45100</v>
      </c>
      <c r="C311" s="514" t="s">
        <v>1126</v>
      </c>
      <c r="D311" s="321" t="s">
        <v>1127</v>
      </c>
      <c r="E311" s="322"/>
      <c r="F311" s="515">
        <v>26762.639999999999</v>
      </c>
      <c r="G311" s="324" t="s">
        <v>1114</v>
      </c>
      <c r="H311" s="324">
        <v>2023</v>
      </c>
      <c r="I311" s="324"/>
      <c r="J311" s="324"/>
      <c r="K311" s="324"/>
      <c r="L311" s="324"/>
      <c r="M311" s="515">
        <v>26762.639999999999</v>
      </c>
      <c r="N311" s="324"/>
      <c r="O311" s="324"/>
      <c r="P311" s="324"/>
      <c r="Q311" s="324"/>
      <c r="R311" s="324"/>
      <c r="S311" s="324"/>
      <c r="T311" s="325">
        <f t="shared" si="4"/>
        <v>26762.639999999999</v>
      </c>
    </row>
    <row r="312" spans="1:20" ht="18.75" x14ac:dyDescent="0.3">
      <c r="A312" s="512" t="s">
        <v>764</v>
      </c>
      <c r="B312" s="512">
        <v>45106</v>
      </c>
      <c r="C312" s="521" t="s">
        <v>951</v>
      </c>
      <c r="D312" s="331" t="s">
        <v>790</v>
      </c>
      <c r="E312" s="332" t="s">
        <v>791</v>
      </c>
      <c r="F312" s="522">
        <v>970062.2</v>
      </c>
      <c r="G312" s="324" t="s">
        <v>1114</v>
      </c>
      <c r="H312" s="324">
        <v>2023</v>
      </c>
      <c r="I312" s="324"/>
      <c r="J312" s="324"/>
      <c r="K312" s="324"/>
      <c r="L312" s="324"/>
      <c r="M312" s="522">
        <v>970062.2</v>
      </c>
      <c r="N312" s="324"/>
      <c r="O312" s="324"/>
      <c r="P312" s="324"/>
      <c r="Q312" s="324"/>
      <c r="R312" s="324"/>
      <c r="S312" s="324"/>
      <c r="T312" s="325">
        <f t="shared" si="4"/>
        <v>970062.2</v>
      </c>
    </row>
    <row r="313" spans="1:20" ht="18.75" x14ac:dyDescent="0.3">
      <c r="A313" s="513" t="s">
        <v>444</v>
      </c>
      <c r="B313" s="513">
        <v>45107</v>
      </c>
      <c r="C313" s="514" t="s">
        <v>795</v>
      </c>
      <c r="D313" s="321" t="s">
        <v>796</v>
      </c>
      <c r="E313" s="322" t="s">
        <v>797</v>
      </c>
      <c r="F313" s="515">
        <v>56460</v>
      </c>
      <c r="G313" s="324" t="s">
        <v>1114</v>
      </c>
      <c r="H313" s="324">
        <v>2023</v>
      </c>
      <c r="I313" s="324"/>
      <c r="J313" s="324"/>
      <c r="K313" s="324"/>
      <c r="L313" s="324"/>
      <c r="M313" s="515">
        <v>56460</v>
      </c>
      <c r="N313" s="324"/>
      <c r="O313" s="324"/>
      <c r="P313" s="324"/>
      <c r="Q313" s="324"/>
      <c r="R313" s="324"/>
      <c r="S313" s="324"/>
      <c r="T313" s="325">
        <f t="shared" si="4"/>
        <v>56460</v>
      </c>
    </row>
    <row r="314" spans="1:20" ht="18.75" x14ac:dyDescent="0.3">
      <c r="A314" s="512" t="s">
        <v>685</v>
      </c>
      <c r="B314" s="512">
        <v>45107</v>
      </c>
      <c r="C314" s="536"/>
      <c r="D314" s="326" t="s">
        <v>792</v>
      </c>
      <c r="E314" s="347" t="s">
        <v>686</v>
      </c>
      <c r="F314" s="522">
        <v>27600</v>
      </c>
      <c r="G314" s="324" t="s">
        <v>1114</v>
      </c>
      <c r="H314" s="324">
        <v>2023</v>
      </c>
      <c r="I314" s="324"/>
      <c r="J314" s="324"/>
      <c r="K314" s="324"/>
      <c r="L314" s="324"/>
      <c r="M314" s="522">
        <v>27600</v>
      </c>
      <c r="N314" s="324"/>
      <c r="O314" s="324"/>
      <c r="P314" s="324"/>
      <c r="Q314" s="324"/>
      <c r="R314" s="324"/>
      <c r="S314" s="324"/>
      <c r="T314" s="325">
        <f t="shared" si="4"/>
        <v>27600</v>
      </c>
    </row>
    <row r="315" spans="1:20" ht="18.75" x14ac:dyDescent="0.3">
      <c r="A315" s="512" t="s">
        <v>396</v>
      </c>
      <c r="B315" s="513">
        <v>45107</v>
      </c>
      <c r="C315" s="514"/>
      <c r="D315" s="321" t="s">
        <v>793</v>
      </c>
      <c r="E315" s="322" t="s">
        <v>794</v>
      </c>
      <c r="F315" s="515">
        <v>92110</v>
      </c>
      <c r="G315" s="324" t="s">
        <v>1114</v>
      </c>
      <c r="H315" s="324">
        <v>2023</v>
      </c>
      <c r="I315" s="324"/>
      <c r="J315" s="324"/>
      <c r="K315" s="324"/>
      <c r="L315" s="324"/>
      <c r="M315" s="515">
        <v>92110</v>
      </c>
      <c r="N315" s="324"/>
      <c r="O315" s="324"/>
      <c r="P315" s="324"/>
      <c r="Q315" s="324"/>
      <c r="R315" s="324"/>
      <c r="S315" s="324"/>
      <c r="T315" s="325">
        <f t="shared" si="4"/>
        <v>92110</v>
      </c>
    </row>
    <row r="316" spans="1:20" ht="18.75" x14ac:dyDescent="0.3">
      <c r="A316" s="512" t="s">
        <v>256</v>
      </c>
      <c r="B316" s="513">
        <v>45108</v>
      </c>
      <c r="C316" s="514"/>
      <c r="D316" s="321" t="s">
        <v>1128</v>
      </c>
      <c r="E316" s="322" t="s">
        <v>466</v>
      </c>
      <c r="F316" s="515">
        <v>43200</v>
      </c>
      <c r="G316" s="324" t="s">
        <v>1114</v>
      </c>
      <c r="H316" s="324">
        <v>2023</v>
      </c>
      <c r="I316" s="324"/>
      <c r="J316" s="324"/>
      <c r="K316" s="324"/>
      <c r="L316" s="324"/>
      <c r="M316" s="515">
        <v>43200</v>
      </c>
      <c r="N316" s="324"/>
      <c r="O316" s="324"/>
      <c r="P316" s="324"/>
      <c r="Q316" s="324"/>
      <c r="R316" s="324"/>
      <c r="S316" s="324"/>
      <c r="T316" s="325">
        <f t="shared" si="4"/>
        <v>43200</v>
      </c>
    </row>
    <row r="317" spans="1:20" ht="18.75" x14ac:dyDescent="0.3">
      <c r="A317" s="512" t="s">
        <v>387</v>
      </c>
      <c r="B317" s="527">
        <v>45110</v>
      </c>
      <c r="C317" s="531" t="s">
        <v>798</v>
      </c>
      <c r="D317" s="342" t="s">
        <v>799</v>
      </c>
      <c r="E317" s="343" t="s">
        <v>800</v>
      </c>
      <c r="F317" s="532">
        <v>171690</v>
      </c>
      <c r="G317" s="324" t="s">
        <v>1114</v>
      </c>
      <c r="H317" s="324">
        <v>2023</v>
      </c>
      <c r="I317" s="324"/>
      <c r="J317" s="324"/>
      <c r="K317" s="324"/>
      <c r="L317" s="324"/>
      <c r="M317" s="532">
        <v>171690</v>
      </c>
      <c r="N317" s="324"/>
      <c r="O317" s="324"/>
      <c r="P317" s="324"/>
      <c r="Q317" s="324"/>
      <c r="R317" s="324"/>
      <c r="S317" s="324"/>
      <c r="T317" s="325">
        <f t="shared" si="4"/>
        <v>171690</v>
      </c>
    </row>
    <row r="318" spans="1:20" ht="18.75" x14ac:dyDescent="0.3">
      <c r="A318" s="513" t="s">
        <v>357</v>
      </c>
      <c r="B318" s="513">
        <v>45113</v>
      </c>
      <c r="C318" s="514" t="s">
        <v>802</v>
      </c>
      <c r="D318" s="321" t="s">
        <v>803</v>
      </c>
      <c r="E318" s="322" t="s">
        <v>804</v>
      </c>
      <c r="F318" s="515">
        <v>200600</v>
      </c>
      <c r="G318" s="324" t="s">
        <v>1114</v>
      </c>
      <c r="H318" s="324">
        <v>2023</v>
      </c>
      <c r="I318" s="324"/>
      <c r="J318" s="324"/>
      <c r="K318" s="324"/>
      <c r="L318" s="324"/>
      <c r="M318" s="515">
        <v>200600</v>
      </c>
      <c r="N318" s="324"/>
      <c r="O318" s="324"/>
      <c r="P318" s="324"/>
      <c r="Q318" s="324"/>
      <c r="R318" s="324"/>
      <c r="S318" s="324"/>
      <c r="T318" s="325">
        <f t="shared" si="4"/>
        <v>200600</v>
      </c>
    </row>
    <row r="319" spans="1:20" ht="18.75" x14ac:dyDescent="0.3">
      <c r="A319" s="512" t="s">
        <v>807</v>
      </c>
      <c r="B319" s="513">
        <v>45131</v>
      </c>
      <c r="C319" s="514" t="s">
        <v>808</v>
      </c>
      <c r="D319" s="321" t="s">
        <v>809</v>
      </c>
      <c r="E319" s="322" t="s">
        <v>810</v>
      </c>
      <c r="F319" s="515">
        <v>215000</v>
      </c>
      <c r="G319" s="324" t="s">
        <v>1114</v>
      </c>
      <c r="H319" s="324">
        <v>2023</v>
      </c>
      <c r="I319" s="324"/>
      <c r="J319" s="324"/>
      <c r="K319" s="324"/>
      <c r="L319" s="324"/>
      <c r="M319" s="515">
        <v>215000</v>
      </c>
      <c r="N319" s="324"/>
      <c r="O319" s="324"/>
      <c r="P319" s="324"/>
      <c r="Q319" s="324"/>
      <c r="R319" s="324"/>
      <c r="S319" s="324"/>
      <c r="T319" s="325">
        <f t="shared" si="4"/>
        <v>215000</v>
      </c>
    </row>
    <row r="320" spans="1:20" ht="18.75" x14ac:dyDescent="0.3">
      <c r="A320" s="518" t="s">
        <v>251</v>
      </c>
      <c r="B320" s="512">
        <v>45133</v>
      </c>
      <c r="C320" s="521" t="s">
        <v>811</v>
      </c>
      <c r="D320" s="331" t="s">
        <v>812</v>
      </c>
      <c r="E320" s="328" t="s">
        <v>698</v>
      </c>
      <c r="F320" s="522">
        <v>19780</v>
      </c>
      <c r="G320" s="324" t="s">
        <v>1114</v>
      </c>
      <c r="H320" s="324">
        <v>2023</v>
      </c>
      <c r="I320" s="324"/>
      <c r="J320" s="324"/>
      <c r="K320" s="324"/>
      <c r="L320" s="324"/>
      <c r="M320" s="522">
        <v>19780</v>
      </c>
      <c r="N320" s="324"/>
      <c r="O320" s="324"/>
      <c r="P320" s="324"/>
      <c r="Q320" s="324"/>
      <c r="R320" s="324"/>
      <c r="S320" s="324"/>
      <c r="T320" s="325">
        <f t="shared" si="4"/>
        <v>19780</v>
      </c>
    </row>
    <row r="321" spans="1:20" ht="18.75" x14ac:dyDescent="0.3">
      <c r="A321" s="518" t="s">
        <v>251</v>
      </c>
      <c r="B321" s="512">
        <v>45133</v>
      </c>
      <c r="C321" s="521" t="s">
        <v>953</v>
      </c>
      <c r="D321" s="331" t="s">
        <v>954</v>
      </c>
      <c r="E321" s="328" t="s">
        <v>698</v>
      </c>
      <c r="F321" s="522">
        <v>19780</v>
      </c>
      <c r="G321" s="324" t="s">
        <v>1114</v>
      </c>
      <c r="H321" s="324">
        <v>2023</v>
      </c>
      <c r="I321" s="324"/>
      <c r="J321" s="324"/>
      <c r="K321" s="324"/>
      <c r="L321" s="324"/>
      <c r="M321" s="522">
        <v>19780</v>
      </c>
      <c r="N321" s="324"/>
      <c r="O321" s="324"/>
      <c r="P321" s="324"/>
      <c r="Q321" s="324"/>
      <c r="R321" s="324"/>
      <c r="S321" s="324"/>
      <c r="T321" s="325">
        <f t="shared" si="4"/>
        <v>19780</v>
      </c>
    </row>
    <row r="322" spans="1:20" ht="18.75" x14ac:dyDescent="0.3">
      <c r="A322" s="512" t="s">
        <v>449</v>
      </c>
      <c r="B322" s="528">
        <v>45134</v>
      </c>
      <c r="C322" s="529"/>
      <c r="D322" s="339" t="s">
        <v>722</v>
      </c>
      <c r="E322" s="340" t="s">
        <v>1736</v>
      </c>
      <c r="F322" s="530">
        <v>300192</v>
      </c>
      <c r="G322" s="324" t="s">
        <v>1114</v>
      </c>
      <c r="H322" s="324">
        <v>2023</v>
      </c>
      <c r="I322" s="324"/>
      <c r="J322" s="324"/>
      <c r="K322" s="324"/>
      <c r="L322" s="324"/>
      <c r="M322" s="530">
        <v>300192</v>
      </c>
      <c r="N322" s="324"/>
      <c r="O322" s="324"/>
      <c r="P322" s="324"/>
      <c r="Q322" s="324"/>
      <c r="R322" s="324"/>
      <c r="S322" s="324"/>
      <c r="T322" s="325">
        <f t="shared" si="4"/>
        <v>300192</v>
      </c>
    </row>
    <row r="323" spans="1:20" ht="18.75" x14ac:dyDescent="0.3">
      <c r="A323" s="512" t="s">
        <v>852</v>
      </c>
      <c r="B323" s="513">
        <v>45135</v>
      </c>
      <c r="C323" s="514" t="s">
        <v>1040</v>
      </c>
      <c r="D323" s="321" t="s">
        <v>1041</v>
      </c>
      <c r="E323" s="322" t="s">
        <v>1042</v>
      </c>
      <c r="F323" s="515">
        <v>51625</v>
      </c>
      <c r="G323" s="324" t="s">
        <v>1114</v>
      </c>
      <c r="H323" s="324">
        <v>2023</v>
      </c>
      <c r="I323" s="324"/>
      <c r="J323" s="324"/>
      <c r="K323" s="324"/>
      <c r="L323" s="324"/>
      <c r="M323" s="515">
        <v>51625</v>
      </c>
      <c r="N323" s="324"/>
      <c r="O323" s="324"/>
      <c r="P323" s="324"/>
      <c r="Q323" s="324"/>
      <c r="R323" s="324"/>
      <c r="S323" s="324"/>
      <c r="T323" s="325">
        <f t="shared" si="4"/>
        <v>51625</v>
      </c>
    </row>
    <row r="324" spans="1:20" ht="18.75" x14ac:dyDescent="0.3">
      <c r="A324" s="512" t="s">
        <v>445</v>
      </c>
      <c r="B324" s="513">
        <v>45135</v>
      </c>
      <c r="C324" s="514"/>
      <c r="D324" s="341" t="s">
        <v>813</v>
      </c>
      <c r="E324" s="322" t="s">
        <v>814</v>
      </c>
      <c r="F324" s="515">
        <v>221459</v>
      </c>
      <c r="G324" s="324" t="s">
        <v>1114</v>
      </c>
      <c r="H324" s="324">
        <v>2023</v>
      </c>
      <c r="I324" s="324"/>
      <c r="J324" s="324"/>
      <c r="K324" s="324"/>
      <c r="L324" s="324"/>
      <c r="M324" s="515">
        <v>221459</v>
      </c>
      <c r="N324" s="324"/>
      <c r="O324" s="324"/>
      <c r="P324" s="324"/>
      <c r="Q324" s="324"/>
      <c r="R324" s="324"/>
      <c r="S324" s="324"/>
      <c r="T324" s="325">
        <f t="shared" si="4"/>
        <v>221459</v>
      </c>
    </row>
    <row r="325" spans="1:20" ht="18.75" x14ac:dyDescent="0.3">
      <c r="A325" s="512" t="s">
        <v>396</v>
      </c>
      <c r="B325" s="513">
        <v>45138</v>
      </c>
      <c r="C325" s="514"/>
      <c r="D325" s="321" t="s">
        <v>815</v>
      </c>
      <c r="E325" s="322" t="s">
        <v>816</v>
      </c>
      <c r="F325" s="515">
        <v>97205</v>
      </c>
      <c r="G325" s="324" t="s">
        <v>1114</v>
      </c>
      <c r="H325" s="324">
        <v>2023</v>
      </c>
      <c r="I325" s="324"/>
      <c r="J325" s="324"/>
      <c r="K325" s="324"/>
      <c r="L325" s="324"/>
      <c r="M325" s="515">
        <v>97205</v>
      </c>
      <c r="N325" s="324"/>
      <c r="O325" s="324"/>
      <c r="P325" s="324"/>
      <c r="Q325" s="324"/>
      <c r="R325" s="324"/>
      <c r="S325" s="324"/>
      <c r="T325" s="325">
        <f t="shared" si="4"/>
        <v>97205</v>
      </c>
    </row>
    <row r="326" spans="1:20" ht="18.75" x14ac:dyDescent="0.3">
      <c r="A326" s="512" t="s">
        <v>256</v>
      </c>
      <c r="B326" s="513">
        <v>45139</v>
      </c>
      <c r="C326" s="514"/>
      <c r="D326" s="321" t="s">
        <v>1129</v>
      </c>
      <c r="E326" s="322" t="s">
        <v>466</v>
      </c>
      <c r="F326" s="515">
        <v>43200</v>
      </c>
      <c r="G326" s="324" t="s">
        <v>1114</v>
      </c>
      <c r="H326" s="324">
        <v>2023</v>
      </c>
      <c r="I326" s="324"/>
      <c r="J326" s="324"/>
      <c r="K326" s="324"/>
      <c r="L326" s="324"/>
      <c r="M326" s="515">
        <v>43200</v>
      </c>
      <c r="N326" s="324"/>
      <c r="O326" s="324"/>
      <c r="P326" s="324"/>
      <c r="Q326" s="324"/>
      <c r="R326" s="324"/>
      <c r="S326" s="324"/>
      <c r="T326" s="325">
        <f t="shared" si="4"/>
        <v>43200</v>
      </c>
    </row>
    <row r="327" spans="1:20" ht="18.75" x14ac:dyDescent="0.3">
      <c r="A327" s="512" t="s">
        <v>387</v>
      </c>
      <c r="B327" s="527">
        <v>45141</v>
      </c>
      <c r="C327" s="531" t="s">
        <v>817</v>
      </c>
      <c r="D327" s="342" t="s">
        <v>818</v>
      </c>
      <c r="E327" s="343" t="s">
        <v>819</v>
      </c>
      <c r="F327" s="532">
        <v>55000</v>
      </c>
      <c r="G327" s="324" t="s">
        <v>1114</v>
      </c>
      <c r="H327" s="324">
        <v>2023</v>
      </c>
      <c r="I327" s="324"/>
      <c r="J327" s="324"/>
      <c r="K327" s="324"/>
      <c r="L327" s="324"/>
      <c r="M327" s="532">
        <v>55000</v>
      </c>
      <c r="N327" s="324"/>
      <c r="O327" s="324"/>
      <c r="P327" s="324"/>
      <c r="Q327" s="324"/>
      <c r="R327" s="324"/>
      <c r="S327" s="324"/>
      <c r="T327" s="325">
        <f t="shared" si="4"/>
        <v>55000</v>
      </c>
    </row>
    <row r="328" spans="1:20" ht="18.75" x14ac:dyDescent="0.3">
      <c r="A328" s="518" t="s">
        <v>251</v>
      </c>
      <c r="B328" s="512">
        <v>45155</v>
      </c>
      <c r="C328" s="521" t="s">
        <v>824</v>
      </c>
      <c r="D328" s="331" t="s">
        <v>825</v>
      </c>
      <c r="E328" s="328" t="s">
        <v>698</v>
      </c>
      <c r="F328" s="522">
        <v>568929</v>
      </c>
      <c r="G328" s="324" t="s">
        <v>1114</v>
      </c>
      <c r="H328" s="324">
        <v>2023</v>
      </c>
      <c r="I328" s="324"/>
      <c r="J328" s="324"/>
      <c r="K328" s="324"/>
      <c r="L328" s="324"/>
      <c r="M328" s="522">
        <v>568929</v>
      </c>
      <c r="N328" s="324"/>
      <c r="O328" s="324"/>
      <c r="P328" s="324"/>
      <c r="Q328" s="324"/>
      <c r="R328" s="324"/>
      <c r="S328" s="324"/>
      <c r="T328" s="325">
        <f t="shared" si="4"/>
        <v>568929</v>
      </c>
    </row>
    <row r="329" spans="1:20" ht="18.75" x14ac:dyDescent="0.3">
      <c r="A329" s="512" t="s">
        <v>267</v>
      </c>
      <c r="B329" s="513">
        <v>45155</v>
      </c>
      <c r="C329" s="514" t="s">
        <v>1737</v>
      </c>
      <c r="D329" s="321" t="s">
        <v>823</v>
      </c>
      <c r="E329" s="322" t="s">
        <v>1738</v>
      </c>
      <c r="F329" s="515">
        <v>605025</v>
      </c>
      <c r="G329" s="324" t="s">
        <v>1114</v>
      </c>
      <c r="H329" s="324">
        <v>2023</v>
      </c>
      <c r="I329" s="324"/>
      <c r="J329" s="324"/>
      <c r="K329" s="324"/>
      <c r="L329" s="324"/>
      <c r="M329" s="515">
        <v>605025</v>
      </c>
      <c r="N329" s="324"/>
      <c r="O329" s="324"/>
      <c r="P329" s="324"/>
      <c r="Q329" s="324"/>
      <c r="R329" s="324"/>
      <c r="S329" s="324"/>
      <c r="T329" s="325">
        <f t="shared" si="4"/>
        <v>605025</v>
      </c>
    </row>
    <row r="330" spans="1:20" ht="18.75" x14ac:dyDescent="0.3">
      <c r="A330" s="512" t="s">
        <v>679</v>
      </c>
      <c r="B330" s="513">
        <v>45155</v>
      </c>
      <c r="C330" s="514" t="s">
        <v>1130</v>
      </c>
      <c r="D330" s="321" t="s">
        <v>1131</v>
      </c>
      <c r="E330" s="322" t="s">
        <v>1132</v>
      </c>
      <c r="F330" s="515">
        <v>167208</v>
      </c>
      <c r="G330" s="324" t="s">
        <v>1114</v>
      </c>
      <c r="H330" s="324">
        <v>2023</v>
      </c>
      <c r="I330" s="324"/>
      <c r="J330" s="324"/>
      <c r="K330" s="324"/>
      <c r="L330" s="324"/>
      <c r="M330" s="515">
        <v>167208</v>
      </c>
      <c r="N330" s="324"/>
      <c r="O330" s="324"/>
      <c r="P330" s="324"/>
      <c r="Q330" s="324"/>
      <c r="R330" s="324"/>
      <c r="S330" s="324"/>
      <c r="T330" s="325">
        <f t="shared" si="4"/>
        <v>167208</v>
      </c>
    </row>
    <row r="331" spans="1:20" ht="18.75" x14ac:dyDescent="0.3">
      <c r="A331" s="527" t="s">
        <v>820</v>
      </c>
      <c r="B331" s="528">
        <v>45155</v>
      </c>
      <c r="C331" s="529" t="s">
        <v>821</v>
      </c>
      <c r="D331" s="339" t="s">
        <v>790</v>
      </c>
      <c r="E331" s="343" t="s">
        <v>822</v>
      </c>
      <c r="F331" s="530">
        <v>47422.98</v>
      </c>
      <c r="G331" s="324" t="s">
        <v>1114</v>
      </c>
      <c r="H331" s="324">
        <v>2023</v>
      </c>
      <c r="I331" s="324"/>
      <c r="J331" s="324"/>
      <c r="K331" s="324"/>
      <c r="L331" s="324"/>
      <c r="M331" s="530">
        <v>47422.98</v>
      </c>
      <c r="N331" s="324"/>
      <c r="O331" s="324"/>
      <c r="P331" s="324"/>
      <c r="Q331" s="324"/>
      <c r="R331" s="324"/>
      <c r="S331" s="324"/>
      <c r="T331" s="325">
        <f t="shared" ref="T331:T394" si="5">SUM(I331:S331)</f>
        <v>47422.98</v>
      </c>
    </row>
    <row r="332" spans="1:20" ht="18.75" x14ac:dyDescent="0.3">
      <c r="A332" s="513" t="s">
        <v>440</v>
      </c>
      <c r="B332" s="513">
        <v>45156</v>
      </c>
      <c r="C332" s="514" t="s">
        <v>826</v>
      </c>
      <c r="D332" s="321" t="s">
        <v>606</v>
      </c>
      <c r="E332" s="322" t="s">
        <v>827</v>
      </c>
      <c r="F332" s="515">
        <v>85550</v>
      </c>
      <c r="G332" s="324" t="s">
        <v>1114</v>
      </c>
      <c r="H332" s="324">
        <v>2023</v>
      </c>
      <c r="I332" s="324"/>
      <c r="J332" s="324"/>
      <c r="K332" s="324"/>
      <c r="L332" s="324"/>
      <c r="M332" s="515">
        <v>85550</v>
      </c>
      <c r="N332" s="324"/>
      <c r="O332" s="324"/>
      <c r="P332" s="324"/>
      <c r="Q332" s="324"/>
      <c r="R332" s="324"/>
      <c r="S332" s="324"/>
      <c r="T332" s="325">
        <f t="shared" si="5"/>
        <v>85550</v>
      </c>
    </row>
    <row r="333" spans="1:20" ht="18.75" x14ac:dyDescent="0.3">
      <c r="A333" s="513" t="s">
        <v>357</v>
      </c>
      <c r="B333" s="513">
        <v>45156</v>
      </c>
      <c r="C333" s="514" t="s">
        <v>828</v>
      </c>
      <c r="D333" s="321" t="s">
        <v>829</v>
      </c>
      <c r="E333" s="322" t="s">
        <v>830</v>
      </c>
      <c r="F333" s="515">
        <v>140640</v>
      </c>
      <c r="G333" s="324" t="s">
        <v>1114</v>
      </c>
      <c r="H333" s="324">
        <v>2023</v>
      </c>
      <c r="I333" s="324"/>
      <c r="J333" s="324"/>
      <c r="K333" s="324"/>
      <c r="L333" s="324"/>
      <c r="M333" s="515">
        <v>140640</v>
      </c>
      <c r="N333" s="324"/>
      <c r="O333" s="324"/>
      <c r="P333" s="324"/>
      <c r="Q333" s="324"/>
      <c r="R333" s="324"/>
      <c r="S333" s="324"/>
      <c r="T333" s="325">
        <f t="shared" si="5"/>
        <v>140640</v>
      </c>
    </row>
    <row r="334" spans="1:20" ht="18.75" x14ac:dyDescent="0.3">
      <c r="A334" s="513" t="s">
        <v>440</v>
      </c>
      <c r="B334" s="513">
        <v>45159</v>
      </c>
      <c r="C334" s="514" t="s">
        <v>826</v>
      </c>
      <c r="D334" s="321" t="s">
        <v>831</v>
      </c>
      <c r="E334" s="322" t="s">
        <v>832</v>
      </c>
      <c r="F334" s="515">
        <v>51625</v>
      </c>
      <c r="G334" s="324" t="s">
        <v>1114</v>
      </c>
      <c r="H334" s="324">
        <v>2023</v>
      </c>
      <c r="I334" s="324"/>
      <c r="J334" s="324"/>
      <c r="K334" s="324"/>
      <c r="L334" s="324"/>
      <c r="M334" s="515">
        <v>51625</v>
      </c>
      <c r="N334" s="324"/>
      <c r="O334" s="324"/>
      <c r="P334" s="324"/>
      <c r="Q334" s="324"/>
      <c r="R334" s="324"/>
      <c r="S334" s="324"/>
      <c r="T334" s="325">
        <f t="shared" si="5"/>
        <v>51625</v>
      </c>
    </row>
    <row r="335" spans="1:20" ht="18.75" x14ac:dyDescent="0.3">
      <c r="A335" s="537" t="s">
        <v>448</v>
      </c>
      <c r="B335" s="512">
        <v>45169</v>
      </c>
      <c r="C335" s="521"/>
      <c r="D335" s="327" t="s">
        <v>835</v>
      </c>
      <c r="E335" s="332" t="s">
        <v>836</v>
      </c>
      <c r="F335" s="522">
        <v>146753.29999999999</v>
      </c>
      <c r="G335" s="324" t="s">
        <v>1114</v>
      </c>
      <c r="H335" s="324">
        <v>2023</v>
      </c>
      <c r="I335" s="324"/>
      <c r="J335" s="324"/>
      <c r="K335" s="324"/>
      <c r="L335" s="324"/>
      <c r="M335" s="522">
        <v>146753.29999999999</v>
      </c>
      <c r="N335" s="324"/>
      <c r="O335" s="324"/>
      <c r="P335" s="324"/>
      <c r="Q335" s="324"/>
      <c r="R335" s="324"/>
      <c r="S335" s="324"/>
      <c r="T335" s="325">
        <f t="shared" si="5"/>
        <v>146753.29999999999</v>
      </c>
    </row>
    <row r="336" spans="1:20" ht="18.75" x14ac:dyDescent="0.3">
      <c r="A336" s="512" t="s">
        <v>685</v>
      </c>
      <c r="B336" s="512">
        <v>45169</v>
      </c>
      <c r="C336" s="536"/>
      <c r="D336" s="326" t="s">
        <v>837</v>
      </c>
      <c r="E336" s="347" t="s">
        <v>686</v>
      </c>
      <c r="F336" s="522">
        <v>53550</v>
      </c>
      <c r="G336" s="324" t="s">
        <v>1114</v>
      </c>
      <c r="H336" s="324">
        <v>2023</v>
      </c>
      <c r="I336" s="324"/>
      <c r="J336" s="324"/>
      <c r="K336" s="324"/>
      <c r="L336" s="324"/>
      <c r="M336" s="522">
        <v>53550</v>
      </c>
      <c r="N336" s="324"/>
      <c r="O336" s="324"/>
      <c r="P336" s="324"/>
      <c r="Q336" s="324"/>
      <c r="R336" s="324"/>
      <c r="S336" s="324"/>
      <c r="T336" s="325">
        <f t="shared" si="5"/>
        <v>53550</v>
      </c>
    </row>
    <row r="337" spans="1:20" ht="18.75" x14ac:dyDescent="0.3">
      <c r="A337" s="512" t="s">
        <v>396</v>
      </c>
      <c r="B337" s="513">
        <v>45169</v>
      </c>
      <c r="C337" s="514"/>
      <c r="D337" s="321" t="s">
        <v>838</v>
      </c>
      <c r="E337" s="322" t="s">
        <v>839</v>
      </c>
      <c r="F337" s="515">
        <v>92750</v>
      </c>
      <c r="G337" s="324" t="s">
        <v>1114</v>
      </c>
      <c r="H337" s="324">
        <v>2023</v>
      </c>
      <c r="I337" s="324"/>
      <c r="J337" s="324"/>
      <c r="K337" s="324"/>
      <c r="L337" s="324"/>
      <c r="M337" s="515">
        <v>92750</v>
      </c>
      <c r="N337" s="324"/>
      <c r="O337" s="324"/>
      <c r="P337" s="324"/>
      <c r="Q337" s="324"/>
      <c r="R337" s="324"/>
      <c r="S337" s="324"/>
      <c r="T337" s="325">
        <f t="shared" si="5"/>
        <v>92750</v>
      </c>
    </row>
    <row r="338" spans="1:20" ht="18.75" x14ac:dyDescent="0.3">
      <c r="A338" s="512" t="s">
        <v>256</v>
      </c>
      <c r="B338" s="513">
        <v>45170</v>
      </c>
      <c r="C338" s="514"/>
      <c r="D338" s="321" t="s">
        <v>1133</v>
      </c>
      <c r="E338" s="322" t="s">
        <v>466</v>
      </c>
      <c r="F338" s="515">
        <v>43200</v>
      </c>
      <c r="G338" s="324" t="s">
        <v>1114</v>
      </c>
      <c r="H338" s="324">
        <v>2023</v>
      </c>
      <c r="I338" s="324"/>
      <c r="J338" s="324"/>
      <c r="K338" s="324"/>
      <c r="L338" s="324"/>
      <c r="M338" s="515">
        <v>43200</v>
      </c>
      <c r="N338" s="324"/>
      <c r="O338" s="324"/>
      <c r="P338" s="324"/>
      <c r="Q338" s="324"/>
      <c r="R338" s="324"/>
      <c r="S338" s="324"/>
      <c r="T338" s="325">
        <f t="shared" si="5"/>
        <v>43200</v>
      </c>
    </row>
    <row r="339" spans="1:20" ht="37.5" x14ac:dyDescent="0.3">
      <c r="A339" s="513" t="s">
        <v>745</v>
      </c>
      <c r="B339" s="513">
        <v>45170</v>
      </c>
      <c r="C339" s="514"/>
      <c r="D339" s="321" t="s">
        <v>753</v>
      </c>
      <c r="E339" s="322" t="s">
        <v>840</v>
      </c>
      <c r="F339" s="515">
        <v>326178.56</v>
      </c>
      <c r="G339" s="324" t="s">
        <v>1114</v>
      </c>
      <c r="H339" s="324">
        <v>2023</v>
      </c>
      <c r="I339" s="324"/>
      <c r="J339" s="324"/>
      <c r="K339" s="324"/>
      <c r="L339" s="324"/>
      <c r="M339" s="515">
        <v>326178.56</v>
      </c>
      <c r="N339" s="324"/>
      <c r="O339" s="324"/>
      <c r="P339" s="324"/>
      <c r="Q339" s="324"/>
      <c r="R339" s="324"/>
      <c r="S339" s="324"/>
      <c r="T339" s="325">
        <f t="shared" si="5"/>
        <v>326178.56</v>
      </c>
    </row>
    <row r="340" spans="1:20" ht="18.75" x14ac:dyDescent="0.3">
      <c r="A340" s="513" t="s">
        <v>745</v>
      </c>
      <c r="B340" s="513">
        <v>45170</v>
      </c>
      <c r="C340" s="514" t="s">
        <v>841</v>
      </c>
      <c r="D340" s="321" t="s">
        <v>842</v>
      </c>
      <c r="E340" s="322" t="s">
        <v>843</v>
      </c>
      <c r="F340" s="515">
        <v>222045.79</v>
      </c>
      <c r="G340" s="324" t="s">
        <v>1114</v>
      </c>
      <c r="H340" s="324">
        <v>2023</v>
      </c>
      <c r="I340" s="324"/>
      <c r="J340" s="324"/>
      <c r="K340" s="324"/>
      <c r="L340" s="324"/>
      <c r="M340" s="515">
        <v>222045.79</v>
      </c>
      <c r="N340" s="324"/>
      <c r="O340" s="324"/>
      <c r="P340" s="324"/>
      <c r="Q340" s="324"/>
      <c r="R340" s="324"/>
      <c r="S340" s="324"/>
      <c r="T340" s="325">
        <f t="shared" si="5"/>
        <v>222045.79</v>
      </c>
    </row>
    <row r="341" spans="1:20" ht="18.75" x14ac:dyDescent="0.3">
      <c r="A341" s="513" t="s">
        <v>447</v>
      </c>
      <c r="B341" s="512">
        <v>45174</v>
      </c>
      <c r="C341" s="524" t="s">
        <v>845</v>
      </c>
      <c r="D341" s="330" t="s">
        <v>846</v>
      </c>
      <c r="E341" s="328" t="s">
        <v>680</v>
      </c>
      <c r="F341" s="538">
        <v>53673.46</v>
      </c>
      <c r="G341" s="324" t="s">
        <v>1114</v>
      </c>
      <c r="H341" s="324">
        <v>2023</v>
      </c>
      <c r="I341" s="324"/>
      <c r="J341" s="324"/>
      <c r="K341" s="324"/>
      <c r="L341" s="324"/>
      <c r="M341" s="538">
        <v>53673.46</v>
      </c>
      <c r="N341" s="324"/>
      <c r="O341" s="324"/>
      <c r="P341" s="324"/>
      <c r="Q341" s="324"/>
      <c r="R341" s="324"/>
      <c r="S341" s="324"/>
      <c r="T341" s="325">
        <f t="shared" si="5"/>
        <v>53673.46</v>
      </c>
    </row>
    <row r="342" spans="1:20" ht="18.75" x14ac:dyDescent="0.3">
      <c r="A342" s="513" t="s">
        <v>358</v>
      </c>
      <c r="B342" s="513">
        <v>45176</v>
      </c>
      <c r="C342" s="514" t="s">
        <v>847</v>
      </c>
      <c r="D342" s="321" t="s">
        <v>793</v>
      </c>
      <c r="E342" s="322" t="s">
        <v>848</v>
      </c>
      <c r="F342" s="515">
        <v>144840</v>
      </c>
      <c r="G342" s="324" t="s">
        <v>1114</v>
      </c>
      <c r="H342" s="324">
        <v>2023</v>
      </c>
      <c r="I342" s="324"/>
      <c r="J342" s="324"/>
      <c r="K342" s="324"/>
      <c r="L342" s="324"/>
      <c r="M342" s="515">
        <v>144840</v>
      </c>
      <c r="N342" s="324"/>
      <c r="O342" s="324"/>
      <c r="P342" s="324"/>
      <c r="Q342" s="324"/>
      <c r="R342" s="324"/>
      <c r="S342" s="324"/>
      <c r="T342" s="325">
        <f t="shared" si="5"/>
        <v>144840</v>
      </c>
    </row>
    <row r="343" spans="1:20" ht="18.75" x14ac:dyDescent="0.3">
      <c r="A343" s="512" t="s">
        <v>852</v>
      </c>
      <c r="B343" s="513">
        <v>45184</v>
      </c>
      <c r="C343" s="514" t="s">
        <v>853</v>
      </c>
      <c r="D343" s="321" t="s">
        <v>854</v>
      </c>
      <c r="E343" s="322" t="s">
        <v>855</v>
      </c>
      <c r="F343" s="515">
        <v>448400</v>
      </c>
      <c r="G343" s="324" t="s">
        <v>1114</v>
      </c>
      <c r="H343" s="324">
        <v>2023</v>
      </c>
      <c r="I343" s="324"/>
      <c r="J343" s="324"/>
      <c r="K343" s="324"/>
      <c r="L343" s="324"/>
      <c r="M343" s="515">
        <v>448400</v>
      </c>
      <c r="N343" s="324"/>
      <c r="O343" s="324"/>
      <c r="P343" s="324"/>
      <c r="Q343" s="324"/>
      <c r="R343" s="324"/>
      <c r="S343" s="324"/>
      <c r="T343" s="325">
        <f t="shared" si="5"/>
        <v>448400</v>
      </c>
    </row>
    <row r="344" spans="1:20" ht="18.75" x14ac:dyDescent="0.3">
      <c r="A344" s="512" t="s">
        <v>672</v>
      </c>
      <c r="B344" s="513">
        <v>45189</v>
      </c>
      <c r="C344" s="514" t="s">
        <v>1134</v>
      </c>
      <c r="D344" s="321" t="s">
        <v>955</v>
      </c>
      <c r="E344" s="322" t="s">
        <v>707</v>
      </c>
      <c r="F344" s="515">
        <v>26646.48</v>
      </c>
      <c r="G344" s="324" t="s">
        <v>1114</v>
      </c>
      <c r="H344" s="324">
        <v>2023</v>
      </c>
      <c r="I344" s="324"/>
      <c r="J344" s="324"/>
      <c r="K344" s="324"/>
      <c r="L344" s="324"/>
      <c r="M344" s="515">
        <v>26646.48</v>
      </c>
      <c r="N344" s="324"/>
      <c r="O344" s="324"/>
      <c r="P344" s="324"/>
      <c r="Q344" s="324"/>
      <c r="R344" s="324"/>
      <c r="S344" s="324"/>
      <c r="T344" s="325">
        <f t="shared" si="5"/>
        <v>26646.48</v>
      </c>
    </row>
    <row r="345" spans="1:20" ht="18.75" x14ac:dyDescent="0.3">
      <c r="A345" s="518" t="s">
        <v>251</v>
      </c>
      <c r="B345" s="512">
        <v>45198</v>
      </c>
      <c r="C345" s="521" t="s">
        <v>859</v>
      </c>
      <c r="D345" s="331" t="s">
        <v>860</v>
      </c>
      <c r="E345" s="328" t="s">
        <v>698</v>
      </c>
      <c r="F345" s="522">
        <v>23600</v>
      </c>
      <c r="G345" s="324" t="s">
        <v>1114</v>
      </c>
      <c r="H345" s="324">
        <v>2023</v>
      </c>
      <c r="I345" s="324"/>
      <c r="J345" s="324"/>
      <c r="K345" s="324"/>
      <c r="L345" s="324"/>
      <c r="M345" s="522">
        <v>23600</v>
      </c>
      <c r="N345" s="324"/>
      <c r="O345" s="324"/>
      <c r="P345" s="324"/>
      <c r="Q345" s="324"/>
      <c r="R345" s="324"/>
      <c r="S345" s="324"/>
      <c r="T345" s="325">
        <f t="shared" si="5"/>
        <v>23600</v>
      </c>
    </row>
    <row r="346" spans="1:20" ht="18.75" x14ac:dyDescent="0.3">
      <c r="A346" s="512" t="s">
        <v>685</v>
      </c>
      <c r="B346" s="512">
        <v>45198</v>
      </c>
      <c r="C346" s="536"/>
      <c r="D346" s="326" t="s">
        <v>858</v>
      </c>
      <c r="E346" s="347" t="s">
        <v>686</v>
      </c>
      <c r="F346" s="522">
        <v>17100</v>
      </c>
      <c r="G346" s="324" t="s">
        <v>1114</v>
      </c>
      <c r="H346" s="324">
        <v>2023</v>
      </c>
      <c r="I346" s="324"/>
      <c r="J346" s="324"/>
      <c r="K346" s="324"/>
      <c r="L346" s="324"/>
      <c r="M346" s="522">
        <v>17100</v>
      </c>
      <c r="N346" s="324"/>
      <c r="O346" s="324"/>
      <c r="P346" s="324"/>
      <c r="Q346" s="324"/>
      <c r="R346" s="324"/>
      <c r="S346" s="324"/>
      <c r="T346" s="325">
        <f t="shared" si="5"/>
        <v>17100</v>
      </c>
    </row>
    <row r="347" spans="1:20" ht="37.5" x14ac:dyDescent="0.3">
      <c r="A347" s="512" t="s">
        <v>396</v>
      </c>
      <c r="B347" s="513">
        <v>45199</v>
      </c>
      <c r="C347" s="514"/>
      <c r="D347" s="321" t="s">
        <v>861</v>
      </c>
      <c r="E347" s="322" t="s">
        <v>862</v>
      </c>
      <c r="F347" s="515">
        <v>90825</v>
      </c>
      <c r="G347" s="324" t="s">
        <v>1114</v>
      </c>
      <c r="H347" s="324">
        <v>2023</v>
      </c>
      <c r="I347" s="324"/>
      <c r="J347" s="324"/>
      <c r="K347" s="324"/>
      <c r="L347" s="324"/>
      <c r="M347" s="515">
        <v>90825</v>
      </c>
      <c r="N347" s="324"/>
      <c r="O347" s="324"/>
      <c r="P347" s="324"/>
      <c r="Q347" s="324"/>
      <c r="R347" s="324"/>
      <c r="S347" s="324"/>
      <c r="T347" s="325">
        <f t="shared" si="5"/>
        <v>90825</v>
      </c>
    </row>
    <row r="348" spans="1:20" ht="18.75" x14ac:dyDescent="0.3">
      <c r="A348" s="512" t="s">
        <v>256</v>
      </c>
      <c r="B348" s="513">
        <v>45200</v>
      </c>
      <c r="C348" s="514"/>
      <c r="D348" s="321" t="s">
        <v>1135</v>
      </c>
      <c r="E348" s="322" t="s">
        <v>466</v>
      </c>
      <c r="F348" s="515">
        <v>43200</v>
      </c>
      <c r="G348" s="324" t="s">
        <v>1114</v>
      </c>
      <c r="H348" s="324">
        <v>2023</v>
      </c>
      <c r="I348" s="324"/>
      <c r="J348" s="324"/>
      <c r="K348" s="324"/>
      <c r="L348" s="324"/>
      <c r="M348" s="515">
        <v>43200</v>
      </c>
      <c r="N348" s="324"/>
      <c r="O348" s="324"/>
      <c r="P348" s="324"/>
      <c r="Q348" s="324"/>
      <c r="R348" s="324"/>
      <c r="S348" s="324"/>
      <c r="T348" s="325">
        <f t="shared" si="5"/>
        <v>43200</v>
      </c>
    </row>
    <row r="349" spans="1:20" ht="18.75" x14ac:dyDescent="0.3">
      <c r="A349" s="527" t="s">
        <v>820</v>
      </c>
      <c r="B349" s="528">
        <v>45215</v>
      </c>
      <c r="C349" s="529" t="s">
        <v>869</v>
      </c>
      <c r="D349" s="339" t="s">
        <v>606</v>
      </c>
      <c r="E349" s="343" t="s">
        <v>822</v>
      </c>
      <c r="F349" s="530">
        <v>52227</v>
      </c>
      <c r="G349" s="324" t="s">
        <v>1114</v>
      </c>
      <c r="H349" s="324">
        <v>2023</v>
      </c>
      <c r="I349" s="324"/>
      <c r="J349" s="324"/>
      <c r="K349" s="324"/>
      <c r="L349" s="324"/>
      <c r="M349" s="530">
        <v>52227</v>
      </c>
      <c r="N349" s="324"/>
      <c r="O349" s="324"/>
      <c r="P349" s="324"/>
      <c r="Q349" s="324"/>
      <c r="R349" s="324"/>
      <c r="S349" s="324"/>
      <c r="T349" s="325">
        <f t="shared" si="5"/>
        <v>52227</v>
      </c>
    </row>
    <row r="350" spans="1:20" s="336" customFormat="1" ht="18.75" x14ac:dyDescent="0.3">
      <c r="A350" s="527" t="s">
        <v>443</v>
      </c>
      <c r="B350" s="528">
        <v>45219</v>
      </c>
      <c r="C350" s="529" t="s">
        <v>870</v>
      </c>
      <c r="D350" s="339" t="s">
        <v>731</v>
      </c>
      <c r="E350" s="340" t="s">
        <v>871</v>
      </c>
      <c r="F350" s="530">
        <v>613107.93999999994</v>
      </c>
      <c r="G350" s="324" t="s">
        <v>1114</v>
      </c>
      <c r="H350" s="324">
        <v>2023</v>
      </c>
      <c r="I350" s="335"/>
      <c r="J350" s="335"/>
      <c r="K350" s="335"/>
      <c r="L350" s="335"/>
      <c r="M350" s="530">
        <v>613107.93999999994</v>
      </c>
      <c r="N350" s="335"/>
      <c r="O350" s="335"/>
      <c r="P350" s="335"/>
      <c r="Q350" s="335"/>
      <c r="R350" s="335"/>
      <c r="S350" s="335"/>
      <c r="T350" s="325">
        <f t="shared" si="5"/>
        <v>613107.93999999994</v>
      </c>
    </row>
    <row r="351" spans="1:20" s="337" customFormat="1" ht="18.75" x14ac:dyDescent="0.3">
      <c r="A351" s="512" t="s">
        <v>267</v>
      </c>
      <c r="B351" s="513">
        <v>45225</v>
      </c>
      <c r="C351" s="514" t="s">
        <v>1739</v>
      </c>
      <c r="D351" s="321" t="s">
        <v>1740</v>
      </c>
      <c r="E351" s="322" t="s">
        <v>1741</v>
      </c>
      <c r="F351" s="515">
        <v>649250</v>
      </c>
      <c r="G351" s="324" t="s">
        <v>1114</v>
      </c>
      <c r="H351" s="324">
        <v>2023</v>
      </c>
      <c r="I351" s="324"/>
      <c r="J351" s="324"/>
      <c r="K351" s="324"/>
      <c r="L351" s="324"/>
      <c r="M351" s="515">
        <v>649250</v>
      </c>
      <c r="N351" s="324"/>
      <c r="O351" s="324"/>
      <c r="P351" s="324"/>
      <c r="Q351" s="324"/>
      <c r="R351" s="324"/>
      <c r="S351" s="324"/>
      <c r="T351" s="325">
        <f t="shared" si="5"/>
        <v>649250</v>
      </c>
    </row>
    <row r="352" spans="1:20" s="337" customFormat="1" ht="18.75" x14ac:dyDescent="0.3">
      <c r="A352" s="512" t="s">
        <v>396</v>
      </c>
      <c r="B352" s="513">
        <v>45230</v>
      </c>
      <c r="C352" s="514"/>
      <c r="D352" s="321" t="s">
        <v>877</v>
      </c>
      <c r="E352" s="322" t="s">
        <v>878</v>
      </c>
      <c r="F352" s="515">
        <v>98525</v>
      </c>
      <c r="G352" s="324" t="s">
        <v>1114</v>
      </c>
      <c r="H352" s="324">
        <v>2023</v>
      </c>
      <c r="I352" s="324"/>
      <c r="J352" s="324"/>
      <c r="K352" s="324"/>
      <c r="L352" s="324"/>
      <c r="M352" s="515">
        <v>98525</v>
      </c>
      <c r="N352" s="324"/>
      <c r="O352" s="324"/>
      <c r="P352" s="324"/>
      <c r="Q352" s="324"/>
      <c r="R352" s="324"/>
      <c r="S352" s="324"/>
      <c r="T352" s="325">
        <f t="shared" si="5"/>
        <v>98525</v>
      </c>
    </row>
    <row r="353" spans="1:20" s="337" customFormat="1" ht="18.75" x14ac:dyDescent="0.3">
      <c r="A353" s="512" t="s">
        <v>256</v>
      </c>
      <c r="B353" s="513">
        <v>45231</v>
      </c>
      <c r="C353" s="514"/>
      <c r="D353" s="321" t="s">
        <v>1137</v>
      </c>
      <c r="E353" s="322" t="s">
        <v>466</v>
      </c>
      <c r="F353" s="515">
        <v>43200</v>
      </c>
      <c r="G353" s="324" t="s">
        <v>1114</v>
      </c>
      <c r="H353" s="324">
        <v>2023</v>
      </c>
      <c r="I353" s="324"/>
      <c r="J353" s="324"/>
      <c r="K353" s="324"/>
      <c r="L353" s="324"/>
      <c r="M353" s="515">
        <v>43200</v>
      </c>
      <c r="N353" s="324"/>
      <c r="O353" s="324"/>
      <c r="P353" s="324"/>
      <c r="Q353" s="324"/>
      <c r="R353" s="324"/>
      <c r="S353" s="324"/>
      <c r="T353" s="325">
        <f t="shared" si="5"/>
        <v>43200</v>
      </c>
    </row>
    <row r="354" spans="1:20" s="336" customFormat="1" ht="18.75" x14ac:dyDescent="0.3">
      <c r="A354" s="512" t="s">
        <v>685</v>
      </c>
      <c r="B354" s="512">
        <v>45232</v>
      </c>
      <c r="C354" s="536" t="s">
        <v>1043</v>
      </c>
      <c r="D354" s="326" t="s">
        <v>1044</v>
      </c>
      <c r="E354" s="347" t="s">
        <v>686</v>
      </c>
      <c r="F354" s="522">
        <v>12050</v>
      </c>
      <c r="G354" s="324" t="s">
        <v>1114</v>
      </c>
      <c r="H354" s="324">
        <v>2023</v>
      </c>
      <c r="I354" s="335"/>
      <c r="J354" s="335"/>
      <c r="K354" s="335"/>
      <c r="L354" s="335"/>
      <c r="M354" s="522">
        <v>12050</v>
      </c>
      <c r="N354" s="335"/>
      <c r="O354" s="335"/>
      <c r="P354" s="335"/>
      <c r="Q354" s="335"/>
      <c r="R354" s="335"/>
      <c r="S354" s="335"/>
      <c r="T354" s="325">
        <f t="shared" si="5"/>
        <v>12050</v>
      </c>
    </row>
    <row r="355" spans="1:20" ht="18.75" x14ac:dyDescent="0.3">
      <c r="A355" s="512" t="s">
        <v>782</v>
      </c>
      <c r="B355" s="512">
        <v>45233</v>
      </c>
      <c r="C355" s="521" t="s">
        <v>880</v>
      </c>
      <c r="D355" s="329" t="s">
        <v>881</v>
      </c>
      <c r="E355" s="328" t="s">
        <v>882</v>
      </c>
      <c r="F355" s="522">
        <v>237925.2</v>
      </c>
      <c r="G355" s="324" t="s">
        <v>1114</v>
      </c>
      <c r="H355" s="324">
        <v>2023</v>
      </c>
      <c r="I355" s="324"/>
      <c r="J355" s="324"/>
      <c r="K355" s="324"/>
      <c r="L355" s="324"/>
      <c r="M355" s="522">
        <v>237925.2</v>
      </c>
      <c r="N355" s="324"/>
      <c r="O355" s="324"/>
      <c r="P355" s="324"/>
      <c r="Q355" s="324"/>
      <c r="R355" s="324"/>
      <c r="S355" s="324"/>
      <c r="T355" s="325">
        <f t="shared" si="5"/>
        <v>237925.2</v>
      </c>
    </row>
    <row r="356" spans="1:20" ht="18.75" x14ac:dyDescent="0.3">
      <c r="A356" s="518" t="s">
        <v>251</v>
      </c>
      <c r="B356" s="512">
        <v>45238</v>
      </c>
      <c r="C356" s="521" t="s">
        <v>887</v>
      </c>
      <c r="D356" s="331" t="s">
        <v>888</v>
      </c>
      <c r="E356" s="328" t="s">
        <v>698</v>
      </c>
      <c r="F356" s="522">
        <v>36562</v>
      </c>
      <c r="G356" s="324" t="s">
        <v>1114</v>
      </c>
      <c r="H356" s="324">
        <v>2023</v>
      </c>
      <c r="I356" s="324"/>
      <c r="J356" s="324"/>
      <c r="K356" s="324"/>
      <c r="L356" s="324"/>
      <c r="M356" s="522">
        <v>36562</v>
      </c>
      <c r="N356" s="324"/>
      <c r="O356" s="324"/>
      <c r="P356" s="324"/>
      <c r="Q356" s="324"/>
      <c r="R356" s="324"/>
      <c r="S356" s="324"/>
      <c r="T356" s="325">
        <f t="shared" si="5"/>
        <v>36562</v>
      </c>
    </row>
    <row r="357" spans="1:20" ht="18.75" x14ac:dyDescent="0.3">
      <c r="A357" s="518" t="s">
        <v>884</v>
      </c>
      <c r="B357" s="513">
        <v>45238</v>
      </c>
      <c r="C357" s="514" t="s">
        <v>885</v>
      </c>
      <c r="D357" s="321" t="s">
        <v>704</v>
      </c>
      <c r="E357" s="322" t="s">
        <v>886</v>
      </c>
      <c r="F357" s="515">
        <v>221958</v>
      </c>
      <c r="G357" s="324" t="s">
        <v>1114</v>
      </c>
      <c r="H357" s="324">
        <v>2023</v>
      </c>
      <c r="I357" s="324"/>
      <c r="J357" s="324"/>
      <c r="K357" s="324"/>
      <c r="L357" s="324"/>
      <c r="M357" s="515">
        <v>221958</v>
      </c>
      <c r="N357" s="324"/>
      <c r="O357" s="324"/>
      <c r="P357" s="324"/>
      <c r="Q357" s="324"/>
      <c r="R357" s="324"/>
      <c r="S357" s="324"/>
      <c r="T357" s="325">
        <f t="shared" si="5"/>
        <v>221958</v>
      </c>
    </row>
    <row r="358" spans="1:20" ht="18.75" x14ac:dyDescent="0.3">
      <c r="A358" s="512" t="s">
        <v>889</v>
      </c>
      <c r="B358" s="513">
        <v>45239</v>
      </c>
      <c r="C358" s="514"/>
      <c r="D358" s="321" t="s">
        <v>876</v>
      </c>
      <c r="E358" s="322" t="s">
        <v>890</v>
      </c>
      <c r="F358" s="515">
        <v>223020</v>
      </c>
      <c r="G358" s="324" t="s">
        <v>1114</v>
      </c>
      <c r="H358" s="324">
        <v>2023</v>
      </c>
      <c r="I358" s="324"/>
      <c r="J358" s="324"/>
      <c r="K358" s="324"/>
      <c r="L358" s="324"/>
      <c r="M358" s="515">
        <v>223020</v>
      </c>
      <c r="N358" s="324"/>
      <c r="O358" s="324"/>
      <c r="P358" s="324"/>
      <c r="Q358" s="324"/>
      <c r="R358" s="324"/>
      <c r="S358" s="324"/>
      <c r="T358" s="325">
        <f t="shared" si="5"/>
        <v>223020</v>
      </c>
    </row>
    <row r="359" spans="1:20" ht="18.75" x14ac:dyDescent="0.3">
      <c r="A359" s="518" t="s">
        <v>884</v>
      </c>
      <c r="B359" s="513">
        <v>45244</v>
      </c>
      <c r="C359" s="514" t="s">
        <v>891</v>
      </c>
      <c r="D359" s="321" t="s">
        <v>892</v>
      </c>
      <c r="E359" s="322" t="s">
        <v>893</v>
      </c>
      <c r="F359" s="515">
        <v>52864</v>
      </c>
      <c r="G359" s="324" t="s">
        <v>1114</v>
      </c>
      <c r="H359" s="324">
        <v>2023</v>
      </c>
      <c r="I359" s="324"/>
      <c r="J359" s="324"/>
      <c r="K359" s="324"/>
      <c r="L359" s="324"/>
      <c r="M359" s="515">
        <v>52864</v>
      </c>
      <c r="N359" s="324"/>
      <c r="O359" s="324"/>
      <c r="P359" s="324"/>
      <c r="Q359" s="324"/>
      <c r="R359" s="324"/>
      <c r="S359" s="324"/>
      <c r="T359" s="325">
        <f t="shared" si="5"/>
        <v>52864</v>
      </c>
    </row>
    <row r="360" spans="1:20" ht="18.75" x14ac:dyDescent="0.3">
      <c r="A360" s="518" t="s">
        <v>346</v>
      </c>
      <c r="B360" s="513">
        <v>45245</v>
      </c>
      <c r="C360" s="514" t="s">
        <v>894</v>
      </c>
      <c r="D360" s="321" t="s">
        <v>895</v>
      </c>
      <c r="E360" s="322" t="s">
        <v>896</v>
      </c>
      <c r="F360" s="515">
        <v>113740.2</v>
      </c>
      <c r="G360" s="324" t="s">
        <v>1114</v>
      </c>
      <c r="H360" s="324">
        <v>2023</v>
      </c>
      <c r="I360" s="324"/>
      <c r="J360" s="324"/>
      <c r="K360" s="324"/>
      <c r="L360" s="324"/>
      <c r="M360" s="515">
        <v>113740.2</v>
      </c>
      <c r="N360" s="324"/>
      <c r="O360" s="324"/>
      <c r="P360" s="324"/>
      <c r="Q360" s="324"/>
      <c r="R360" s="324"/>
      <c r="S360" s="324"/>
      <c r="T360" s="325">
        <f t="shared" si="5"/>
        <v>113740.2</v>
      </c>
    </row>
    <row r="361" spans="1:20" ht="18.75" x14ac:dyDescent="0.3">
      <c r="A361" s="518" t="s">
        <v>251</v>
      </c>
      <c r="B361" s="512">
        <v>45246</v>
      </c>
      <c r="C361" s="521" t="s">
        <v>887</v>
      </c>
      <c r="D361" s="331" t="s">
        <v>897</v>
      </c>
      <c r="E361" s="328" t="s">
        <v>698</v>
      </c>
      <c r="F361" s="522">
        <v>307721</v>
      </c>
      <c r="G361" s="324" t="s">
        <v>1114</v>
      </c>
      <c r="H361" s="324">
        <v>2023</v>
      </c>
      <c r="I361" s="324"/>
      <c r="J361" s="324"/>
      <c r="K361" s="324"/>
      <c r="L361" s="324"/>
      <c r="M361" s="522">
        <v>307721</v>
      </c>
      <c r="N361" s="324"/>
      <c r="O361" s="324"/>
      <c r="P361" s="324"/>
      <c r="Q361" s="324"/>
      <c r="R361" s="324"/>
      <c r="S361" s="324"/>
      <c r="T361" s="325">
        <f t="shared" si="5"/>
        <v>307721</v>
      </c>
    </row>
    <row r="362" spans="1:20" ht="18.75" x14ac:dyDescent="0.3">
      <c r="A362" s="512" t="s">
        <v>766</v>
      </c>
      <c r="B362" s="513">
        <v>45247</v>
      </c>
      <c r="C362" s="514" t="s">
        <v>1046</v>
      </c>
      <c r="D362" s="321" t="s">
        <v>959</v>
      </c>
      <c r="E362" s="322" t="s">
        <v>769</v>
      </c>
      <c r="F362" s="515">
        <v>155347</v>
      </c>
      <c r="G362" s="324" t="s">
        <v>1114</v>
      </c>
      <c r="H362" s="324">
        <v>2023</v>
      </c>
      <c r="I362" s="324"/>
      <c r="J362" s="324"/>
      <c r="K362" s="324"/>
      <c r="L362" s="324"/>
      <c r="M362" s="515">
        <v>155347</v>
      </c>
      <c r="N362" s="324"/>
      <c r="O362" s="324"/>
      <c r="P362" s="324"/>
      <c r="Q362" s="324"/>
      <c r="R362" s="324"/>
      <c r="S362" s="324"/>
      <c r="T362" s="325">
        <f t="shared" si="5"/>
        <v>155347</v>
      </c>
    </row>
    <row r="363" spans="1:20" s="336" customFormat="1" ht="18.75" x14ac:dyDescent="0.3">
      <c r="A363" s="513" t="s">
        <v>956</v>
      </c>
      <c r="B363" s="513">
        <v>45247</v>
      </c>
      <c r="C363" s="514" t="s">
        <v>957</v>
      </c>
      <c r="D363" s="321" t="s">
        <v>837</v>
      </c>
      <c r="E363" s="322" t="s">
        <v>958</v>
      </c>
      <c r="F363" s="515">
        <v>35492.04</v>
      </c>
      <c r="G363" s="324" t="s">
        <v>1114</v>
      </c>
      <c r="H363" s="324">
        <v>2023</v>
      </c>
      <c r="I363" s="335"/>
      <c r="J363" s="335"/>
      <c r="K363" s="335"/>
      <c r="L363" s="335"/>
      <c r="M363" s="515">
        <v>35492.04</v>
      </c>
      <c r="N363" s="335"/>
      <c r="O363" s="335"/>
      <c r="P363" s="335"/>
      <c r="Q363" s="335"/>
      <c r="R363" s="335"/>
      <c r="S363" s="335"/>
      <c r="T363" s="325">
        <f t="shared" si="5"/>
        <v>35492.04</v>
      </c>
    </row>
    <row r="364" spans="1:20" ht="18.75" x14ac:dyDescent="0.3">
      <c r="A364" s="512" t="s">
        <v>449</v>
      </c>
      <c r="B364" s="528">
        <v>45250</v>
      </c>
      <c r="C364" s="529" t="s">
        <v>1742</v>
      </c>
      <c r="D364" s="339" t="s">
        <v>1743</v>
      </c>
      <c r="E364" s="340"/>
      <c r="F364" s="530">
        <v>150096</v>
      </c>
      <c r="G364" s="324" t="s">
        <v>1114</v>
      </c>
      <c r="H364" s="324">
        <v>2023</v>
      </c>
      <c r="I364" s="324"/>
      <c r="J364" s="324"/>
      <c r="K364" s="324"/>
      <c r="L364" s="324"/>
      <c r="M364" s="530">
        <v>150096</v>
      </c>
      <c r="N364" s="324"/>
      <c r="O364" s="324"/>
      <c r="P364" s="324"/>
      <c r="Q364" s="324"/>
      <c r="R364" s="324"/>
      <c r="S364" s="324"/>
      <c r="T364" s="325">
        <f t="shared" si="5"/>
        <v>150096</v>
      </c>
    </row>
    <row r="365" spans="1:20" ht="18.75" x14ac:dyDescent="0.3">
      <c r="A365" s="512" t="s">
        <v>960</v>
      </c>
      <c r="B365" s="513">
        <v>45250</v>
      </c>
      <c r="C365" s="514" t="s">
        <v>899</v>
      </c>
      <c r="D365" s="321" t="s">
        <v>900</v>
      </c>
      <c r="E365" s="322" t="s">
        <v>1047</v>
      </c>
      <c r="F365" s="515">
        <v>686699.23</v>
      </c>
      <c r="G365" s="324" t="s">
        <v>1114</v>
      </c>
      <c r="H365" s="324">
        <v>2023</v>
      </c>
      <c r="I365" s="324"/>
      <c r="J365" s="324"/>
      <c r="K365" s="324"/>
      <c r="L365" s="324"/>
      <c r="M365" s="515">
        <v>686699.23</v>
      </c>
      <c r="N365" s="324"/>
      <c r="O365" s="324"/>
      <c r="P365" s="324"/>
      <c r="Q365" s="324"/>
      <c r="R365" s="324"/>
      <c r="S365" s="324"/>
      <c r="T365" s="325">
        <f t="shared" si="5"/>
        <v>686699.23</v>
      </c>
    </row>
    <row r="366" spans="1:20" ht="18.75" x14ac:dyDescent="0.3">
      <c r="A366" s="512" t="s">
        <v>1744</v>
      </c>
      <c r="B366" s="513">
        <v>45252</v>
      </c>
      <c r="C366" s="514" t="s">
        <v>901</v>
      </c>
      <c r="D366" s="321" t="s">
        <v>902</v>
      </c>
      <c r="E366" s="322" t="s">
        <v>903</v>
      </c>
      <c r="F366" s="515">
        <v>225000</v>
      </c>
      <c r="G366" s="324" t="s">
        <v>1114</v>
      </c>
      <c r="H366" s="324">
        <v>2023</v>
      </c>
      <c r="I366" s="324"/>
      <c r="J366" s="324"/>
      <c r="K366" s="324"/>
      <c r="L366" s="324"/>
      <c r="M366" s="515">
        <v>225000</v>
      </c>
      <c r="N366" s="324"/>
      <c r="O366" s="324"/>
      <c r="P366" s="324"/>
      <c r="Q366" s="324"/>
      <c r="R366" s="324"/>
      <c r="S366" s="324"/>
      <c r="T366" s="325">
        <f t="shared" si="5"/>
        <v>225000</v>
      </c>
    </row>
    <row r="367" spans="1:20" s="336" customFormat="1" ht="18.75" x14ac:dyDescent="0.3">
      <c r="A367" s="518" t="s">
        <v>251</v>
      </c>
      <c r="B367" s="512">
        <v>45253</v>
      </c>
      <c r="C367" s="521" t="s">
        <v>887</v>
      </c>
      <c r="D367" s="331" t="s">
        <v>909</v>
      </c>
      <c r="E367" s="349" t="s">
        <v>910</v>
      </c>
      <c r="F367" s="522">
        <v>6900</v>
      </c>
      <c r="G367" s="324" t="s">
        <v>1114</v>
      </c>
      <c r="H367" s="324">
        <v>2023</v>
      </c>
      <c r="I367" s="335"/>
      <c r="J367" s="335"/>
      <c r="K367" s="335"/>
      <c r="L367" s="335"/>
      <c r="M367" s="522">
        <v>6900</v>
      </c>
      <c r="N367" s="335"/>
      <c r="O367" s="335"/>
      <c r="P367" s="335"/>
      <c r="Q367" s="335"/>
      <c r="R367" s="335"/>
      <c r="S367" s="335"/>
      <c r="T367" s="325">
        <f t="shared" si="5"/>
        <v>6900</v>
      </c>
    </row>
    <row r="368" spans="1:20" s="336" customFormat="1" ht="18.75" x14ac:dyDescent="0.3">
      <c r="A368" s="512" t="s">
        <v>852</v>
      </c>
      <c r="B368" s="513">
        <v>45253</v>
      </c>
      <c r="C368" s="514" t="s">
        <v>906</v>
      </c>
      <c r="D368" s="321" t="s">
        <v>907</v>
      </c>
      <c r="E368" s="322" t="s">
        <v>908</v>
      </c>
      <c r="F368" s="515">
        <v>177944</v>
      </c>
      <c r="G368" s="324" t="s">
        <v>1114</v>
      </c>
      <c r="H368" s="324">
        <v>2023</v>
      </c>
      <c r="I368" s="335"/>
      <c r="J368" s="335"/>
      <c r="K368" s="335"/>
      <c r="L368" s="335"/>
      <c r="M368" s="515">
        <v>177944</v>
      </c>
      <c r="N368" s="335"/>
      <c r="O368" s="335"/>
      <c r="P368" s="335"/>
      <c r="Q368" s="335"/>
      <c r="R368" s="335"/>
      <c r="S368" s="335"/>
      <c r="T368" s="325">
        <f t="shared" si="5"/>
        <v>177944</v>
      </c>
    </row>
    <row r="369" spans="1:20" ht="18.75" x14ac:dyDescent="0.3">
      <c r="A369" s="513" t="s">
        <v>956</v>
      </c>
      <c r="B369" s="513">
        <v>45254</v>
      </c>
      <c r="C369" s="514" t="s">
        <v>1048</v>
      </c>
      <c r="D369" s="321" t="s">
        <v>1049</v>
      </c>
      <c r="E369" s="322" t="s">
        <v>1050</v>
      </c>
      <c r="F369" s="515">
        <v>250000</v>
      </c>
      <c r="G369" s="324" t="s">
        <v>1114</v>
      </c>
      <c r="H369" s="324">
        <v>2023</v>
      </c>
      <c r="I369" s="324"/>
      <c r="J369" s="324"/>
      <c r="K369" s="324"/>
      <c r="L369" s="324"/>
      <c r="M369" s="515">
        <v>250000</v>
      </c>
      <c r="N369" s="324"/>
      <c r="O369" s="324"/>
      <c r="P369" s="324"/>
      <c r="Q369" s="324"/>
      <c r="R369" s="324"/>
      <c r="S369" s="324"/>
      <c r="T369" s="325">
        <f t="shared" si="5"/>
        <v>250000</v>
      </c>
    </row>
    <row r="370" spans="1:20" ht="18.75" x14ac:dyDescent="0.3">
      <c r="A370" s="512" t="s">
        <v>685</v>
      </c>
      <c r="B370" s="512">
        <v>45260</v>
      </c>
      <c r="C370" s="536"/>
      <c r="D370" s="326" t="s">
        <v>1051</v>
      </c>
      <c r="E370" s="347" t="s">
        <v>686</v>
      </c>
      <c r="F370" s="522">
        <v>84275</v>
      </c>
      <c r="G370" s="324" t="s">
        <v>1114</v>
      </c>
      <c r="H370" s="324">
        <v>2023</v>
      </c>
      <c r="I370" s="324"/>
      <c r="J370" s="324"/>
      <c r="K370" s="324"/>
      <c r="L370" s="324"/>
      <c r="M370" s="522">
        <v>84275</v>
      </c>
      <c r="N370" s="324"/>
      <c r="O370" s="324"/>
      <c r="P370" s="324"/>
      <c r="Q370" s="324"/>
      <c r="R370" s="324"/>
      <c r="S370" s="324"/>
      <c r="T370" s="325">
        <f t="shared" si="5"/>
        <v>84275</v>
      </c>
    </row>
    <row r="371" spans="1:20" ht="37.5" x14ac:dyDescent="0.3">
      <c r="A371" s="512" t="s">
        <v>396</v>
      </c>
      <c r="B371" s="513">
        <v>45260</v>
      </c>
      <c r="C371" s="514" t="s">
        <v>914</v>
      </c>
      <c r="D371" s="321" t="s">
        <v>915</v>
      </c>
      <c r="E371" s="322" t="s">
        <v>916</v>
      </c>
      <c r="F371" s="515">
        <v>97414</v>
      </c>
      <c r="G371" s="324" t="s">
        <v>1114</v>
      </c>
      <c r="H371" s="324">
        <v>2023</v>
      </c>
      <c r="I371" s="324"/>
      <c r="J371" s="324"/>
      <c r="K371" s="324"/>
      <c r="L371" s="324"/>
      <c r="M371" s="515">
        <v>97414</v>
      </c>
      <c r="N371" s="324"/>
      <c r="O371" s="324"/>
      <c r="P371" s="324"/>
      <c r="Q371" s="324"/>
      <c r="R371" s="324"/>
      <c r="S371" s="324"/>
      <c r="T371" s="325">
        <f t="shared" si="5"/>
        <v>97414</v>
      </c>
    </row>
    <row r="372" spans="1:20" ht="18.75" x14ac:dyDescent="0.3">
      <c r="A372" s="512" t="s">
        <v>256</v>
      </c>
      <c r="B372" s="513">
        <v>45261</v>
      </c>
      <c r="C372" s="514"/>
      <c r="D372" s="321" t="s">
        <v>1138</v>
      </c>
      <c r="E372" s="322" t="s">
        <v>466</v>
      </c>
      <c r="F372" s="515">
        <v>43200</v>
      </c>
      <c r="G372" s="324" t="s">
        <v>1114</v>
      </c>
      <c r="H372" s="324">
        <v>2023</v>
      </c>
      <c r="I372" s="324"/>
      <c r="J372" s="324"/>
      <c r="K372" s="324"/>
      <c r="L372" s="324"/>
      <c r="M372" s="515">
        <v>43200</v>
      </c>
      <c r="N372" s="324"/>
      <c r="O372" s="324"/>
      <c r="P372" s="324"/>
      <c r="Q372" s="324"/>
      <c r="R372" s="324"/>
      <c r="S372" s="324"/>
      <c r="T372" s="325">
        <f t="shared" si="5"/>
        <v>43200</v>
      </c>
    </row>
    <row r="373" spans="1:20" ht="18.75" x14ac:dyDescent="0.3">
      <c r="A373" s="513" t="s">
        <v>697</v>
      </c>
      <c r="B373" s="513">
        <v>45261</v>
      </c>
      <c r="C373" s="514"/>
      <c r="D373" s="321" t="s">
        <v>1745</v>
      </c>
      <c r="E373" s="322" t="s">
        <v>1746</v>
      </c>
      <c r="F373" s="515">
        <v>200000</v>
      </c>
      <c r="G373" s="324" t="s">
        <v>1114</v>
      </c>
      <c r="H373" s="324">
        <v>2023</v>
      </c>
      <c r="I373" s="324"/>
      <c r="J373" s="324"/>
      <c r="K373" s="324"/>
      <c r="L373" s="324"/>
      <c r="M373" s="515">
        <v>200000</v>
      </c>
      <c r="N373" s="324"/>
      <c r="O373" s="324"/>
      <c r="P373" s="324"/>
      <c r="Q373" s="324"/>
      <c r="R373" s="324"/>
      <c r="S373" s="324"/>
      <c r="T373" s="325">
        <f t="shared" si="5"/>
        <v>200000</v>
      </c>
    </row>
    <row r="374" spans="1:20" ht="18.75" x14ac:dyDescent="0.3">
      <c r="A374" s="513" t="s">
        <v>358</v>
      </c>
      <c r="B374" s="513">
        <v>45264</v>
      </c>
      <c r="C374" s="514" t="s">
        <v>917</v>
      </c>
      <c r="D374" s="321" t="s">
        <v>918</v>
      </c>
      <c r="E374" s="322" t="s">
        <v>879</v>
      </c>
      <c r="F374" s="515">
        <v>212400</v>
      </c>
      <c r="G374" s="324" t="s">
        <v>1114</v>
      </c>
      <c r="H374" s="324">
        <v>2023</v>
      </c>
      <c r="I374" s="324"/>
      <c r="J374" s="324"/>
      <c r="K374" s="324"/>
      <c r="L374" s="324"/>
      <c r="M374" s="515">
        <v>212400</v>
      </c>
      <c r="N374" s="324"/>
      <c r="O374" s="324"/>
      <c r="P374" s="324"/>
      <c r="Q374" s="324"/>
      <c r="R374" s="324"/>
      <c r="S374" s="324"/>
      <c r="T374" s="325">
        <f t="shared" si="5"/>
        <v>212400</v>
      </c>
    </row>
    <row r="375" spans="1:20" ht="37.5" x14ac:dyDescent="0.3">
      <c r="A375" s="513" t="s">
        <v>697</v>
      </c>
      <c r="B375" s="513">
        <v>45267</v>
      </c>
      <c r="C375" s="514" t="s">
        <v>1139</v>
      </c>
      <c r="D375" s="321" t="s">
        <v>1140</v>
      </c>
      <c r="E375" s="322" t="s">
        <v>1141</v>
      </c>
      <c r="F375" s="515">
        <v>224790</v>
      </c>
      <c r="G375" s="324" t="s">
        <v>1114</v>
      </c>
      <c r="H375" s="324">
        <v>2023</v>
      </c>
      <c r="I375" s="324"/>
      <c r="J375" s="324"/>
      <c r="K375" s="324"/>
      <c r="L375" s="324"/>
      <c r="M375" s="515">
        <v>224790</v>
      </c>
      <c r="N375" s="324"/>
      <c r="O375" s="324"/>
      <c r="P375" s="324"/>
      <c r="Q375" s="324"/>
      <c r="R375" s="324"/>
      <c r="S375" s="324"/>
      <c r="T375" s="325">
        <f t="shared" si="5"/>
        <v>224790</v>
      </c>
    </row>
    <row r="376" spans="1:20" ht="18.75" x14ac:dyDescent="0.3">
      <c r="A376" s="512" t="s">
        <v>271</v>
      </c>
      <c r="B376" s="512">
        <v>45268</v>
      </c>
      <c r="C376" s="521" t="s">
        <v>1052</v>
      </c>
      <c r="D376" s="321" t="s">
        <v>1053</v>
      </c>
      <c r="E376" s="328" t="s">
        <v>680</v>
      </c>
      <c r="F376" s="522">
        <v>126023.43</v>
      </c>
      <c r="G376" s="324" t="s">
        <v>1114</v>
      </c>
      <c r="H376" s="324">
        <v>2023</v>
      </c>
      <c r="I376" s="324"/>
      <c r="J376" s="324"/>
      <c r="K376" s="324"/>
      <c r="L376" s="324"/>
      <c r="M376" s="522">
        <v>126023.43</v>
      </c>
      <c r="N376" s="324"/>
      <c r="O376" s="324"/>
      <c r="P376" s="324"/>
      <c r="Q376" s="324"/>
      <c r="R376" s="324"/>
      <c r="S376" s="324"/>
      <c r="T376" s="325">
        <f t="shared" si="5"/>
        <v>126023.43</v>
      </c>
    </row>
    <row r="377" spans="1:20" ht="18.75" x14ac:dyDescent="0.3">
      <c r="A377" s="512" t="s">
        <v>922</v>
      </c>
      <c r="B377" s="513">
        <v>45268</v>
      </c>
      <c r="C377" s="514" t="s">
        <v>923</v>
      </c>
      <c r="D377" s="321" t="s">
        <v>924</v>
      </c>
      <c r="E377" s="328" t="s">
        <v>680</v>
      </c>
      <c r="F377" s="515">
        <v>105176</v>
      </c>
      <c r="G377" s="324" t="s">
        <v>1114</v>
      </c>
      <c r="H377" s="324">
        <v>2023</v>
      </c>
      <c r="I377" s="324"/>
      <c r="J377" s="324"/>
      <c r="K377" s="324"/>
      <c r="L377" s="324"/>
      <c r="M377" s="515">
        <v>105176</v>
      </c>
      <c r="N377" s="324"/>
      <c r="O377" s="324"/>
      <c r="P377" s="324"/>
      <c r="Q377" s="324"/>
      <c r="R377" s="324"/>
      <c r="S377" s="324"/>
      <c r="T377" s="325">
        <f t="shared" si="5"/>
        <v>105176</v>
      </c>
    </row>
    <row r="378" spans="1:20" s="336" customFormat="1" ht="18.75" x14ac:dyDescent="0.3">
      <c r="A378" s="513" t="s">
        <v>883</v>
      </c>
      <c r="B378" s="513">
        <v>45271</v>
      </c>
      <c r="C378" s="514" t="s">
        <v>1142</v>
      </c>
      <c r="D378" s="321" t="s">
        <v>925</v>
      </c>
      <c r="E378" s="322" t="s">
        <v>755</v>
      </c>
      <c r="F378" s="515">
        <v>13673</v>
      </c>
      <c r="G378" s="324" t="s">
        <v>1114</v>
      </c>
      <c r="H378" s="324">
        <v>2023</v>
      </c>
      <c r="I378" s="335"/>
      <c r="J378" s="335"/>
      <c r="K378" s="335"/>
      <c r="L378" s="335"/>
      <c r="M378" s="515">
        <v>13673</v>
      </c>
      <c r="N378" s="335"/>
      <c r="O378" s="335"/>
      <c r="P378" s="335"/>
      <c r="Q378" s="335"/>
      <c r="R378" s="335"/>
      <c r="S378" s="335"/>
      <c r="T378" s="325">
        <f t="shared" si="5"/>
        <v>13673</v>
      </c>
    </row>
    <row r="379" spans="1:20" s="336" customFormat="1" ht="18.75" x14ac:dyDescent="0.3">
      <c r="A379" s="512" t="s">
        <v>387</v>
      </c>
      <c r="B379" s="527">
        <v>45271</v>
      </c>
      <c r="C379" s="531" t="s">
        <v>927</v>
      </c>
      <c r="D379" s="342" t="s">
        <v>928</v>
      </c>
      <c r="E379" s="343" t="s">
        <v>819</v>
      </c>
      <c r="F379" s="532">
        <v>47500</v>
      </c>
      <c r="G379" s="324" t="s">
        <v>1114</v>
      </c>
      <c r="H379" s="324">
        <v>2023</v>
      </c>
      <c r="I379" s="335"/>
      <c r="J379" s="335"/>
      <c r="K379" s="335"/>
      <c r="L379" s="335"/>
      <c r="M379" s="532">
        <v>47500</v>
      </c>
      <c r="N379" s="335"/>
      <c r="O379" s="335"/>
      <c r="P379" s="335"/>
      <c r="Q379" s="335"/>
      <c r="R379" s="335"/>
      <c r="S379" s="335"/>
      <c r="T379" s="325">
        <f t="shared" si="5"/>
        <v>47500</v>
      </c>
    </row>
    <row r="380" spans="1:20" s="336" customFormat="1" ht="18.75" x14ac:dyDescent="0.3">
      <c r="A380" s="512" t="s">
        <v>960</v>
      </c>
      <c r="B380" s="513">
        <v>45278</v>
      </c>
      <c r="C380" s="514" t="s">
        <v>934</v>
      </c>
      <c r="D380" s="321" t="s">
        <v>935</v>
      </c>
      <c r="E380" s="322" t="s">
        <v>1047</v>
      </c>
      <c r="F380" s="515">
        <v>16372.5</v>
      </c>
      <c r="G380" s="324" t="s">
        <v>1114</v>
      </c>
      <c r="H380" s="324">
        <v>2023</v>
      </c>
      <c r="I380" s="335"/>
      <c r="J380" s="335"/>
      <c r="K380" s="335"/>
      <c r="L380" s="335"/>
      <c r="M380" s="515">
        <v>16372.5</v>
      </c>
      <c r="N380" s="335"/>
      <c r="O380" s="335"/>
      <c r="P380" s="335"/>
      <c r="Q380" s="335"/>
      <c r="R380" s="335"/>
      <c r="S380" s="335"/>
      <c r="T380" s="325">
        <f t="shared" si="5"/>
        <v>16372.5</v>
      </c>
    </row>
    <row r="381" spans="1:20" s="336" customFormat="1" ht="18.75" x14ac:dyDescent="0.3">
      <c r="A381" s="512" t="s">
        <v>960</v>
      </c>
      <c r="B381" s="513">
        <v>45278</v>
      </c>
      <c r="C381" s="514" t="s">
        <v>936</v>
      </c>
      <c r="D381" s="321" t="s">
        <v>937</v>
      </c>
      <c r="E381" s="322" t="s">
        <v>1047</v>
      </c>
      <c r="F381" s="515">
        <v>202110.4</v>
      </c>
      <c r="G381" s="324" t="s">
        <v>1114</v>
      </c>
      <c r="H381" s="324">
        <v>2023</v>
      </c>
      <c r="I381" s="335"/>
      <c r="J381" s="335"/>
      <c r="K381" s="335"/>
      <c r="L381" s="335"/>
      <c r="M381" s="515">
        <v>202110.4</v>
      </c>
      <c r="N381" s="335"/>
      <c r="O381" s="335"/>
      <c r="P381" s="335"/>
      <c r="Q381" s="335"/>
      <c r="R381" s="335"/>
      <c r="S381" s="335"/>
      <c r="T381" s="325">
        <f t="shared" si="5"/>
        <v>202110.4</v>
      </c>
    </row>
    <row r="382" spans="1:20" s="336" customFormat="1" ht="18.75" x14ac:dyDescent="0.3">
      <c r="A382" s="512" t="s">
        <v>271</v>
      </c>
      <c r="B382" s="512">
        <v>45279</v>
      </c>
      <c r="C382" s="521" t="s">
        <v>1143</v>
      </c>
      <c r="D382" s="321" t="s">
        <v>1054</v>
      </c>
      <c r="E382" s="328" t="s">
        <v>1136</v>
      </c>
      <c r="F382" s="522">
        <v>63750</v>
      </c>
      <c r="G382" s="324" t="s">
        <v>1114</v>
      </c>
      <c r="H382" s="324">
        <v>2023</v>
      </c>
      <c r="I382" s="335"/>
      <c r="J382" s="335"/>
      <c r="K382" s="335"/>
      <c r="L382" s="335"/>
      <c r="M382" s="522">
        <v>63750</v>
      </c>
      <c r="N382" s="335"/>
      <c r="O382" s="335"/>
      <c r="P382" s="335"/>
      <c r="Q382" s="335"/>
      <c r="R382" s="335"/>
      <c r="S382" s="335"/>
      <c r="T382" s="325">
        <f t="shared" si="5"/>
        <v>63750</v>
      </c>
    </row>
    <row r="383" spans="1:20" ht="18.75" x14ac:dyDescent="0.3">
      <c r="A383" s="512" t="s">
        <v>1055</v>
      </c>
      <c r="B383" s="513">
        <v>45279</v>
      </c>
      <c r="C383" s="514"/>
      <c r="D383" s="321" t="s">
        <v>938</v>
      </c>
      <c r="E383" s="322" t="s">
        <v>939</v>
      </c>
      <c r="F383" s="515">
        <v>10030</v>
      </c>
      <c r="G383" s="324" t="s">
        <v>1114</v>
      </c>
      <c r="H383" s="324">
        <v>2023</v>
      </c>
      <c r="I383" s="324"/>
      <c r="J383" s="324"/>
      <c r="K383" s="324"/>
      <c r="L383" s="324"/>
      <c r="M383" s="515">
        <v>10030</v>
      </c>
      <c r="N383" s="324"/>
      <c r="O383" s="324"/>
      <c r="P383" s="324"/>
      <c r="Q383" s="324"/>
      <c r="R383" s="324"/>
      <c r="S383" s="324"/>
      <c r="T383" s="325">
        <f t="shared" si="5"/>
        <v>10030</v>
      </c>
    </row>
    <row r="384" spans="1:20" ht="18.75" x14ac:dyDescent="0.3">
      <c r="A384" s="512" t="s">
        <v>961</v>
      </c>
      <c r="B384" s="513">
        <v>45280</v>
      </c>
      <c r="C384" s="514" t="s">
        <v>1144</v>
      </c>
      <c r="D384" s="321" t="s">
        <v>962</v>
      </c>
      <c r="E384" s="322" t="s">
        <v>963</v>
      </c>
      <c r="F384" s="515">
        <v>393311.27</v>
      </c>
      <c r="G384" s="324" t="s">
        <v>1114</v>
      </c>
      <c r="H384" s="324">
        <v>2023</v>
      </c>
      <c r="I384" s="324"/>
      <c r="J384" s="324"/>
      <c r="K384" s="324"/>
      <c r="L384" s="324"/>
      <c r="M384" s="515">
        <v>393311.27</v>
      </c>
      <c r="N384" s="324"/>
      <c r="O384" s="324"/>
      <c r="P384" s="324"/>
      <c r="Q384" s="324"/>
      <c r="R384" s="324"/>
      <c r="S384" s="324"/>
      <c r="T384" s="325">
        <f t="shared" si="5"/>
        <v>393311.27</v>
      </c>
    </row>
    <row r="385" spans="1:20" ht="18.75" x14ac:dyDescent="0.3">
      <c r="A385" s="513" t="s">
        <v>1145</v>
      </c>
      <c r="B385" s="513">
        <v>45281</v>
      </c>
      <c r="C385" s="514" t="s">
        <v>940</v>
      </c>
      <c r="D385" s="321" t="s">
        <v>941</v>
      </c>
      <c r="E385" s="322" t="s">
        <v>942</v>
      </c>
      <c r="F385" s="515">
        <v>115640</v>
      </c>
      <c r="G385" s="324" t="s">
        <v>1114</v>
      </c>
      <c r="H385" s="324">
        <v>2023</v>
      </c>
      <c r="I385" s="324"/>
      <c r="J385" s="324"/>
      <c r="K385" s="324"/>
      <c r="L385" s="324"/>
      <c r="M385" s="515">
        <v>115640</v>
      </c>
      <c r="N385" s="324"/>
      <c r="O385" s="324"/>
      <c r="P385" s="324"/>
      <c r="Q385" s="324"/>
      <c r="R385" s="324"/>
      <c r="S385" s="324"/>
      <c r="T385" s="325">
        <f t="shared" si="5"/>
        <v>115640</v>
      </c>
    </row>
    <row r="386" spans="1:20" ht="18.75" x14ac:dyDescent="0.3">
      <c r="A386" s="513" t="s">
        <v>864</v>
      </c>
      <c r="B386" s="513">
        <v>45288</v>
      </c>
      <c r="C386" s="514" t="s">
        <v>964</v>
      </c>
      <c r="D386" s="321" t="s">
        <v>965</v>
      </c>
      <c r="E386" s="322" t="s">
        <v>865</v>
      </c>
      <c r="F386" s="515">
        <v>94668.4</v>
      </c>
      <c r="G386" s="324" t="s">
        <v>1114</v>
      </c>
      <c r="H386" s="324">
        <v>2023</v>
      </c>
      <c r="I386" s="324"/>
      <c r="J386" s="324"/>
      <c r="K386" s="324"/>
      <c r="L386" s="324"/>
      <c r="M386" s="515">
        <v>94668.4</v>
      </c>
      <c r="N386" s="324"/>
      <c r="O386" s="324"/>
      <c r="P386" s="324"/>
      <c r="Q386" s="324"/>
      <c r="R386" s="324"/>
      <c r="S386" s="324"/>
      <c r="T386" s="325">
        <f t="shared" si="5"/>
        <v>94668.4</v>
      </c>
    </row>
    <row r="387" spans="1:20" ht="37.5" x14ac:dyDescent="0.3">
      <c r="A387" s="512" t="s">
        <v>396</v>
      </c>
      <c r="B387" s="513">
        <v>45291</v>
      </c>
      <c r="C387" s="514" t="s">
        <v>856</v>
      </c>
      <c r="D387" s="321" t="s">
        <v>915</v>
      </c>
      <c r="E387" s="322" t="s">
        <v>966</v>
      </c>
      <c r="F387" s="515">
        <v>100625</v>
      </c>
      <c r="G387" s="324" t="s">
        <v>1114</v>
      </c>
      <c r="H387" s="324">
        <v>2023</v>
      </c>
      <c r="I387" s="324"/>
      <c r="J387" s="324"/>
      <c r="K387" s="324"/>
      <c r="L387" s="324"/>
      <c r="M387" s="515">
        <v>100625</v>
      </c>
      <c r="N387" s="324"/>
      <c r="O387" s="324"/>
      <c r="P387" s="324"/>
      <c r="Q387" s="324"/>
      <c r="R387" s="324"/>
      <c r="S387" s="324"/>
      <c r="T387" s="325">
        <f t="shared" si="5"/>
        <v>100625</v>
      </c>
    </row>
    <row r="388" spans="1:20" ht="37.5" x14ac:dyDescent="0.3">
      <c r="A388" s="512" t="s">
        <v>435</v>
      </c>
      <c r="B388" s="513">
        <v>45292</v>
      </c>
      <c r="C388" s="514"/>
      <c r="D388" s="321" t="s">
        <v>874</v>
      </c>
      <c r="E388" s="322" t="s">
        <v>1056</v>
      </c>
      <c r="F388" s="515">
        <v>438134</v>
      </c>
      <c r="G388" s="324" t="s">
        <v>1114</v>
      </c>
      <c r="H388" s="324">
        <v>2024</v>
      </c>
      <c r="I388" s="324"/>
      <c r="J388" s="324"/>
      <c r="K388" s="324"/>
      <c r="L388" s="324"/>
      <c r="M388" s="324"/>
      <c r="N388" s="515">
        <v>438134</v>
      </c>
      <c r="O388" s="324"/>
      <c r="P388" s="324"/>
      <c r="Q388" s="324"/>
      <c r="R388" s="324"/>
      <c r="S388" s="324"/>
      <c r="T388" s="325">
        <f t="shared" si="5"/>
        <v>438134</v>
      </c>
    </row>
    <row r="389" spans="1:20" ht="18.75" x14ac:dyDescent="0.3">
      <c r="A389" s="512" t="s">
        <v>960</v>
      </c>
      <c r="B389" s="513">
        <v>45292</v>
      </c>
      <c r="C389" s="514" t="s">
        <v>933</v>
      </c>
      <c r="D389" s="321" t="s">
        <v>967</v>
      </c>
      <c r="E389" s="322" t="s">
        <v>1057</v>
      </c>
      <c r="F389" s="515">
        <v>39361.26</v>
      </c>
      <c r="G389" s="324" t="s">
        <v>1114</v>
      </c>
      <c r="H389" s="324">
        <v>2024</v>
      </c>
      <c r="I389" s="324"/>
      <c r="J389" s="324"/>
      <c r="K389" s="324"/>
      <c r="L389" s="324"/>
      <c r="M389" s="324"/>
      <c r="N389" s="515">
        <v>39361.26</v>
      </c>
      <c r="O389" s="324"/>
      <c r="P389" s="324"/>
      <c r="Q389" s="324"/>
      <c r="R389" s="324"/>
      <c r="S389" s="324"/>
      <c r="T389" s="325">
        <f t="shared" si="5"/>
        <v>39361.26</v>
      </c>
    </row>
    <row r="390" spans="1:20" ht="18.75" x14ac:dyDescent="0.3">
      <c r="A390" s="512" t="s">
        <v>435</v>
      </c>
      <c r="B390" s="513">
        <v>45293</v>
      </c>
      <c r="C390" s="514"/>
      <c r="D390" s="321" t="s">
        <v>913</v>
      </c>
      <c r="E390" s="322" t="s">
        <v>1058</v>
      </c>
      <c r="F390" s="515">
        <f>1451400/2</f>
        <v>725700</v>
      </c>
      <c r="G390" s="324" t="s">
        <v>1114</v>
      </c>
      <c r="H390" s="324">
        <v>2024</v>
      </c>
      <c r="I390" s="324"/>
      <c r="J390" s="324"/>
      <c r="K390" s="324"/>
      <c r="L390" s="324"/>
      <c r="M390" s="324"/>
      <c r="N390" s="515">
        <f>1451400/2</f>
        <v>725700</v>
      </c>
      <c r="O390" s="324"/>
      <c r="P390" s="324"/>
      <c r="Q390" s="324"/>
      <c r="R390" s="324"/>
      <c r="S390" s="324"/>
      <c r="T390" s="325">
        <f t="shared" si="5"/>
        <v>725700</v>
      </c>
    </row>
    <row r="391" spans="1:20" ht="18.75" x14ac:dyDescent="0.3">
      <c r="A391" s="512" t="s">
        <v>960</v>
      </c>
      <c r="B391" s="513">
        <v>45293</v>
      </c>
      <c r="C391" s="514" t="s">
        <v>1747</v>
      </c>
      <c r="D391" s="321" t="s">
        <v>1270</v>
      </c>
      <c r="E391" s="322" t="s">
        <v>1748</v>
      </c>
      <c r="F391" s="515">
        <f>1593000/2</f>
        <v>796500</v>
      </c>
      <c r="G391" s="324" t="s">
        <v>1114</v>
      </c>
      <c r="H391" s="324">
        <v>2024</v>
      </c>
      <c r="I391" s="324"/>
      <c r="J391" s="324"/>
      <c r="K391" s="324"/>
      <c r="L391" s="324"/>
      <c r="M391" s="324"/>
      <c r="N391" s="515">
        <f>1593000/2</f>
        <v>796500</v>
      </c>
      <c r="O391" s="324"/>
      <c r="P391" s="324"/>
      <c r="Q391" s="324"/>
      <c r="R391" s="324"/>
      <c r="S391" s="324"/>
      <c r="T391" s="325">
        <f t="shared" si="5"/>
        <v>796500</v>
      </c>
    </row>
    <row r="392" spans="1:20" ht="18.75" x14ac:dyDescent="0.3">
      <c r="A392" s="512" t="s">
        <v>960</v>
      </c>
      <c r="B392" s="513">
        <v>45293</v>
      </c>
      <c r="C392" s="514" t="s">
        <v>1146</v>
      </c>
      <c r="D392" s="321" t="s">
        <v>1147</v>
      </c>
      <c r="E392" s="322" t="s">
        <v>1047</v>
      </c>
      <c r="F392" s="515">
        <v>62220.52</v>
      </c>
      <c r="G392" s="324" t="s">
        <v>1114</v>
      </c>
      <c r="H392" s="324">
        <v>2024</v>
      </c>
      <c r="I392" s="324"/>
      <c r="J392" s="324"/>
      <c r="K392" s="324"/>
      <c r="L392" s="324"/>
      <c r="M392" s="324"/>
      <c r="N392" s="515">
        <v>62220.52</v>
      </c>
      <c r="O392" s="324"/>
      <c r="P392" s="324"/>
      <c r="Q392" s="324"/>
      <c r="R392" s="324"/>
      <c r="S392" s="324"/>
      <c r="T392" s="325">
        <f t="shared" si="5"/>
        <v>62220.52</v>
      </c>
    </row>
    <row r="393" spans="1:20" ht="18.75" x14ac:dyDescent="0.3">
      <c r="A393" s="512" t="s">
        <v>1744</v>
      </c>
      <c r="B393" s="513">
        <v>45295</v>
      </c>
      <c r="C393" s="514" t="s">
        <v>970</v>
      </c>
      <c r="D393" s="321" t="s">
        <v>971</v>
      </c>
      <c r="E393" s="322" t="s">
        <v>952</v>
      </c>
      <c r="F393" s="515">
        <v>531000</v>
      </c>
      <c r="G393" s="324" t="s">
        <v>1114</v>
      </c>
      <c r="H393" s="324">
        <v>2024</v>
      </c>
      <c r="I393" s="324"/>
      <c r="J393" s="324"/>
      <c r="K393" s="324"/>
      <c r="L393" s="324"/>
      <c r="M393" s="324"/>
      <c r="N393" s="515">
        <v>531000</v>
      </c>
      <c r="O393" s="324"/>
      <c r="P393" s="324"/>
      <c r="Q393" s="324"/>
      <c r="R393" s="324"/>
      <c r="S393" s="324"/>
      <c r="T393" s="325">
        <f t="shared" si="5"/>
        <v>531000</v>
      </c>
    </row>
    <row r="394" spans="1:20" ht="18.75" x14ac:dyDescent="0.3">
      <c r="A394" s="512" t="s">
        <v>685</v>
      </c>
      <c r="B394" s="512">
        <v>45295</v>
      </c>
      <c r="C394" s="536" t="s">
        <v>1043</v>
      </c>
      <c r="D394" s="326" t="s">
        <v>805</v>
      </c>
      <c r="E394" s="347" t="s">
        <v>686</v>
      </c>
      <c r="F394" s="522">
        <v>88100</v>
      </c>
      <c r="G394" s="324" t="s">
        <v>1114</v>
      </c>
      <c r="H394" s="324">
        <v>2024</v>
      </c>
      <c r="I394" s="324"/>
      <c r="J394" s="324"/>
      <c r="K394" s="324"/>
      <c r="L394" s="324"/>
      <c r="M394" s="324"/>
      <c r="N394" s="522">
        <v>88100</v>
      </c>
      <c r="O394" s="324"/>
      <c r="P394" s="324"/>
      <c r="Q394" s="324"/>
      <c r="R394" s="324"/>
      <c r="S394" s="324"/>
      <c r="T394" s="325">
        <f t="shared" si="5"/>
        <v>88100</v>
      </c>
    </row>
    <row r="395" spans="1:20" ht="18.75" x14ac:dyDescent="0.3">
      <c r="A395" s="512" t="s">
        <v>774</v>
      </c>
      <c r="B395" s="513">
        <v>45295</v>
      </c>
      <c r="C395" s="514" t="s">
        <v>1749</v>
      </c>
      <c r="D395" s="321" t="s">
        <v>945</v>
      </c>
      <c r="E395" s="322" t="s">
        <v>775</v>
      </c>
      <c r="F395" s="515">
        <v>245000</v>
      </c>
      <c r="G395" s="324" t="s">
        <v>1114</v>
      </c>
      <c r="H395" s="324">
        <v>2024</v>
      </c>
      <c r="I395" s="324"/>
      <c r="J395" s="324"/>
      <c r="K395" s="324"/>
      <c r="L395" s="324"/>
      <c r="M395" s="324"/>
      <c r="N395" s="515">
        <v>245000</v>
      </c>
      <c r="O395" s="324"/>
      <c r="P395" s="324"/>
      <c r="Q395" s="324"/>
      <c r="R395" s="324"/>
      <c r="S395" s="324"/>
      <c r="T395" s="325">
        <f t="shared" ref="T395:T458" si="6">SUM(I395:S395)</f>
        <v>245000</v>
      </c>
    </row>
    <row r="396" spans="1:20" ht="18.75" x14ac:dyDescent="0.3">
      <c r="A396" s="512" t="s">
        <v>929</v>
      </c>
      <c r="B396" s="513">
        <v>45296</v>
      </c>
      <c r="C396" s="514" t="s">
        <v>972</v>
      </c>
      <c r="D396" s="321" t="s">
        <v>973</v>
      </c>
      <c r="E396" s="322" t="s">
        <v>974</v>
      </c>
      <c r="F396" s="515">
        <v>120006</v>
      </c>
      <c r="G396" s="324" t="s">
        <v>1114</v>
      </c>
      <c r="H396" s="324">
        <v>2024</v>
      </c>
      <c r="I396" s="324"/>
      <c r="J396" s="324"/>
      <c r="K396" s="324"/>
      <c r="L396" s="324"/>
      <c r="M396" s="324"/>
      <c r="N396" s="515">
        <v>120006</v>
      </c>
      <c r="O396" s="324"/>
      <c r="P396" s="324"/>
      <c r="Q396" s="324"/>
      <c r="R396" s="324"/>
      <c r="S396" s="324"/>
      <c r="T396" s="325">
        <f t="shared" si="6"/>
        <v>120006</v>
      </c>
    </row>
    <row r="397" spans="1:20" ht="18.75" x14ac:dyDescent="0.3">
      <c r="A397" s="512" t="s">
        <v>1744</v>
      </c>
      <c r="B397" s="527">
        <v>45296</v>
      </c>
      <c r="C397" s="531" t="s">
        <v>975</v>
      </c>
      <c r="D397" s="342" t="s">
        <v>976</v>
      </c>
      <c r="E397" s="343" t="s">
        <v>977</v>
      </c>
      <c r="F397" s="532">
        <v>45689.599999999999</v>
      </c>
      <c r="G397" s="324" t="s">
        <v>1114</v>
      </c>
      <c r="H397" s="324">
        <v>2024</v>
      </c>
      <c r="I397" s="324"/>
      <c r="J397" s="324"/>
      <c r="K397" s="324"/>
      <c r="L397" s="324"/>
      <c r="M397" s="324"/>
      <c r="N397" s="532">
        <v>45689.599999999999</v>
      </c>
      <c r="O397" s="324"/>
      <c r="P397" s="324"/>
      <c r="Q397" s="324"/>
      <c r="R397" s="324"/>
      <c r="S397" s="324"/>
      <c r="T397" s="325">
        <f t="shared" si="6"/>
        <v>45689.599999999999</v>
      </c>
    </row>
    <row r="398" spans="1:20" ht="18.75" x14ac:dyDescent="0.3">
      <c r="A398" s="513" t="s">
        <v>864</v>
      </c>
      <c r="B398" s="513">
        <v>45299</v>
      </c>
      <c r="C398" s="514" t="s">
        <v>964</v>
      </c>
      <c r="D398" s="321" t="s">
        <v>978</v>
      </c>
      <c r="E398" s="322" t="s">
        <v>865</v>
      </c>
      <c r="F398" s="515">
        <v>94668.4</v>
      </c>
      <c r="G398" s="324" t="s">
        <v>1114</v>
      </c>
      <c r="H398" s="324">
        <v>2024</v>
      </c>
      <c r="I398" s="324"/>
      <c r="J398" s="324"/>
      <c r="K398" s="324"/>
      <c r="L398" s="324"/>
      <c r="M398" s="324"/>
      <c r="N398" s="515">
        <v>94668.4</v>
      </c>
      <c r="O398" s="324"/>
      <c r="P398" s="324"/>
      <c r="Q398" s="324"/>
      <c r="R398" s="324"/>
      <c r="S398" s="324"/>
      <c r="T398" s="325">
        <f t="shared" si="6"/>
        <v>94668.4</v>
      </c>
    </row>
    <row r="399" spans="1:20" ht="18.75" x14ac:dyDescent="0.3">
      <c r="A399" s="513" t="s">
        <v>697</v>
      </c>
      <c r="B399" s="513">
        <v>45299</v>
      </c>
      <c r="C399" s="514" t="s">
        <v>1148</v>
      </c>
      <c r="D399" s="321" t="s">
        <v>1060</v>
      </c>
      <c r="E399" s="322" t="s">
        <v>1061</v>
      </c>
      <c r="F399" s="515">
        <v>361080</v>
      </c>
      <c r="G399" s="324" t="s">
        <v>1114</v>
      </c>
      <c r="H399" s="324">
        <v>2024</v>
      </c>
      <c r="I399" s="324"/>
      <c r="J399" s="324"/>
      <c r="K399" s="324"/>
      <c r="L399" s="324"/>
      <c r="M399" s="324"/>
      <c r="N399" s="515">
        <v>361080</v>
      </c>
      <c r="O399" s="324"/>
      <c r="P399" s="324"/>
      <c r="Q399" s="324"/>
      <c r="R399" s="324"/>
      <c r="S399" s="324"/>
      <c r="T399" s="325">
        <f t="shared" si="6"/>
        <v>361080</v>
      </c>
    </row>
    <row r="400" spans="1:20" ht="18.75" x14ac:dyDescent="0.3">
      <c r="A400" s="512" t="s">
        <v>681</v>
      </c>
      <c r="B400" s="513">
        <v>45300</v>
      </c>
      <c r="C400" s="514" t="s">
        <v>982</v>
      </c>
      <c r="D400" s="321" t="s">
        <v>983</v>
      </c>
      <c r="E400" s="322" t="s">
        <v>984</v>
      </c>
      <c r="F400" s="515">
        <v>215000</v>
      </c>
      <c r="G400" s="324" t="s">
        <v>1114</v>
      </c>
      <c r="H400" s="324">
        <v>2024</v>
      </c>
      <c r="I400" s="324"/>
      <c r="J400" s="324"/>
      <c r="K400" s="324"/>
      <c r="L400" s="324"/>
      <c r="M400" s="324"/>
      <c r="N400" s="515">
        <v>215000</v>
      </c>
      <c r="O400" s="324"/>
      <c r="P400" s="324"/>
      <c r="Q400" s="324"/>
      <c r="R400" s="324"/>
      <c r="S400" s="324"/>
      <c r="T400" s="325">
        <f t="shared" si="6"/>
        <v>215000</v>
      </c>
    </row>
    <row r="401" spans="1:20" ht="18.75" x14ac:dyDescent="0.3">
      <c r="A401" s="512" t="s">
        <v>1062</v>
      </c>
      <c r="B401" s="513">
        <v>45300</v>
      </c>
      <c r="C401" s="514" t="s">
        <v>1063</v>
      </c>
      <c r="D401" s="321" t="s">
        <v>1064</v>
      </c>
      <c r="E401" s="322" t="s">
        <v>1065</v>
      </c>
      <c r="F401" s="515">
        <v>47736</v>
      </c>
      <c r="G401" s="324" t="s">
        <v>1114</v>
      </c>
      <c r="H401" s="324">
        <v>2024</v>
      </c>
      <c r="I401" s="324"/>
      <c r="J401" s="324"/>
      <c r="K401" s="324"/>
      <c r="L401" s="324"/>
      <c r="M401" s="324"/>
      <c r="N401" s="515">
        <v>47736</v>
      </c>
      <c r="O401" s="324"/>
      <c r="P401" s="324"/>
      <c r="Q401" s="324"/>
      <c r="R401" s="324"/>
      <c r="S401" s="324"/>
      <c r="T401" s="325">
        <f t="shared" si="6"/>
        <v>47736</v>
      </c>
    </row>
    <row r="402" spans="1:20" ht="18.75" x14ac:dyDescent="0.3">
      <c r="A402" s="512" t="s">
        <v>969</v>
      </c>
      <c r="B402" s="513">
        <v>45300</v>
      </c>
      <c r="C402" s="514" t="s">
        <v>979</v>
      </c>
      <c r="D402" s="321" t="s">
        <v>980</v>
      </c>
      <c r="E402" s="322" t="s">
        <v>981</v>
      </c>
      <c r="F402" s="515">
        <v>241900</v>
      </c>
      <c r="G402" s="324" t="s">
        <v>1114</v>
      </c>
      <c r="H402" s="324">
        <v>2024</v>
      </c>
      <c r="I402" s="324"/>
      <c r="J402" s="324"/>
      <c r="K402" s="324"/>
      <c r="L402" s="324"/>
      <c r="M402" s="324"/>
      <c r="N402" s="515">
        <v>241900</v>
      </c>
      <c r="O402" s="324"/>
      <c r="P402" s="324"/>
      <c r="Q402" s="324"/>
      <c r="R402" s="324"/>
      <c r="S402" s="324"/>
      <c r="T402" s="325">
        <f t="shared" si="6"/>
        <v>241900</v>
      </c>
    </row>
    <row r="403" spans="1:20" ht="18.75" x14ac:dyDescent="0.3">
      <c r="A403" s="513" t="s">
        <v>697</v>
      </c>
      <c r="B403" s="513">
        <v>45301</v>
      </c>
      <c r="C403" s="514" t="s">
        <v>1091</v>
      </c>
      <c r="D403" s="321" t="s">
        <v>1750</v>
      </c>
      <c r="E403" s="322" t="s">
        <v>680</v>
      </c>
      <c r="F403" s="515">
        <v>843200</v>
      </c>
      <c r="G403" s="324" t="s">
        <v>1114</v>
      </c>
      <c r="H403" s="324">
        <v>2024</v>
      </c>
      <c r="I403" s="324"/>
      <c r="J403" s="324"/>
      <c r="K403" s="324"/>
      <c r="L403" s="324"/>
      <c r="M403" s="324"/>
      <c r="N403" s="515">
        <v>843200</v>
      </c>
      <c r="O403" s="324"/>
      <c r="P403" s="324"/>
      <c r="Q403" s="324"/>
      <c r="R403" s="324"/>
      <c r="S403" s="324"/>
      <c r="T403" s="325">
        <f t="shared" si="6"/>
        <v>843200</v>
      </c>
    </row>
    <row r="404" spans="1:20" ht="18.75" x14ac:dyDescent="0.3">
      <c r="A404" s="518" t="s">
        <v>251</v>
      </c>
      <c r="B404" s="512">
        <v>45303</v>
      </c>
      <c r="C404" s="521" t="s">
        <v>986</v>
      </c>
      <c r="D404" s="331" t="s">
        <v>987</v>
      </c>
      <c r="E404" s="328" t="s">
        <v>698</v>
      </c>
      <c r="F404" s="522">
        <v>253355</v>
      </c>
      <c r="G404" s="324" t="s">
        <v>1114</v>
      </c>
      <c r="H404" s="324">
        <v>2024</v>
      </c>
      <c r="I404" s="324"/>
      <c r="J404" s="324"/>
      <c r="K404" s="324"/>
      <c r="L404" s="324"/>
      <c r="M404" s="324"/>
      <c r="N404" s="522">
        <v>253355</v>
      </c>
      <c r="O404" s="324"/>
      <c r="P404" s="324"/>
      <c r="Q404" s="324"/>
      <c r="R404" s="324"/>
      <c r="S404" s="324"/>
      <c r="T404" s="325">
        <f t="shared" si="6"/>
        <v>253355</v>
      </c>
    </row>
    <row r="405" spans="1:20" ht="18.75" x14ac:dyDescent="0.3">
      <c r="A405" s="512" t="s">
        <v>1074</v>
      </c>
      <c r="B405" s="513">
        <v>45307</v>
      </c>
      <c r="C405" s="514" t="s">
        <v>1075</v>
      </c>
      <c r="D405" s="321" t="s">
        <v>621</v>
      </c>
      <c r="E405" s="322" t="s">
        <v>1076</v>
      </c>
      <c r="F405" s="515">
        <v>50400</v>
      </c>
      <c r="G405" s="324" t="s">
        <v>1114</v>
      </c>
      <c r="H405" s="324">
        <v>2024</v>
      </c>
      <c r="I405" s="324"/>
      <c r="J405" s="324"/>
      <c r="K405" s="324"/>
      <c r="L405" s="324"/>
      <c r="M405" s="324"/>
      <c r="N405" s="515">
        <v>50400</v>
      </c>
      <c r="O405" s="324"/>
      <c r="P405" s="324"/>
      <c r="Q405" s="324"/>
      <c r="R405" s="324"/>
      <c r="S405" s="324"/>
      <c r="T405" s="325">
        <f t="shared" si="6"/>
        <v>50400</v>
      </c>
    </row>
    <row r="406" spans="1:20" ht="18.75" x14ac:dyDescent="0.3">
      <c r="A406" s="512" t="s">
        <v>1077</v>
      </c>
      <c r="B406" s="513">
        <v>45313</v>
      </c>
      <c r="C406" s="514" t="s">
        <v>1078</v>
      </c>
      <c r="D406" s="321" t="s">
        <v>1149</v>
      </c>
      <c r="E406" s="322" t="s">
        <v>1079</v>
      </c>
      <c r="F406" s="515">
        <v>442500</v>
      </c>
      <c r="G406" s="324" t="s">
        <v>1114</v>
      </c>
      <c r="H406" s="324">
        <v>2024</v>
      </c>
      <c r="I406" s="324"/>
      <c r="J406" s="324"/>
      <c r="K406" s="324"/>
      <c r="L406" s="324"/>
      <c r="M406" s="324"/>
      <c r="N406" s="515">
        <v>442500</v>
      </c>
      <c r="O406" s="324"/>
      <c r="P406" s="324"/>
      <c r="Q406" s="324"/>
      <c r="R406" s="324"/>
      <c r="S406" s="324"/>
      <c r="T406" s="325">
        <f t="shared" si="6"/>
        <v>442500</v>
      </c>
    </row>
    <row r="407" spans="1:20" ht="18.75" x14ac:dyDescent="0.3">
      <c r="A407" s="512" t="s">
        <v>868</v>
      </c>
      <c r="B407" s="513">
        <v>45321</v>
      </c>
      <c r="C407" s="514" t="s">
        <v>1082</v>
      </c>
      <c r="D407" s="321" t="s">
        <v>1083</v>
      </c>
      <c r="E407" s="322" t="s">
        <v>1084</v>
      </c>
      <c r="F407" s="515">
        <v>21240</v>
      </c>
      <c r="G407" s="324" t="s">
        <v>1114</v>
      </c>
      <c r="H407" s="324">
        <v>2024</v>
      </c>
      <c r="I407" s="324"/>
      <c r="J407" s="324"/>
      <c r="K407" s="324"/>
      <c r="L407" s="324"/>
      <c r="M407" s="324"/>
      <c r="N407" s="515">
        <v>21240</v>
      </c>
      <c r="O407" s="324"/>
      <c r="P407" s="324"/>
      <c r="Q407" s="324"/>
      <c r="R407" s="324"/>
      <c r="S407" s="324"/>
      <c r="T407" s="325">
        <f t="shared" si="6"/>
        <v>21240</v>
      </c>
    </row>
    <row r="408" spans="1:20" ht="18.75" x14ac:dyDescent="0.3">
      <c r="A408" s="513" t="s">
        <v>873</v>
      </c>
      <c r="B408" s="513">
        <v>45322</v>
      </c>
      <c r="C408" s="514">
        <v>1855</v>
      </c>
      <c r="D408" s="321" t="s">
        <v>1152</v>
      </c>
      <c r="E408" s="322" t="s">
        <v>875</v>
      </c>
      <c r="F408" s="515">
        <v>29600</v>
      </c>
      <c r="G408" s="324" t="s">
        <v>1114</v>
      </c>
      <c r="H408" s="324">
        <v>2024</v>
      </c>
      <c r="I408" s="324"/>
      <c r="J408" s="324"/>
      <c r="K408" s="324"/>
      <c r="L408" s="324"/>
      <c r="M408" s="324"/>
      <c r="N408" s="515">
        <v>29600</v>
      </c>
      <c r="O408" s="324"/>
      <c r="P408" s="324"/>
      <c r="Q408" s="324"/>
      <c r="R408" s="324"/>
      <c r="S408" s="324"/>
      <c r="T408" s="325">
        <f t="shared" si="6"/>
        <v>29600</v>
      </c>
    </row>
    <row r="409" spans="1:20" ht="18.75" x14ac:dyDescent="0.3">
      <c r="A409" s="513" t="s">
        <v>864</v>
      </c>
      <c r="B409" s="513">
        <v>45322</v>
      </c>
      <c r="C409" s="514" t="s">
        <v>985</v>
      </c>
      <c r="D409" s="321" t="s">
        <v>1066</v>
      </c>
      <c r="E409" s="322" t="s">
        <v>1252</v>
      </c>
      <c r="F409" s="515">
        <v>94341</v>
      </c>
      <c r="G409" s="324" t="s">
        <v>1114</v>
      </c>
      <c r="H409" s="324">
        <v>2024</v>
      </c>
      <c r="I409" s="324"/>
      <c r="J409" s="324"/>
      <c r="K409" s="324"/>
      <c r="L409" s="324"/>
      <c r="M409" s="324"/>
      <c r="N409" s="515">
        <v>94341</v>
      </c>
      <c r="O409" s="324"/>
      <c r="P409" s="324"/>
      <c r="Q409" s="324"/>
      <c r="R409" s="324"/>
      <c r="S409" s="324"/>
      <c r="T409" s="325">
        <f t="shared" si="6"/>
        <v>94341</v>
      </c>
    </row>
    <row r="410" spans="1:20" ht="18.75" x14ac:dyDescent="0.3">
      <c r="A410" s="512" t="s">
        <v>1153</v>
      </c>
      <c r="B410" s="513">
        <v>45322</v>
      </c>
      <c r="C410" s="514"/>
      <c r="D410" s="321" t="s">
        <v>1154</v>
      </c>
      <c r="E410" s="322" t="s">
        <v>1155</v>
      </c>
      <c r="F410" s="515">
        <v>4900</v>
      </c>
      <c r="G410" s="324" t="s">
        <v>1114</v>
      </c>
      <c r="H410" s="324">
        <v>2024</v>
      </c>
      <c r="I410" s="324"/>
      <c r="J410" s="324"/>
      <c r="K410" s="324"/>
      <c r="L410" s="324"/>
      <c r="M410" s="324"/>
      <c r="N410" s="515">
        <v>4900</v>
      </c>
      <c r="O410" s="324"/>
      <c r="P410" s="324"/>
      <c r="Q410" s="324"/>
      <c r="R410" s="324"/>
      <c r="S410" s="324"/>
      <c r="T410" s="325">
        <f t="shared" si="6"/>
        <v>4900</v>
      </c>
    </row>
    <row r="411" spans="1:20" ht="18.75" x14ac:dyDescent="0.3">
      <c r="A411" s="518" t="s">
        <v>1735</v>
      </c>
      <c r="B411" s="513">
        <v>45322</v>
      </c>
      <c r="C411" s="514" t="s">
        <v>1150</v>
      </c>
      <c r="D411" s="321" t="s">
        <v>1151</v>
      </c>
      <c r="E411" s="322"/>
      <c r="F411" s="515">
        <v>361080</v>
      </c>
      <c r="G411" s="324" t="s">
        <v>1114</v>
      </c>
      <c r="H411" s="324">
        <v>2024</v>
      </c>
      <c r="I411" s="324"/>
      <c r="J411" s="324"/>
      <c r="K411" s="324"/>
      <c r="L411" s="324"/>
      <c r="M411" s="324"/>
      <c r="N411" s="515">
        <v>361080</v>
      </c>
      <c r="O411" s="324"/>
      <c r="P411" s="324"/>
      <c r="Q411" s="324"/>
      <c r="R411" s="324"/>
      <c r="S411" s="324"/>
      <c r="T411" s="325">
        <f t="shared" si="6"/>
        <v>361080</v>
      </c>
    </row>
    <row r="412" spans="1:20" ht="18.75" x14ac:dyDescent="0.3">
      <c r="A412" s="512" t="s">
        <v>256</v>
      </c>
      <c r="B412" s="513">
        <v>45323</v>
      </c>
      <c r="C412" s="514"/>
      <c r="D412" s="321" t="s">
        <v>1085</v>
      </c>
      <c r="E412" s="322" t="s">
        <v>466</v>
      </c>
      <c r="F412" s="515">
        <v>43200</v>
      </c>
      <c r="G412" s="324" t="s">
        <v>1114</v>
      </c>
      <c r="H412" s="324">
        <v>2024</v>
      </c>
      <c r="I412" s="324"/>
      <c r="J412" s="324"/>
      <c r="K412" s="324"/>
      <c r="L412" s="324"/>
      <c r="M412" s="324"/>
      <c r="N412" s="324"/>
      <c r="O412" s="515">
        <v>43200</v>
      </c>
      <c r="P412" s="324"/>
      <c r="Q412" s="324"/>
      <c r="R412" s="324"/>
      <c r="S412" s="324"/>
      <c r="T412" s="325">
        <f t="shared" si="6"/>
        <v>43200</v>
      </c>
    </row>
    <row r="413" spans="1:20" ht="18.75" x14ac:dyDescent="0.3">
      <c r="A413" s="513" t="s">
        <v>447</v>
      </c>
      <c r="B413" s="512">
        <v>45323</v>
      </c>
      <c r="C413" s="524" t="s">
        <v>1039</v>
      </c>
      <c r="D413" s="330" t="s">
        <v>790</v>
      </c>
      <c r="E413" s="328" t="s">
        <v>1086</v>
      </c>
      <c r="F413" s="538">
        <v>137755.4</v>
      </c>
      <c r="G413" s="324" t="s">
        <v>1114</v>
      </c>
      <c r="H413" s="324">
        <v>2024</v>
      </c>
      <c r="I413" s="324"/>
      <c r="J413" s="324"/>
      <c r="K413" s="324"/>
      <c r="L413" s="324"/>
      <c r="M413" s="324"/>
      <c r="N413" s="324"/>
      <c r="O413" s="538">
        <v>137755.4</v>
      </c>
      <c r="P413" s="324"/>
      <c r="Q413" s="324"/>
      <c r="R413" s="324"/>
      <c r="S413" s="324"/>
      <c r="T413" s="325">
        <f t="shared" si="6"/>
        <v>137755.4</v>
      </c>
    </row>
    <row r="414" spans="1:20" s="534" customFormat="1" ht="18.75" x14ac:dyDescent="0.3">
      <c r="A414" s="319" t="s">
        <v>1156</v>
      </c>
      <c r="B414" s="513">
        <v>45324</v>
      </c>
      <c r="C414" s="514" t="s">
        <v>1157</v>
      </c>
      <c r="D414" s="321" t="s">
        <v>1158</v>
      </c>
      <c r="E414" s="322" t="s">
        <v>1159</v>
      </c>
      <c r="F414" s="515">
        <v>14000</v>
      </c>
      <c r="G414" s="324" t="s">
        <v>1114</v>
      </c>
      <c r="H414" s="324">
        <v>2024</v>
      </c>
      <c r="I414" s="533"/>
      <c r="J414" s="533"/>
      <c r="K414" s="533"/>
      <c r="L414" s="533"/>
      <c r="M414" s="533"/>
      <c r="N414" s="533"/>
      <c r="O414" s="515">
        <v>14000</v>
      </c>
      <c r="P414" s="533"/>
      <c r="Q414" s="533"/>
      <c r="R414" s="533"/>
      <c r="S414" s="533"/>
      <c r="T414" s="325">
        <f t="shared" si="6"/>
        <v>14000</v>
      </c>
    </row>
    <row r="415" spans="1:20" ht="18.75" x14ac:dyDescent="0.3">
      <c r="A415" s="512" t="s">
        <v>1751</v>
      </c>
      <c r="B415" s="513">
        <v>45327</v>
      </c>
      <c r="C415" s="514"/>
      <c r="D415" s="321" t="s">
        <v>1752</v>
      </c>
      <c r="E415" s="322" t="s">
        <v>1753</v>
      </c>
      <c r="F415" s="515">
        <v>48852</v>
      </c>
      <c r="G415" s="324" t="s">
        <v>1114</v>
      </c>
      <c r="H415" s="324">
        <v>2024</v>
      </c>
      <c r="I415" s="324"/>
      <c r="J415" s="324"/>
      <c r="K415" s="324"/>
      <c r="L415" s="324"/>
      <c r="M415" s="324"/>
      <c r="N415" s="324"/>
      <c r="O415" s="515">
        <v>48852</v>
      </c>
      <c r="P415" s="324"/>
      <c r="Q415" s="324"/>
      <c r="R415" s="324"/>
      <c r="S415" s="324"/>
      <c r="T415" s="325">
        <f t="shared" si="6"/>
        <v>48852</v>
      </c>
    </row>
    <row r="416" spans="1:20" ht="18.75" x14ac:dyDescent="0.3">
      <c r="A416" s="512" t="s">
        <v>1751</v>
      </c>
      <c r="B416" s="513">
        <v>45327</v>
      </c>
      <c r="C416" s="514"/>
      <c r="D416" s="321" t="s">
        <v>895</v>
      </c>
      <c r="E416" s="322" t="s">
        <v>1753</v>
      </c>
      <c r="F416" s="515">
        <v>48852</v>
      </c>
      <c r="G416" s="324" t="s">
        <v>1114</v>
      </c>
      <c r="H416" s="324">
        <v>2024</v>
      </c>
      <c r="I416" s="324"/>
      <c r="J416" s="324"/>
      <c r="K416" s="324"/>
      <c r="L416" s="324"/>
      <c r="M416" s="324"/>
      <c r="N416" s="324"/>
      <c r="O416" s="515">
        <v>48852</v>
      </c>
      <c r="P416" s="324"/>
      <c r="Q416" s="324"/>
      <c r="R416" s="324"/>
      <c r="S416" s="324"/>
      <c r="T416" s="325">
        <f t="shared" si="6"/>
        <v>48852</v>
      </c>
    </row>
    <row r="417" spans="1:20" ht="18.75" x14ac:dyDescent="0.3">
      <c r="A417" s="513" t="s">
        <v>302</v>
      </c>
      <c r="B417" s="513">
        <v>45328</v>
      </c>
      <c r="C417" s="514" t="s">
        <v>1160</v>
      </c>
      <c r="D417" s="321" t="s">
        <v>1161</v>
      </c>
      <c r="E417" s="322" t="s">
        <v>1162</v>
      </c>
      <c r="F417" s="515">
        <v>29874</v>
      </c>
      <c r="G417" s="324" t="s">
        <v>1114</v>
      </c>
      <c r="H417" s="324">
        <v>2024</v>
      </c>
      <c r="I417" s="324"/>
      <c r="J417" s="324"/>
      <c r="K417" s="324"/>
      <c r="L417" s="324"/>
      <c r="M417" s="324"/>
      <c r="N417" s="324"/>
      <c r="O417" s="515">
        <v>29874</v>
      </c>
      <c r="P417" s="324"/>
      <c r="Q417" s="324"/>
      <c r="R417" s="324"/>
      <c r="S417" s="324"/>
      <c r="T417" s="325">
        <f t="shared" si="6"/>
        <v>29874</v>
      </c>
    </row>
    <row r="418" spans="1:20" ht="18.75" x14ac:dyDescent="0.3">
      <c r="A418" s="512" t="s">
        <v>1059</v>
      </c>
      <c r="B418" s="513">
        <v>45329</v>
      </c>
      <c r="C418" s="514" t="s">
        <v>1088</v>
      </c>
      <c r="D418" s="321" t="s">
        <v>1089</v>
      </c>
      <c r="E418" s="322" t="s">
        <v>755</v>
      </c>
      <c r="F418" s="515">
        <v>95000</v>
      </c>
      <c r="G418" s="324" t="s">
        <v>1114</v>
      </c>
      <c r="H418" s="324">
        <v>2024</v>
      </c>
      <c r="I418" s="324"/>
      <c r="J418" s="324"/>
      <c r="K418" s="324"/>
      <c r="L418" s="324"/>
      <c r="M418" s="324"/>
      <c r="N418" s="324"/>
      <c r="O418" s="515">
        <v>95000</v>
      </c>
      <c r="P418" s="324"/>
      <c r="Q418" s="324"/>
      <c r="R418" s="324"/>
      <c r="S418" s="324"/>
      <c r="T418" s="325">
        <f t="shared" si="6"/>
        <v>95000</v>
      </c>
    </row>
    <row r="419" spans="1:20" ht="18.75" x14ac:dyDescent="0.3">
      <c r="A419" s="518" t="s">
        <v>708</v>
      </c>
      <c r="B419" s="513">
        <v>45329</v>
      </c>
      <c r="C419" s="514" t="s">
        <v>1163</v>
      </c>
      <c r="D419" s="321" t="s">
        <v>694</v>
      </c>
      <c r="E419" s="322" t="s">
        <v>680</v>
      </c>
      <c r="F419" s="515">
        <v>251340</v>
      </c>
      <c r="G419" s="324" t="s">
        <v>1114</v>
      </c>
      <c r="H419" s="324">
        <v>2024</v>
      </c>
      <c r="I419" s="324"/>
      <c r="J419" s="324"/>
      <c r="K419" s="324"/>
      <c r="L419" s="324"/>
      <c r="M419" s="324"/>
      <c r="N419" s="324"/>
      <c r="O419" s="515">
        <v>251340</v>
      </c>
      <c r="P419" s="324"/>
      <c r="Q419" s="324"/>
      <c r="R419" s="324"/>
      <c r="S419" s="324"/>
      <c r="T419" s="325">
        <f t="shared" si="6"/>
        <v>251340</v>
      </c>
    </row>
    <row r="420" spans="1:20" ht="18.75" x14ac:dyDescent="0.3">
      <c r="A420" s="513" t="s">
        <v>253</v>
      </c>
      <c r="B420" s="513">
        <v>45330</v>
      </c>
      <c r="C420" s="514" t="s">
        <v>1754</v>
      </c>
      <c r="D420" s="321" t="s">
        <v>1090</v>
      </c>
      <c r="E420" s="322" t="s">
        <v>701</v>
      </c>
      <c r="F420" s="515">
        <v>1150</v>
      </c>
      <c r="G420" s="324" t="s">
        <v>1114</v>
      </c>
      <c r="H420" s="324">
        <v>2024</v>
      </c>
      <c r="I420" s="324"/>
      <c r="J420" s="324"/>
      <c r="K420" s="324"/>
      <c r="L420" s="324"/>
      <c r="M420" s="324"/>
      <c r="N420" s="324"/>
      <c r="O420" s="515">
        <v>1150</v>
      </c>
      <c r="P420" s="324"/>
      <c r="Q420" s="324"/>
      <c r="R420" s="324"/>
      <c r="S420" s="324"/>
      <c r="T420" s="325">
        <f t="shared" si="6"/>
        <v>1150</v>
      </c>
    </row>
    <row r="421" spans="1:20" ht="18.75" x14ac:dyDescent="0.3">
      <c r="A421" s="513" t="s">
        <v>697</v>
      </c>
      <c r="B421" s="513">
        <v>45330</v>
      </c>
      <c r="C421" s="514" t="s">
        <v>1091</v>
      </c>
      <c r="D421" s="321" t="s">
        <v>968</v>
      </c>
      <c r="E421" s="322" t="s">
        <v>1067</v>
      </c>
      <c r="F421" s="515">
        <v>843200</v>
      </c>
      <c r="G421" s="324" t="s">
        <v>1114</v>
      </c>
      <c r="H421" s="324">
        <v>2024</v>
      </c>
      <c r="I421" s="324"/>
      <c r="J421" s="324"/>
      <c r="K421" s="324"/>
      <c r="L421" s="324"/>
      <c r="M421" s="324"/>
      <c r="N421" s="324"/>
      <c r="O421" s="515">
        <v>843200</v>
      </c>
      <c r="P421" s="324"/>
      <c r="Q421" s="324"/>
      <c r="R421" s="324"/>
      <c r="S421" s="324"/>
      <c r="T421" s="325">
        <f t="shared" si="6"/>
        <v>843200</v>
      </c>
    </row>
    <row r="422" spans="1:20" ht="18.75" x14ac:dyDescent="0.3">
      <c r="A422" s="512" t="s">
        <v>868</v>
      </c>
      <c r="B422" s="513">
        <v>45330</v>
      </c>
      <c r="C422" s="514" t="s">
        <v>1092</v>
      </c>
      <c r="D422" s="321" t="s">
        <v>723</v>
      </c>
      <c r="E422" s="322" t="s">
        <v>1093</v>
      </c>
      <c r="F422" s="515">
        <v>208274.72</v>
      </c>
      <c r="G422" s="324" t="s">
        <v>1114</v>
      </c>
      <c r="H422" s="324">
        <v>2024</v>
      </c>
      <c r="I422" s="324"/>
      <c r="J422" s="324"/>
      <c r="K422" s="324"/>
      <c r="L422" s="324"/>
      <c r="M422" s="324"/>
      <c r="N422" s="324"/>
      <c r="O422" s="515">
        <v>208274.72</v>
      </c>
      <c r="P422" s="324"/>
      <c r="Q422" s="324"/>
      <c r="R422" s="324"/>
      <c r="S422" s="324"/>
      <c r="T422" s="325">
        <f t="shared" si="6"/>
        <v>208274.72</v>
      </c>
    </row>
    <row r="423" spans="1:20" ht="18.75" x14ac:dyDescent="0.3">
      <c r="A423" s="512" t="s">
        <v>237</v>
      </c>
      <c r="B423" s="527">
        <v>45331</v>
      </c>
      <c r="C423" s="531" t="s">
        <v>1094</v>
      </c>
      <c r="D423" s="346" t="s">
        <v>1095</v>
      </c>
      <c r="E423" s="344" t="s">
        <v>1096</v>
      </c>
      <c r="F423" s="532">
        <v>96000</v>
      </c>
      <c r="G423" s="324" t="s">
        <v>1114</v>
      </c>
      <c r="H423" s="324">
        <v>2024</v>
      </c>
      <c r="I423" s="324"/>
      <c r="J423" s="324"/>
      <c r="K423" s="324"/>
      <c r="L423" s="324"/>
      <c r="M423" s="324"/>
      <c r="N423" s="324"/>
      <c r="O423" s="532">
        <v>96000</v>
      </c>
      <c r="P423" s="324"/>
      <c r="Q423" s="324"/>
      <c r="R423" s="324"/>
      <c r="S423" s="324"/>
      <c r="T423" s="325">
        <f t="shared" si="6"/>
        <v>96000</v>
      </c>
    </row>
    <row r="424" spans="1:20" s="520" customFormat="1" ht="18.75" x14ac:dyDescent="0.3">
      <c r="A424" s="512" t="s">
        <v>766</v>
      </c>
      <c r="B424" s="513">
        <v>45334</v>
      </c>
      <c r="C424" s="514"/>
      <c r="D424" s="321" t="s">
        <v>1755</v>
      </c>
      <c r="E424" s="322" t="s">
        <v>769</v>
      </c>
      <c r="F424" s="515">
        <v>9900</v>
      </c>
      <c r="G424" s="324" t="s">
        <v>1114</v>
      </c>
      <c r="H424" s="324">
        <v>2024</v>
      </c>
      <c r="I424" s="519"/>
      <c r="J424" s="519"/>
      <c r="K424" s="519"/>
      <c r="L424" s="519"/>
      <c r="M424" s="519"/>
      <c r="N424" s="519"/>
      <c r="O424" s="515">
        <v>9900</v>
      </c>
      <c r="P424" s="519"/>
      <c r="Q424" s="519"/>
      <c r="R424" s="519"/>
      <c r="S424" s="519"/>
      <c r="T424" s="325">
        <f t="shared" si="6"/>
        <v>9900</v>
      </c>
    </row>
    <row r="425" spans="1:20" s="540" customFormat="1" ht="18.75" x14ac:dyDescent="0.3">
      <c r="A425" s="512" t="s">
        <v>766</v>
      </c>
      <c r="B425" s="513">
        <v>45334</v>
      </c>
      <c r="C425" s="514" t="s">
        <v>1080</v>
      </c>
      <c r="D425" s="321" t="s">
        <v>1097</v>
      </c>
      <c r="E425" s="322" t="s">
        <v>769</v>
      </c>
      <c r="F425" s="515">
        <v>7620</v>
      </c>
      <c r="G425" s="324" t="s">
        <v>1114</v>
      </c>
      <c r="H425" s="324">
        <v>2024</v>
      </c>
      <c r="I425" s="539"/>
      <c r="J425" s="539"/>
      <c r="K425" s="539"/>
      <c r="L425" s="539"/>
      <c r="M425" s="539"/>
      <c r="N425" s="539"/>
      <c r="O425" s="515">
        <v>7620</v>
      </c>
      <c r="P425" s="539"/>
      <c r="Q425" s="539"/>
      <c r="R425" s="539"/>
      <c r="S425" s="539"/>
      <c r="T425" s="325">
        <f t="shared" si="6"/>
        <v>7620</v>
      </c>
    </row>
    <row r="426" spans="1:20" s="540" customFormat="1" ht="18.75" x14ac:dyDescent="0.3">
      <c r="A426" s="512" t="s">
        <v>1164</v>
      </c>
      <c r="B426" s="513">
        <v>45334</v>
      </c>
      <c r="C426" s="514" t="s">
        <v>1165</v>
      </c>
      <c r="D426" s="321" t="s">
        <v>1166</v>
      </c>
      <c r="E426" s="322" t="s">
        <v>1167</v>
      </c>
      <c r="F426" s="515">
        <v>167500</v>
      </c>
      <c r="G426" s="324" t="s">
        <v>1114</v>
      </c>
      <c r="H426" s="324">
        <v>2024</v>
      </c>
      <c r="I426" s="539"/>
      <c r="J426" s="539"/>
      <c r="K426" s="539"/>
      <c r="L426" s="539"/>
      <c r="M426" s="539"/>
      <c r="N426" s="539"/>
      <c r="O426" s="515">
        <v>167500</v>
      </c>
      <c r="P426" s="539"/>
      <c r="Q426" s="539"/>
      <c r="R426" s="539"/>
      <c r="S426" s="539"/>
      <c r="T426" s="325">
        <f t="shared" si="6"/>
        <v>167500</v>
      </c>
    </row>
    <row r="427" spans="1:20" ht="18.75" x14ac:dyDescent="0.3">
      <c r="A427" s="512" t="s">
        <v>911</v>
      </c>
      <c r="B427" s="513">
        <v>45336</v>
      </c>
      <c r="C427" s="514" t="s">
        <v>1171</v>
      </c>
      <c r="D427" s="321" t="s">
        <v>1013</v>
      </c>
      <c r="E427" s="322" t="s">
        <v>1172</v>
      </c>
      <c r="F427" s="515">
        <v>104448</v>
      </c>
      <c r="G427" s="324" t="s">
        <v>1114</v>
      </c>
      <c r="H427" s="324">
        <v>2024</v>
      </c>
      <c r="I427" s="324"/>
      <c r="J427" s="324"/>
      <c r="K427" s="324"/>
      <c r="L427" s="324"/>
      <c r="M427" s="324"/>
      <c r="N427" s="324"/>
      <c r="O427" s="515">
        <v>104448</v>
      </c>
      <c r="P427" s="324"/>
      <c r="Q427" s="324"/>
      <c r="R427" s="324"/>
      <c r="S427" s="324"/>
      <c r="T427" s="325">
        <f t="shared" si="6"/>
        <v>104448</v>
      </c>
    </row>
    <row r="428" spans="1:20" ht="37.5" x14ac:dyDescent="0.3">
      <c r="A428" s="512" t="s">
        <v>1168</v>
      </c>
      <c r="B428" s="513">
        <v>45336</v>
      </c>
      <c r="C428" s="514" t="s">
        <v>1169</v>
      </c>
      <c r="D428" s="321" t="s">
        <v>790</v>
      </c>
      <c r="E428" s="322" t="s">
        <v>1170</v>
      </c>
      <c r="F428" s="515">
        <v>1603714.4</v>
      </c>
      <c r="G428" s="324" t="s">
        <v>1114</v>
      </c>
      <c r="H428" s="324">
        <v>2024</v>
      </c>
      <c r="I428" s="324"/>
      <c r="J428" s="324"/>
      <c r="K428" s="324"/>
      <c r="L428" s="324"/>
      <c r="M428" s="324"/>
      <c r="N428" s="324"/>
      <c r="O428" s="515">
        <v>1603714.4</v>
      </c>
      <c r="P428" s="324"/>
      <c r="Q428" s="324"/>
      <c r="R428" s="324"/>
      <c r="S428" s="324"/>
      <c r="T428" s="325">
        <f t="shared" si="6"/>
        <v>1603714.4</v>
      </c>
    </row>
    <row r="429" spans="1:20" ht="18.75" x14ac:dyDescent="0.3">
      <c r="A429" s="513" t="s">
        <v>253</v>
      </c>
      <c r="B429" s="513">
        <v>45337</v>
      </c>
      <c r="C429" s="514" t="s">
        <v>1756</v>
      </c>
      <c r="D429" s="321" t="s">
        <v>1174</v>
      </c>
      <c r="E429" s="322" t="s">
        <v>701</v>
      </c>
      <c r="F429" s="515">
        <v>1150</v>
      </c>
      <c r="G429" s="324" t="s">
        <v>1114</v>
      </c>
      <c r="H429" s="324">
        <v>2024</v>
      </c>
      <c r="I429" s="324"/>
      <c r="J429" s="324"/>
      <c r="K429" s="324"/>
      <c r="L429" s="324"/>
      <c r="M429" s="324"/>
      <c r="N429" s="324"/>
      <c r="O429" s="515">
        <v>1150</v>
      </c>
      <c r="P429" s="324"/>
      <c r="Q429" s="324"/>
      <c r="R429" s="324"/>
      <c r="S429" s="324"/>
      <c r="T429" s="325">
        <f t="shared" si="6"/>
        <v>1150</v>
      </c>
    </row>
    <row r="430" spans="1:20" ht="37.5" x14ac:dyDescent="0.3">
      <c r="A430" s="512" t="s">
        <v>763</v>
      </c>
      <c r="B430" s="513">
        <v>45337</v>
      </c>
      <c r="C430" s="514"/>
      <c r="D430" s="326" t="s">
        <v>1098</v>
      </c>
      <c r="E430" s="322" t="s">
        <v>1099</v>
      </c>
      <c r="F430" s="515">
        <v>10148</v>
      </c>
      <c r="G430" s="324" t="s">
        <v>1114</v>
      </c>
      <c r="H430" s="324">
        <v>2024</v>
      </c>
      <c r="I430" s="324"/>
      <c r="J430" s="324"/>
      <c r="K430" s="324"/>
      <c r="L430" s="324"/>
      <c r="M430" s="324"/>
      <c r="N430" s="324"/>
      <c r="O430" s="515">
        <v>10148</v>
      </c>
      <c r="P430" s="324"/>
      <c r="Q430" s="324"/>
      <c r="R430" s="324"/>
      <c r="S430" s="324"/>
      <c r="T430" s="325">
        <f t="shared" si="6"/>
        <v>10148</v>
      </c>
    </row>
    <row r="431" spans="1:20" ht="18.75" x14ac:dyDescent="0.3">
      <c r="A431" s="513" t="s">
        <v>1038</v>
      </c>
      <c r="B431" s="513">
        <v>45338</v>
      </c>
      <c r="C431" s="514" t="s">
        <v>1101</v>
      </c>
      <c r="D431" s="321" t="s">
        <v>1102</v>
      </c>
      <c r="E431" s="322" t="s">
        <v>1103</v>
      </c>
      <c r="F431" s="515">
        <v>46108.5</v>
      </c>
      <c r="G431" s="324" t="s">
        <v>1114</v>
      </c>
      <c r="H431" s="324">
        <v>2024</v>
      </c>
      <c r="I431" s="324"/>
      <c r="J431" s="324"/>
      <c r="K431" s="324"/>
      <c r="L431" s="324"/>
      <c r="M431" s="324"/>
      <c r="N431" s="324"/>
      <c r="O431" s="515">
        <v>46108.5</v>
      </c>
      <c r="P431" s="324"/>
      <c r="Q431" s="324"/>
      <c r="R431" s="324"/>
      <c r="S431" s="324"/>
      <c r="T431" s="325">
        <f t="shared" si="6"/>
        <v>46108.5</v>
      </c>
    </row>
    <row r="432" spans="1:20" ht="18.75" x14ac:dyDescent="0.3">
      <c r="A432" s="512" t="s">
        <v>271</v>
      </c>
      <c r="B432" s="512">
        <v>45338</v>
      </c>
      <c r="C432" s="521"/>
      <c r="D432" s="321" t="s">
        <v>1757</v>
      </c>
      <c r="E432" s="328" t="s">
        <v>680</v>
      </c>
      <c r="F432" s="522">
        <v>253818</v>
      </c>
      <c r="G432" s="324" t="s">
        <v>1114</v>
      </c>
      <c r="H432" s="324">
        <v>2024</v>
      </c>
      <c r="I432" s="324"/>
      <c r="J432" s="324"/>
      <c r="K432" s="324"/>
      <c r="L432" s="324"/>
      <c r="M432" s="324"/>
      <c r="N432" s="324"/>
      <c r="O432" s="522">
        <v>253818</v>
      </c>
      <c r="P432" s="324"/>
      <c r="Q432" s="324"/>
      <c r="R432" s="324"/>
      <c r="S432" s="324"/>
      <c r="T432" s="325">
        <f t="shared" si="6"/>
        <v>253818</v>
      </c>
    </row>
    <row r="433" spans="1:20" ht="18.75" x14ac:dyDescent="0.3">
      <c r="A433" s="512" t="s">
        <v>1045</v>
      </c>
      <c r="B433" s="513">
        <v>45345</v>
      </c>
      <c r="C433" s="541" t="s">
        <v>1106</v>
      </c>
      <c r="D433" s="321" t="s">
        <v>898</v>
      </c>
      <c r="E433" s="541" t="s">
        <v>506</v>
      </c>
      <c r="F433" s="515">
        <v>110850</v>
      </c>
      <c r="G433" s="324" t="s">
        <v>1114</v>
      </c>
      <c r="H433" s="324">
        <v>2024</v>
      </c>
      <c r="I433" s="324"/>
      <c r="J433" s="324"/>
      <c r="K433" s="324"/>
      <c r="L433" s="324"/>
      <c r="M433" s="324"/>
      <c r="N433" s="324"/>
      <c r="O433" s="515">
        <v>110850</v>
      </c>
      <c r="P433" s="324"/>
      <c r="Q433" s="324"/>
      <c r="R433" s="324"/>
      <c r="S433" s="324"/>
      <c r="T433" s="325">
        <f t="shared" si="6"/>
        <v>110850</v>
      </c>
    </row>
    <row r="434" spans="1:20" ht="18.75" x14ac:dyDescent="0.3">
      <c r="A434" s="512" t="s">
        <v>387</v>
      </c>
      <c r="B434" s="527">
        <v>45348</v>
      </c>
      <c r="C434" s="531" t="s">
        <v>1177</v>
      </c>
      <c r="D434" s="342" t="s">
        <v>1178</v>
      </c>
      <c r="E434" s="343" t="s">
        <v>1179</v>
      </c>
      <c r="F434" s="532">
        <v>246500</v>
      </c>
      <c r="G434" s="324" t="s">
        <v>1114</v>
      </c>
      <c r="H434" s="324">
        <v>2024</v>
      </c>
      <c r="I434" s="324"/>
      <c r="J434" s="324"/>
      <c r="K434" s="324"/>
      <c r="L434" s="324"/>
      <c r="M434" s="324"/>
      <c r="N434" s="324"/>
      <c r="O434" s="532">
        <v>246500</v>
      </c>
      <c r="P434" s="324"/>
      <c r="Q434" s="324"/>
      <c r="R434" s="324"/>
      <c r="S434" s="324"/>
      <c r="T434" s="325">
        <f t="shared" si="6"/>
        <v>246500</v>
      </c>
    </row>
    <row r="435" spans="1:20" ht="18.75" x14ac:dyDescent="0.3">
      <c r="A435" s="512" t="s">
        <v>929</v>
      </c>
      <c r="B435" s="513">
        <v>45350</v>
      </c>
      <c r="C435" s="514" t="s">
        <v>1187</v>
      </c>
      <c r="D435" s="321" t="s">
        <v>1188</v>
      </c>
      <c r="E435" s="322" t="s">
        <v>680</v>
      </c>
      <c r="F435" s="515">
        <v>229462.8</v>
      </c>
      <c r="G435" s="324" t="s">
        <v>1114</v>
      </c>
      <c r="H435" s="324">
        <v>2024</v>
      </c>
      <c r="I435" s="324"/>
      <c r="J435" s="324"/>
      <c r="K435" s="324"/>
      <c r="L435" s="324"/>
      <c r="M435" s="324"/>
      <c r="N435" s="324"/>
      <c r="O435" s="515">
        <v>229462.8</v>
      </c>
      <c r="P435" s="324"/>
      <c r="Q435" s="324"/>
      <c r="R435" s="324"/>
      <c r="S435" s="324"/>
      <c r="T435" s="325">
        <f t="shared" si="6"/>
        <v>229462.8</v>
      </c>
    </row>
    <row r="436" spans="1:20" ht="18.75" x14ac:dyDescent="0.3">
      <c r="A436" s="512" t="s">
        <v>449</v>
      </c>
      <c r="B436" s="528">
        <v>45350</v>
      </c>
      <c r="C436" s="529" t="s">
        <v>1742</v>
      </c>
      <c r="D436" s="339" t="s">
        <v>1225</v>
      </c>
      <c r="E436" s="340"/>
      <c r="F436" s="530">
        <v>51920</v>
      </c>
      <c r="G436" s="324" t="s">
        <v>1114</v>
      </c>
      <c r="H436" s="324">
        <v>2024</v>
      </c>
      <c r="I436" s="324"/>
      <c r="J436" s="324"/>
      <c r="K436" s="324"/>
      <c r="L436" s="324"/>
      <c r="M436" s="324"/>
      <c r="N436" s="324"/>
      <c r="O436" s="530">
        <v>51920</v>
      </c>
      <c r="P436" s="324"/>
      <c r="Q436" s="324"/>
      <c r="R436" s="324"/>
      <c r="S436" s="324"/>
      <c r="T436" s="325">
        <f t="shared" si="6"/>
        <v>51920</v>
      </c>
    </row>
    <row r="437" spans="1:20" ht="18.75" x14ac:dyDescent="0.3">
      <c r="A437" s="518" t="s">
        <v>1735</v>
      </c>
      <c r="B437" s="513">
        <v>45350</v>
      </c>
      <c r="C437" s="514" t="s">
        <v>1189</v>
      </c>
      <c r="D437" s="321" t="s">
        <v>1190</v>
      </c>
      <c r="E437" s="322" t="s">
        <v>680</v>
      </c>
      <c r="F437" s="515">
        <v>169116.66</v>
      </c>
      <c r="G437" s="324" t="s">
        <v>1114</v>
      </c>
      <c r="H437" s="324">
        <v>2024</v>
      </c>
      <c r="I437" s="324"/>
      <c r="J437" s="324"/>
      <c r="K437" s="324"/>
      <c r="L437" s="324"/>
      <c r="M437" s="324"/>
      <c r="N437" s="324"/>
      <c r="O437" s="515">
        <v>169116.66</v>
      </c>
      <c r="P437" s="324"/>
      <c r="Q437" s="324"/>
      <c r="R437" s="324"/>
      <c r="S437" s="324"/>
      <c r="T437" s="325">
        <f t="shared" si="6"/>
        <v>169116.66</v>
      </c>
    </row>
    <row r="438" spans="1:20" ht="37.5" x14ac:dyDescent="0.3">
      <c r="A438" s="512" t="s">
        <v>664</v>
      </c>
      <c r="B438" s="513">
        <v>45350</v>
      </c>
      <c r="C438" s="514" t="s">
        <v>1180</v>
      </c>
      <c r="D438" s="321" t="s">
        <v>1181</v>
      </c>
      <c r="E438" s="322" t="s">
        <v>1182</v>
      </c>
      <c r="F438" s="515">
        <v>448400</v>
      </c>
      <c r="G438" s="324" t="s">
        <v>1114</v>
      </c>
      <c r="H438" s="324">
        <v>2024</v>
      </c>
      <c r="I438" s="324"/>
      <c r="J438" s="324"/>
      <c r="K438" s="324"/>
      <c r="L438" s="324"/>
      <c r="M438" s="324"/>
      <c r="N438" s="324"/>
      <c r="O438" s="515">
        <v>448400</v>
      </c>
      <c r="P438" s="324"/>
      <c r="Q438" s="324"/>
      <c r="R438" s="324"/>
      <c r="S438" s="324"/>
      <c r="T438" s="325">
        <f t="shared" si="6"/>
        <v>448400</v>
      </c>
    </row>
    <row r="439" spans="1:20" ht="18.75" x14ac:dyDescent="0.3">
      <c r="A439" s="512" t="s">
        <v>664</v>
      </c>
      <c r="B439" s="513">
        <v>45350</v>
      </c>
      <c r="C439" s="514" t="s">
        <v>1183</v>
      </c>
      <c r="D439" s="321" t="s">
        <v>1184</v>
      </c>
      <c r="E439" s="322" t="s">
        <v>1185</v>
      </c>
      <c r="F439" s="515">
        <v>228920</v>
      </c>
      <c r="G439" s="324" t="s">
        <v>1114</v>
      </c>
      <c r="H439" s="324">
        <v>2024</v>
      </c>
      <c r="I439" s="324"/>
      <c r="J439" s="324"/>
      <c r="K439" s="324"/>
      <c r="L439" s="324"/>
      <c r="M439" s="324"/>
      <c r="N439" s="324"/>
      <c r="O439" s="515">
        <v>228920</v>
      </c>
      <c r="P439" s="324"/>
      <c r="Q439" s="324"/>
      <c r="R439" s="324"/>
      <c r="S439" s="324"/>
      <c r="T439" s="325">
        <f t="shared" si="6"/>
        <v>228920</v>
      </c>
    </row>
    <row r="440" spans="1:20" ht="18.75" x14ac:dyDescent="0.3">
      <c r="A440" s="513" t="s">
        <v>873</v>
      </c>
      <c r="B440" s="513">
        <v>45351</v>
      </c>
      <c r="C440" s="514">
        <v>1855</v>
      </c>
      <c r="D440" s="321" t="s">
        <v>912</v>
      </c>
      <c r="E440" s="322" t="s">
        <v>875</v>
      </c>
      <c r="F440" s="515">
        <v>29800</v>
      </c>
      <c r="G440" s="324" t="s">
        <v>1114</v>
      </c>
      <c r="H440" s="324">
        <v>2024</v>
      </c>
      <c r="I440" s="324"/>
      <c r="J440" s="324"/>
      <c r="K440" s="324"/>
      <c r="L440" s="324"/>
      <c r="M440" s="324"/>
      <c r="N440" s="324"/>
      <c r="O440" s="515">
        <v>29800</v>
      </c>
      <c r="P440" s="324"/>
      <c r="Q440" s="324"/>
      <c r="R440" s="324"/>
      <c r="S440" s="324"/>
      <c r="T440" s="325">
        <f t="shared" si="6"/>
        <v>29800</v>
      </c>
    </row>
    <row r="441" spans="1:20" ht="18.75" x14ac:dyDescent="0.3">
      <c r="A441" s="513" t="s">
        <v>253</v>
      </c>
      <c r="B441" s="513">
        <v>45351</v>
      </c>
      <c r="C441" s="514" t="s">
        <v>1758</v>
      </c>
      <c r="D441" s="321" t="s">
        <v>1199</v>
      </c>
      <c r="E441" s="322" t="s">
        <v>701</v>
      </c>
      <c r="F441" s="515">
        <v>1150</v>
      </c>
      <c r="G441" s="324" t="s">
        <v>1114</v>
      </c>
      <c r="H441" s="324">
        <v>2024</v>
      </c>
      <c r="I441" s="324"/>
      <c r="J441" s="324"/>
      <c r="K441" s="324"/>
      <c r="L441" s="324"/>
      <c r="M441" s="324"/>
      <c r="N441" s="324"/>
      <c r="O441" s="515">
        <v>1150</v>
      </c>
      <c r="P441" s="324"/>
      <c r="Q441" s="324"/>
      <c r="R441" s="324"/>
      <c r="S441" s="324"/>
      <c r="T441" s="325">
        <f t="shared" si="6"/>
        <v>1150</v>
      </c>
    </row>
    <row r="442" spans="1:20" ht="18.75" x14ac:dyDescent="0.3">
      <c r="A442" s="512" t="s">
        <v>1153</v>
      </c>
      <c r="B442" s="513">
        <v>45351</v>
      </c>
      <c r="C442" s="514"/>
      <c r="D442" s="321" t="s">
        <v>1193</v>
      </c>
      <c r="E442" s="322" t="s">
        <v>1155</v>
      </c>
      <c r="F442" s="515">
        <v>29800</v>
      </c>
      <c r="G442" s="324" t="s">
        <v>1114</v>
      </c>
      <c r="H442" s="324">
        <v>2024</v>
      </c>
      <c r="I442" s="324"/>
      <c r="J442" s="324"/>
      <c r="K442" s="324"/>
      <c r="L442" s="324"/>
      <c r="M442" s="324"/>
      <c r="N442" s="324"/>
      <c r="O442" s="515">
        <v>29800</v>
      </c>
      <c r="P442" s="324"/>
      <c r="Q442" s="324"/>
      <c r="R442" s="324"/>
      <c r="S442" s="324"/>
      <c r="T442" s="325">
        <f t="shared" si="6"/>
        <v>29800</v>
      </c>
    </row>
    <row r="443" spans="1:20" ht="18.75" x14ac:dyDescent="0.3">
      <c r="A443" s="512" t="s">
        <v>904</v>
      </c>
      <c r="B443" s="513">
        <v>45351</v>
      </c>
      <c r="C443" s="514"/>
      <c r="D443" s="321" t="s">
        <v>1107</v>
      </c>
      <c r="E443" s="322" t="s">
        <v>905</v>
      </c>
      <c r="F443" s="515">
        <v>21000</v>
      </c>
      <c r="G443" s="324" t="s">
        <v>1114</v>
      </c>
      <c r="H443" s="324">
        <v>2024</v>
      </c>
      <c r="I443" s="324"/>
      <c r="J443" s="324"/>
      <c r="K443" s="324"/>
      <c r="L443" s="324"/>
      <c r="M443" s="324"/>
      <c r="N443" s="324"/>
      <c r="O443" s="515">
        <v>21000</v>
      </c>
      <c r="P443" s="324"/>
      <c r="Q443" s="324"/>
      <c r="R443" s="324"/>
      <c r="S443" s="324"/>
      <c r="T443" s="325">
        <f t="shared" si="6"/>
        <v>21000</v>
      </c>
    </row>
    <row r="444" spans="1:20" ht="18.75" x14ac:dyDescent="0.3">
      <c r="A444" s="513" t="s">
        <v>1194</v>
      </c>
      <c r="B444" s="513">
        <v>45351</v>
      </c>
      <c r="C444" s="514" t="s">
        <v>1195</v>
      </c>
      <c r="D444" s="321" t="s">
        <v>1196</v>
      </c>
      <c r="E444" s="322" t="s">
        <v>1197</v>
      </c>
      <c r="F444" s="515">
        <v>53572</v>
      </c>
      <c r="G444" s="324" t="s">
        <v>1114</v>
      </c>
      <c r="H444" s="324">
        <v>2024</v>
      </c>
      <c r="I444" s="324"/>
      <c r="J444" s="324"/>
      <c r="K444" s="324"/>
      <c r="L444" s="324"/>
      <c r="M444" s="324"/>
      <c r="N444" s="324"/>
      <c r="O444" s="515">
        <v>53572</v>
      </c>
      <c r="P444" s="324"/>
      <c r="Q444" s="324"/>
      <c r="R444" s="324"/>
      <c r="S444" s="324"/>
      <c r="T444" s="325">
        <f t="shared" si="6"/>
        <v>53572</v>
      </c>
    </row>
    <row r="445" spans="1:20" ht="18.75" x14ac:dyDescent="0.3">
      <c r="A445" s="512" t="s">
        <v>396</v>
      </c>
      <c r="B445" s="513">
        <v>45351</v>
      </c>
      <c r="C445" s="514"/>
      <c r="D445" s="321" t="s">
        <v>1191</v>
      </c>
      <c r="E445" s="322" t="s">
        <v>1192</v>
      </c>
      <c r="F445" s="515">
        <v>90475</v>
      </c>
      <c r="G445" s="324" t="s">
        <v>1114</v>
      </c>
      <c r="H445" s="324">
        <v>2024</v>
      </c>
      <c r="I445" s="324"/>
      <c r="J445" s="324"/>
      <c r="K445" s="324"/>
      <c r="L445" s="324"/>
      <c r="M445" s="324"/>
      <c r="N445" s="324"/>
      <c r="O445" s="515">
        <v>90475</v>
      </c>
      <c r="P445" s="324"/>
      <c r="Q445" s="324"/>
      <c r="R445" s="324"/>
      <c r="S445" s="324"/>
      <c r="T445" s="325">
        <f t="shared" si="6"/>
        <v>90475</v>
      </c>
    </row>
    <row r="446" spans="1:20" ht="18.75" x14ac:dyDescent="0.3">
      <c r="A446" s="513" t="s">
        <v>1038</v>
      </c>
      <c r="B446" s="513">
        <v>45352</v>
      </c>
      <c r="C446" s="514" t="s">
        <v>1759</v>
      </c>
      <c r="D446" s="321" t="s">
        <v>722</v>
      </c>
      <c r="E446" s="322" t="s">
        <v>1103</v>
      </c>
      <c r="F446" s="515">
        <v>153695</v>
      </c>
      <c r="G446" s="324" t="s">
        <v>1114</v>
      </c>
      <c r="H446" s="324">
        <v>2024</v>
      </c>
      <c r="I446" s="324"/>
      <c r="J446" s="324"/>
      <c r="K446" s="324"/>
      <c r="L446" s="324"/>
      <c r="M446" s="324"/>
      <c r="N446" s="324"/>
      <c r="O446" s="324"/>
      <c r="P446" s="515">
        <v>153695</v>
      </c>
      <c r="Q446" s="324"/>
      <c r="R446" s="324"/>
      <c r="S446" s="324"/>
      <c r="T446" s="325">
        <f t="shared" si="6"/>
        <v>153695</v>
      </c>
    </row>
    <row r="447" spans="1:20" ht="18.75" x14ac:dyDescent="0.3">
      <c r="A447" s="319" t="s">
        <v>1156</v>
      </c>
      <c r="B447" s="513">
        <v>45353</v>
      </c>
      <c r="C447" s="514" t="s">
        <v>1200</v>
      </c>
      <c r="D447" s="321" t="s">
        <v>1201</v>
      </c>
      <c r="E447" s="322" t="s">
        <v>1202</v>
      </c>
      <c r="F447" s="515">
        <v>5760</v>
      </c>
      <c r="G447" s="324" t="s">
        <v>1114</v>
      </c>
      <c r="H447" s="324">
        <v>2024</v>
      </c>
      <c r="I447" s="324"/>
      <c r="J447" s="324"/>
      <c r="K447" s="324"/>
      <c r="L447" s="324"/>
      <c r="M447" s="324"/>
      <c r="N447" s="324"/>
      <c r="O447" s="324"/>
      <c r="P447" s="515">
        <v>5760</v>
      </c>
      <c r="Q447" s="324"/>
      <c r="R447" s="324"/>
      <c r="S447" s="324"/>
      <c r="T447" s="325">
        <f t="shared" si="6"/>
        <v>5760</v>
      </c>
    </row>
    <row r="448" spans="1:20" ht="18.75" x14ac:dyDescent="0.3">
      <c r="A448" s="512" t="s">
        <v>763</v>
      </c>
      <c r="B448" s="513">
        <v>45355</v>
      </c>
      <c r="C448" s="514"/>
      <c r="D448" s="326" t="s">
        <v>1203</v>
      </c>
      <c r="E448" s="322" t="s">
        <v>844</v>
      </c>
      <c r="F448" s="515">
        <v>23010</v>
      </c>
      <c r="G448" s="324" t="s">
        <v>1114</v>
      </c>
      <c r="H448" s="324">
        <v>2024</v>
      </c>
      <c r="I448" s="324"/>
      <c r="J448" s="324"/>
      <c r="K448" s="324"/>
      <c r="L448" s="324"/>
      <c r="M448" s="324"/>
      <c r="N448" s="324"/>
      <c r="O448" s="324"/>
      <c r="P448" s="515">
        <v>23010</v>
      </c>
      <c r="Q448" s="324"/>
      <c r="R448" s="324"/>
      <c r="S448" s="324"/>
      <c r="T448" s="325">
        <f t="shared" si="6"/>
        <v>23010</v>
      </c>
    </row>
    <row r="449" spans="1:20" ht="18.75" x14ac:dyDescent="0.3">
      <c r="A449" s="512" t="s">
        <v>960</v>
      </c>
      <c r="B449" s="513">
        <v>45356</v>
      </c>
      <c r="C449" s="514" t="s">
        <v>1204</v>
      </c>
      <c r="D449" s="321" t="s">
        <v>834</v>
      </c>
      <c r="E449" s="322" t="s">
        <v>1205</v>
      </c>
      <c r="F449" s="515">
        <v>114252.17</v>
      </c>
      <c r="G449" s="324" t="s">
        <v>1114</v>
      </c>
      <c r="H449" s="324">
        <v>2024</v>
      </c>
      <c r="I449" s="324"/>
      <c r="J449" s="324"/>
      <c r="K449" s="324"/>
      <c r="L449" s="324"/>
      <c r="M449" s="324"/>
      <c r="N449" s="324"/>
      <c r="O449" s="324"/>
      <c r="P449" s="515">
        <v>114252.17</v>
      </c>
      <c r="Q449" s="324"/>
      <c r="R449" s="324"/>
      <c r="S449" s="324"/>
      <c r="T449" s="325">
        <f t="shared" si="6"/>
        <v>114252.17</v>
      </c>
    </row>
    <row r="450" spans="1:20" ht="18.75" x14ac:dyDescent="0.3">
      <c r="A450" s="518" t="s">
        <v>1735</v>
      </c>
      <c r="B450" s="513">
        <v>45357</v>
      </c>
      <c r="C450" s="514" t="s">
        <v>1206</v>
      </c>
      <c r="D450" s="321" t="s">
        <v>1207</v>
      </c>
      <c r="E450" s="322"/>
      <c r="F450" s="515">
        <v>111593.19</v>
      </c>
      <c r="G450" s="324" t="s">
        <v>1114</v>
      </c>
      <c r="H450" s="324">
        <v>2024</v>
      </c>
      <c r="I450" s="324"/>
      <c r="J450" s="324"/>
      <c r="K450" s="324"/>
      <c r="L450" s="324"/>
      <c r="M450" s="324"/>
      <c r="N450" s="324"/>
      <c r="O450" s="324"/>
      <c r="P450" s="515">
        <v>111593.19</v>
      </c>
      <c r="Q450" s="324"/>
      <c r="R450" s="324"/>
      <c r="S450" s="324"/>
      <c r="T450" s="325">
        <f t="shared" si="6"/>
        <v>111593.19</v>
      </c>
    </row>
    <row r="451" spans="1:20" ht="18.75" x14ac:dyDescent="0.3">
      <c r="A451" s="513" t="s">
        <v>358</v>
      </c>
      <c r="B451" s="513">
        <v>45357</v>
      </c>
      <c r="C451" s="514" t="s">
        <v>1208</v>
      </c>
      <c r="D451" s="321" t="s">
        <v>1209</v>
      </c>
      <c r="E451" s="322" t="s">
        <v>1210</v>
      </c>
      <c r="F451" s="515">
        <v>1092500</v>
      </c>
      <c r="G451" s="324" t="s">
        <v>1114</v>
      </c>
      <c r="H451" s="324">
        <v>2024</v>
      </c>
      <c r="I451" s="324"/>
      <c r="J451" s="324"/>
      <c r="K451" s="324"/>
      <c r="L451" s="324"/>
      <c r="M451" s="324"/>
      <c r="N451" s="324"/>
      <c r="O451" s="324"/>
      <c r="P451" s="515">
        <v>1092500</v>
      </c>
      <c r="Q451" s="324"/>
      <c r="R451" s="324"/>
      <c r="S451" s="324"/>
      <c r="T451" s="325">
        <f t="shared" si="6"/>
        <v>1092500</v>
      </c>
    </row>
    <row r="452" spans="1:20" ht="18.75" x14ac:dyDescent="0.3">
      <c r="A452" s="513" t="s">
        <v>253</v>
      </c>
      <c r="B452" s="513">
        <v>45358</v>
      </c>
      <c r="C452" s="514" t="s">
        <v>1198</v>
      </c>
      <c r="D452" s="321" t="s">
        <v>1217</v>
      </c>
      <c r="E452" s="322" t="s">
        <v>701</v>
      </c>
      <c r="F452" s="515">
        <v>1150</v>
      </c>
      <c r="G452" s="324" t="s">
        <v>1114</v>
      </c>
      <c r="H452" s="324">
        <v>2024</v>
      </c>
      <c r="I452" s="324"/>
      <c r="J452" s="324"/>
      <c r="K452" s="324"/>
      <c r="L452" s="324"/>
      <c r="M452" s="324"/>
      <c r="N452" s="324"/>
      <c r="O452" s="324"/>
      <c r="P452" s="515">
        <v>1150</v>
      </c>
      <c r="Q452" s="324"/>
      <c r="R452" s="324"/>
      <c r="S452" s="324"/>
      <c r="T452" s="325">
        <f t="shared" si="6"/>
        <v>1150</v>
      </c>
    </row>
    <row r="453" spans="1:20" ht="37.5" x14ac:dyDescent="0.3">
      <c r="A453" s="512" t="s">
        <v>1211</v>
      </c>
      <c r="B453" s="513">
        <v>45358</v>
      </c>
      <c r="C453" s="514" t="s">
        <v>1212</v>
      </c>
      <c r="D453" s="321" t="s">
        <v>846</v>
      </c>
      <c r="E453" s="322" t="s">
        <v>1213</v>
      </c>
      <c r="F453" s="515">
        <v>1162776.96</v>
      </c>
      <c r="G453" s="324" t="s">
        <v>1114</v>
      </c>
      <c r="H453" s="324">
        <v>2024</v>
      </c>
      <c r="I453" s="324"/>
      <c r="J453" s="324"/>
      <c r="K453" s="324"/>
      <c r="L453" s="324"/>
      <c r="M453" s="324"/>
      <c r="N453" s="324"/>
      <c r="O453" s="324"/>
      <c r="P453" s="515">
        <v>1162776.96</v>
      </c>
      <c r="Q453" s="324"/>
      <c r="R453" s="324"/>
      <c r="S453" s="324"/>
      <c r="T453" s="325">
        <f t="shared" si="6"/>
        <v>1162776.96</v>
      </c>
    </row>
    <row r="454" spans="1:20" ht="18.75" x14ac:dyDescent="0.3">
      <c r="A454" s="512" t="s">
        <v>969</v>
      </c>
      <c r="B454" s="513">
        <v>45358</v>
      </c>
      <c r="C454" s="514" t="s">
        <v>1214</v>
      </c>
      <c r="D454" s="321" t="s">
        <v>1215</v>
      </c>
      <c r="E454" s="322" t="s">
        <v>1216</v>
      </c>
      <c r="F454" s="515">
        <v>50150</v>
      </c>
      <c r="G454" s="324" t="s">
        <v>1114</v>
      </c>
      <c r="H454" s="324">
        <v>2024</v>
      </c>
      <c r="I454" s="324"/>
      <c r="J454" s="324"/>
      <c r="K454" s="324"/>
      <c r="L454" s="324"/>
      <c r="M454" s="324"/>
      <c r="N454" s="324"/>
      <c r="O454" s="324"/>
      <c r="P454" s="515">
        <v>50150</v>
      </c>
      <c r="Q454" s="324"/>
      <c r="R454" s="324"/>
      <c r="S454" s="324"/>
      <c r="T454" s="325">
        <f t="shared" si="6"/>
        <v>50150</v>
      </c>
    </row>
    <row r="455" spans="1:20" ht="18.75" x14ac:dyDescent="0.3">
      <c r="A455" s="512" t="s">
        <v>387</v>
      </c>
      <c r="B455" s="527">
        <v>45359</v>
      </c>
      <c r="C455" s="531" t="s">
        <v>1219</v>
      </c>
      <c r="D455" s="342" t="s">
        <v>1220</v>
      </c>
      <c r="E455" s="343" t="s">
        <v>1221</v>
      </c>
      <c r="F455" s="532">
        <v>241900</v>
      </c>
      <c r="G455" s="324" t="s">
        <v>1114</v>
      </c>
      <c r="H455" s="324">
        <v>2024</v>
      </c>
      <c r="I455" s="324"/>
      <c r="J455" s="324"/>
      <c r="K455" s="324"/>
      <c r="L455" s="324"/>
      <c r="M455" s="324"/>
      <c r="N455" s="324"/>
      <c r="O455" s="324"/>
      <c r="P455" s="532">
        <v>241900</v>
      </c>
      <c r="Q455" s="324"/>
      <c r="R455" s="324"/>
      <c r="S455" s="324"/>
      <c r="T455" s="325">
        <f t="shared" si="6"/>
        <v>241900</v>
      </c>
    </row>
    <row r="456" spans="1:20" ht="18.75" x14ac:dyDescent="0.3">
      <c r="A456" s="319" t="s">
        <v>1156</v>
      </c>
      <c r="B456" s="513">
        <v>45360</v>
      </c>
      <c r="C456" s="514" t="s">
        <v>1200</v>
      </c>
      <c r="D456" s="321" t="s">
        <v>1222</v>
      </c>
      <c r="E456" s="322" t="s">
        <v>1202</v>
      </c>
      <c r="F456" s="515">
        <v>8340</v>
      </c>
      <c r="G456" s="324" t="s">
        <v>1114</v>
      </c>
      <c r="H456" s="324">
        <v>2024</v>
      </c>
      <c r="I456" s="324"/>
      <c r="J456" s="324"/>
      <c r="K456" s="324"/>
      <c r="L456" s="324"/>
      <c r="M456" s="324"/>
      <c r="N456" s="324"/>
      <c r="O456" s="324"/>
      <c r="P456" s="515">
        <v>8340</v>
      </c>
      <c r="Q456" s="324"/>
      <c r="R456" s="324"/>
      <c r="S456" s="324"/>
      <c r="T456" s="325">
        <f t="shared" si="6"/>
        <v>8340</v>
      </c>
    </row>
    <row r="457" spans="1:20" ht="18.75" x14ac:dyDescent="0.3">
      <c r="A457" s="512" t="s">
        <v>449</v>
      </c>
      <c r="B457" s="527">
        <v>45362</v>
      </c>
      <c r="C457" s="531" t="s">
        <v>1224</v>
      </c>
      <c r="D457" s="348" t="s">
        <v>1225</v>
      </c>
      <c r="E457" s="343" t="s">
        <v>1760</v>
      </c>
      <c r="F457" s="532">
        <v>1239000</v>
      </c>
      <c r="G457" s="324" t="s">
        <v>1114</v>
      </c>
      <c r="H457" s="324">
        <v>2024</v>
      </c>
      <c r="I457" s="324"/>
      <c r="J457" s="324"/>
      <c r="K457" s="324"/>
      <c r="L457" s="324"/>
      <c r="M457" s="324"/>
      <c r="N457" s="324"/>
      <c r="O457" s="324"/>
      <c r="P457" s="532">
        <v>1239000</v>
      </c>
      <c r="Q457" s="324"/>
      <c r="R457" s="324"/>
      <c r="S457" s="324"/>
      <c r="T457" s="325">
        <f t="shared" si="6"/>
        <v>1239000</v>
      </c>
    </row>
    <row r="458" spans="1:20" ht="18.75" x14ac:dyDescent="0.3">
      <c r="A458" s="319" t="s">
        <v>1156</v>
      </c>
      <c r="B458" s="513">
        <v>45363</v>
      </c>
      <c r="C458" s="514" t="s">
        <v>1157</v>
      </c>
      <c r="D458" s="321" t="s">
        <v>1229</v>
      </c>
      <c r="E458" s="322" t="s">
        <v>1202</v>
      </c>
      <c r="F458" s="515">
        <v>14000</v>
      </c>
      <c r="G458" s="324" t="s">
        <v>1114</v>
      </c>
      <c r="H458" s="324">
        <v>2024</v>
      </c>
      <c r="I458" s="324"/>
      <c r="J458" s="324"/>
      <c r="K458" s="324"/>
      <c r="L458" s="324"/>
      <c r="M458" s="324"/>
      <c r="N458" s="324"/>
      <c r="O458" s="324"/>
      <c r="P458" s="515">
        <v>14000</v>
      </c>
      <c r="Q458" s="324"/>
      <c r="R458" s="324"/>
      <c r="S458" s="324"/>
      <c r="T458" s="325">
        <f t="shared" si="6"/>
        <v>14000</v>
      </c>
    </row>
    <row r="459" spans="1:20" ht="18.75" x14ac:dyDescent="0.3">
      <c r="A459" s="513" t="s">
        <v>697</v>
      </c>
      <c r="B459" s="513">
        <v>45363</v>
      </c>
      <c r="C459" s="514" t="s">
        <v>1226</v>
      </c>
      <c r="D459" s="321" t="s">
        <v>1227</v>
      </c>
      <c r="E459" s="322" t="s">
        <v>1228</v>
      </c>
      <c r="F459" s="515">
        <v>230100</v>
      </c>
      <c r="G459" s="324" t="s">
        <v>1114</v>
      </c>
      <c r="H459" s="324">
        <v>2024</v>
      </c>
      <c r="I459" s="324"/>
      <c r="J459" s="324"/>
      <c r="K459" s="324"/>
      <c r="L459" s="324"/>
      <c r="M459" s="324"/>
      <c r="N459" s="324"/>
      <c r="O459" s="324"/>
      <c r="P459" s="515">
        <v>230100</v>
      </c>
      <c r="Q459" s="324"/>
      <c r="R459" s="324"/>
      <c r="S459" s="324"/>
      <c r="T459" s="325">
        <f t="shared" ref="T459:T522" si="7">SUM(I459:S459)</f>
        <v>230100</v>
      </c>
    </row>
    <row r="460" spans="1:20" ht="18.75" x14ac:dyDescent="0.3">
      <c r="A460" s="518" t="s">
        <v>346</v>
      </c>
      <c r="B460" s="513">
        <v>45363</v>
      </c>
      <c r="C460" s="514" t="s">
        <v>1761</v>
      </c>
      <c r="D460" s="321" t="s">
        <v>1762</v>
      </c>
      <c r="E460" s="322" t="s">
        <v>896</v>
      </c>
      <c r="F460" s="515">
        <v>42000</v>
      </c>
      <c r="G460" s="324" t="s">
        <v>1114</v>
      </c>
      <c r="H460" s="324">
        <v>2024</v>
      </c>
      <c r="I460" s="324"/>
      <c r="J460" s="324"/>
      <c r="K460" s="324"/>
      <c r="L460" s="324"/>
      <c r="M460" s="324"/>
      <c r="N460" s="324"/>
      <c r="O460" s="324"/>
      <c r="P460" s="515">
        <v>42000</v>
      </c>
      <c r="Q460" s="324"/>
      <c r="R460" s="324"/>
      <c r="S460" s="324"/>
      <c r="T460" s="325">
        <f t="shared" si="7"/>
        <v>42000</v>
      </c>
    </row>
    <row r="461" spans="1:20" ht="18.75" x14ac:dyDescent="0.3">
      <c r="A461" s="513" t="s">
        <v>347</v>
      </c>
      <c r="B461" s="513">
        <v>45364</v>
      </c>
      <c r="C461" s="514" t="s">
        <v>1763</v>
      </c>
      <c r="D461" s="320" t="s">
        <v>1764</v>
      </c>
      <c r="E461" s="322" t="s">
        <v>1073</v>
      </c>
      <c r="F461" s="515">
        <v>85998.399999999994</v>
      </c>
      <c r="G461" s="324" t="s">
        <v>1114</v>
      </c>
      <c r="H461" s="324">
        <v>2024</v>
      </c>
      <c r="I461" s="324"/>
      <c r="J461" s="324"/>
      <c r="K461" s="324"/>
      <c r="L461" s="324"/>
      <c r="M461" s="324"/>
      <c r="N461" s="324"/>
      <c r="O461" s="324"/>
      <c r="P461" s="515">
        <v>85998.399999999994</v>
      </c>
      <c r="Q461" s="324"/>
      <c r="R461" s="324"/>
      <c r="S461" s="324"/>
      <c r="T461" s="325">
        <f t="shared" si="7"/>
        <v>85998.399999999994</v>
      </c>
    </row>
    <row r="462" spans="1:20" ht="18.75" x14ac:dyDescent="0.3">
      <c r="A462" s="513" t="s">
        <v>447</v>
      </c>
      <c r="B462" s="512">
        <v>45364</v>
      </c>
      <c r="C462" s="524" t="s">
        <v>1230</v>
      </c>
      <c r="D462" s="330" t="s">
        <v>831</v>
      </c>
      <c r="E462" s="328" t="s">
        <v>1231</v>
      </c>
      <c r="F462" s="538">
        <v>186912</v>
      </c>
      <c r="G462" s="324" t="s">
        <v>1114</v>
      </c>
      <c r="H462" s="324">
        <v>2024</v>
      </c>
      <c r="I462" s="324"/>
      <c r="J462" s="324"/>
      <c r="K462" s="324"/>
      <c r="L462" s="324"/>
      <c r="M462" s="324"/>
      <c r="N462" s="324"/>
      <c r="O462" s="324"/>
      <c r="P462" s="538">
        <v>186912</v>
      </c>
      <c r="Q462" s="324"/>
      <c r="R462" s="324"/>
      <c r="S462" s="324"/>
      <c r="T462" s="325">
        <f t="shared" si="7"/>
        <v>186912</v>
      </c>
    </row>
    <row r="463" spans="1:20" ht="18.75" x14ac:dyDescent="0.3">
      <c r="A463" s="513" t="s">
        <v>253</v>
      </c>
      <c r="B463" s="513">
        <v>45365</v>
      </c>
      <c r="C463" s="514" t="s">
        <v>1198</v>
      </c>
      <c r="D463" s="321" t="s">
        <v>1236</v>
      </c>
      <c r="E463" s="322" t="s">
        <v>701</v>
      </c>
      <c r="F463" s="515">
        <v>1150</v>
      </c>
      <c r="G463" s="324" t="s">
        <v>1114</v>
      </c>
      <c r="H463" s="324">
        <v>2024</v>
      </c>
      <c r="I463" s="324"/>
      <c r="J463" s="324"/>
      <c r="K463" s="324"/>
      <c r="L463" s="324"/>
      <c r="M463" s="324"/>
      <c r="N463" s="324"/>
      <c r="O463" s="324"/>
      <c r="P463" s="515">
        <v>1150</v>
      </c>
      <c r="Q463" s="324"/>
      <c r="R463" s="324"/>
      <c r="S463" s="324"/>
      <c r="T463" s="325">
        <f t="shared" si="7"/>
        <v>1150</v>
      </c>
    </row>
    <row r="464" spans="1:20" ht="18.75" x14ac:dyDescent="0.3">
      <c r="A464" s="513" t="s">
        <v>300</v>
      </c>
      <c r="B464" s="513">
        <v>45365</v>
      </c>
      <c r="C464" s="514" t="s">
        <v>1233</v>
      </c>
      <c r="D464" s="321" t="s">
        <v>1234</v>
      </c>
      <c r="E464" s="322" t="s">
        <v>1235</v>
      </c>
      <c r="F464" s="515">
        <v>46610</v>
      </c>
      <c r="G464" s="324" t="s">
        <v>1114</v>
      </c>
      <c r="H464" s="324">
        <v>2024</v>
      </c>
      <c r="I464" s="324"/>
      <c r="J464" s="324"/>
      <c r="K464" s="324"/>
      <c r="L464" s="324"/>
      <c r="M464" s="324"/>
      <c r="N464" s="324"/>
      <c r="O464" s="324"/>
      <c r="P464" s="515">
        <v>46610</v>
      </c>
      <c r="Q464" s="324"/>
      <c r="R464" s="324"/>
      <c r="S464" s="324"/>
      <c r="T464" s="325">
        <f t="shared" si="7"/>
        <v>46610</v>
      </c>
    </row>
    <row r="465" spans="1:20" ht="18.75" x14ac:dyDescent="0.3">
      <c r="A465" s="319" t="s">
        <v>1156</v>
      </c>
      <c r="B465" s="513">
        <v>45367</v>
      </c>
      <c r="C465" s="514" t="s">
        <v>1200</v>
      </c>
      <c r="D465" s="321" t="s">
        <v>1237</v>
      </c>
      <c r="E465" s="322" t="s">
        <v>1202</v>
      </c>
      <c r="F465" s="515">
        <v>8700</v>
      </c>
      <c r="G465" s="324" t="s">
        <v>1114</v>
      </c>
      <c r="H465" s="324">
        <v>2024</v>
      </c>
      <c r="I465" s="324"/>
      <c r="J465" s="324"/>
      <c r="K465" s="324"/>
      <c r="L465" s="324"/>
      <c r="M465" s="324"/>
      <c r="N465" s="324"/>
      <c r="O465" s="324"/>
      <c r="P465" s="515">
        <v>8700</v>
      </c>
      <c r="Q465" s="324"/>
      <c r="R465" s="324"/>
      <c r="S465" s="324"/>
      <c r="T465" s="325">
        <f t="shared" si="7"/>
        <v>8700</v>
      </c>
    </row>
    <row r="466" spans="1:20" ht="18.75" x14ac:dyDescent="0.3">
      <c r="A466" s="512" t="s">
        <v>806</v>
      </c>
      <c r="B466" s="512">
        <v>45369</v>
      </c>
      <c r="C466" s="521" t="s">
        <v>1239</v>
      </c>
      <c r="D466" s="331" t="s">
        <v>1240</v>
      </c>
      <c r="E466" s="332" t="s">
        <v>755</v>
      </c>
      <c r="F466" s="522">
        <v>54000</v>
      </c>
      <c r="G466" s="324" t="s">
        <v>1114</v>
      </c>
      <c r="H466" s="324">
        <v>2024</v>
      </c>
      <c r="I466" s="324"/>
      <c r="J466" s="324"/>
      <c r="K466" s="324"/>
      <c r="L466" s="324"/>
      <c r="M466" s="324"/>
      <c r="N466" s="324"/>
      <c r="O466" s="324"/>
      <c r="P466" s="522">
        <v>54000</v>
      </c>
      <c r="Q466" s="324"/>
      <c r="R466" s="324"/>
      <c r="S466" s="324"/>
      <c r="T466" s="325">
        <f t="shared" si="7"/>
        <v>54000</v>
      </c>
    </row>
    <row r="467" spans="1:20" ht="18.75" x14ac:dyDescent="0.3">
      <c r="A467" s="513" t="s">
        <v>926</v>
      </c>
      <c r="B467" s="512">
        <v>45369</v>
      </c>
      <c r="C467" s="521" t="s">
        <v>1241</v>
      </c>
      <c r="D467" s="339" t="s">
        <v>1242</v>
      </c>
      <c r="E467" s="322" t="s">
        <v>769</v>
      </c>
      <c r="F467" s="522">
        <v>50964.86</v>
      </c>
      <c r="G467" s="324" t="s">
        <v>1114</v>
      </c>
      <c r="H467" s="324">
        <v>2024</v>
      </c>
      <c r="I467" s="324"/>
      <c r="J467" s="324"/>
      <c r="K467" s="324"/>
      <c r="L467" s="324"/>
      <c r="M467" s="324"/>
      <c r="N467" s="324"/>
      <c r="O467" s="324"/>
      <c r="P467" s="522">
        <v>50964.86</v>
      </c>
      <c r="Q467" s="324"/>
      <c r="R467" s="324"/>
      <c r="S467" s="324"/>
      <c r="T467" s="325">
        <f t="shared" si="7"/>
        <v>50964.86</v>
      </c>
    </row>
    <row r="468" spans="1:20" ht="18.75" x14ac:dyDescent="0.3">
      <c r="A468" s="512" t="s">
        <v>1045</v>
      </c>
      <c r="B468" s="513">
        <v>45370</v>
      </c>
      <c r="C468" s="541" t="s">
        <v>1246</v>
      </c>
      <c r="D468" s="321" t="s">
        <v>1247</v>
      </c>
      <c r="E468" s="541" t="s">
        <v>506</v>
      </c>
      <c r="F468" s="515">
        <v>188200</v>
      </c>
      <c r="G468" s="324" t="s">
        <v>1114</v>
      </c>
      <c r="H468" s="324">
        <v>2024</v>
      </c>
      <c r="I468" s="324"/>
      <c r="J468" s="324"/>
      <c r="K468" s="324"/>
      <c r="L468" s="324"/>
      <c r="M468" s="324"/>
      <c r="N468" s="324"/>
      <c r="O468" s="324"/>
      <c r="P468" s="515">
        <v>188200</v>
      </c>
      <c r="Q468" s="324"/>
      <c r="R468" s="324"/>
      <c r="S468" s="324"/>
      <c r="T468" s="325">
        <f t="shared" si="7"/>
        <v>188200</v>
      </c>
    </row>
    <row r="469" spans="1:20" ht="18.75" x14ac:dyDescent="0.3">
      <c r="A469" s="512" t="s">
        <v>449</v>
      </c>
      <c r="B469" s="527">
        <v>45370</v>
      </c>
      <c r="C469" s="531" t="s">
        <v>1243</v>
      </c>
      <c r="D469" s="348" t="s">
        <v>1244</v>
      </c>
      <c r="E469" s="343" t="s">
        <v>1245</v>
      </c>
      <c r="F469" s="532">
        <v>153400</v>
      </c>
      <c r="G469" s="324" t="s">
        <v>1114</v>
      </c>
      <c r="H469" s="324">
        <v>2024</v>
      </c>
      <c r="I469" s="324"/>
      <c r="J469" s="324"/>
      <c r="K469" s="324"/>
      <c r="L469" s="324"/>
      <c r="M469" s="324"/>
      <c r="N469" s="324"/>
      <c r="O469" s="324"/>
      <c r="P469" s="532">
        <v>153400</v>
      </c>
      <c r="Q469" s="324"/>
      <c r="R469" s="324"/>
      <c r="S469" s="324"/>
      <c r="T469" s="325">
        <f t="shared" si="7"/>
        <v>153400</v>
      </c>
    </row>
    <row r="470" spans="1:20" ht="18.75" x14ac:dyDescent="0.3">
      <c r="A470" s="513" t="s">
        <v>864</v>
      </c>
      <c r="B470" s="513">
        <v>45371</v>
      </c>
      <c r="C470" s="514" t="s">
        <v>1250</v>
      </c>
      <c r="D470" s="321" t="s">
        <v>1251</v>
      </c>
      <c r="E470" s="322" t="s">
        <v>1252</v>
      </c>
      <c r="F470" s="515">
        <v>94341</v>
      </c>
      <c r="G470" s="324" t="s">
        <v>1114</v>
      </c>
      <c r="H470" s="324">
        <v>2024</v>
      </c>
      <c r="I470" s="324"/>
      <c r="J470" s="324"/>
      <c r="K470" s="324"/>
      <c r="L470" s="324"/>
      <c r="M470" s="324"/>
      <c r="N470" s="324"/>
      <c r="O470" s="324"/>
      <c r="P470" s="515">
        <v>94341</v>
      </c>
      <c r="Q470" s="324"/>
      <c r="R470" s="324"/>
      <c r="S470" s="324"/>
      <c r="T470" s="325">
        <f t="shared" si="7"/>
        <v>94341</v>
      </c>
    </row>
    <row r="471" spans="1:20" ht="18.75" x14ac:dyDescent="0.3">
      <c r="A471" s="512" t="s">
        <v>929</v>
      </c>
      <c r="B471" s="513">
        <v>45371</v>
      </c>
      <c r="C471" s="514" t="s">
        <v>1248</v>
      </c>
      <c r="D471" s="321" t="s">
        <v>1249</v>
      </c>
      <c r="E471" s="322" t="s">
        <v>755</v>
      </c>
      <c r="F471" s="515">
        <v>28000</v>
      </c>
      <c r="G471" s="324" t="s">
        <v>1114</v>
      </c>
      <c r="H471" s="324">
        <v>2024</v>
      </c>
      <c r="I471" s="324"/>
      <c r="J471" s="324"/>
      <c r="K471" s="324"/>
      <c r="L471" s="324"/>
      <c r="M471" s="324"/>
      <c r="N471" s="324"/>
      <c r="O471" s="324"/>
      <c r="P471" s="515">
        <v>28000</v>
      </c>
      <c r="Q471" s="324"/>
      <c r="R471" s="324"/>
      <c r="S471" s="324"/>
      <c r="T471" s="325">
        <f t="shared" si="7"/>
        <v>28000</v>
      </c>
    </row>
    <row r="472" spans="1:20" ht="18.75" x14ac:dyDescent="0.3">
      <c r="A472" s="513" t="s">
        <v>253</v>
      </c>
      <c r="B472" s="513">
        <v>45372</v>
      </c>
      <c r="C472" s="514" t="s">
        <v>1198</v>
      </c>
      <c r="D472" s="321" t="s">
        <v>1253</v>
      </c>
      <c r="E472" s="322" t="s">
        <v>701</v>
      </c>
      <c r="F472" s="515">
        <v>1150</v>
      </c>
      <c r="G472" s="324" t="s">
        <v>1114</v>
      </c>
      <c r="H472" s="324">
        <v>2024</v>
      </c>
      <c r="I472" s="324"/>
      <c r="J472" s="324"/>
      <c r="K472" s="324"/>
      <c r="L472" s="324"/>
      <c r="M472" s="324"/>
      <c r="N472" s="324"/>
      <c r="O472" s="324"/>
      <c r="P472" s="515">
        <v>1150</v>
      </c>
      <c r="Q472" s="324"/>
      <c r="R472" s="324"/>
      <c r="S472" s="324"/>
      <c r="T472" s="325">
        <f t="shared" si="7"/>
        <v>1150</v>
      </c>
    </row>
    <row r="473" spans="1:20" ht="18.75" x14ac:dyDescent="0.3">
      <c r="A473" s="512" t="s">
        <v>866</v>
      </c>
      <c r="B473" s="513">
        <v>45373</v>
      </c>
      <c r="C473" s="514" t="s">
        <v>1186</v>
      </c>
      <c r="D473" s="321" t="s">
        <v>1255</v>
      </c>
      <c r="E473" s="322" t="s">
        <v>1256</v>
      </c>
      <c r="F473" s="515">
        <v>637199.68999999994</v>
      </c>
      <c r="G473" s="324" t="s">
        <v>1114</v>
      </c>
      <c r="H473" s="324">
        <v>2024</v>
      </c>
      <c r="I473" s="324"/>
      <c r="J473" s="324"/>
      <c r="K473" s="324"/>
      <c r="L473" s="324"/>
      <c r="M473" s="324"/>
      <c r="N473" s="324"/>
      <c r="O473" s="324"/>
      <c r="P473" s="515">
        <v>637199.68999999994</v>
      </c>
      <c r="Q473" s="324"/>
      <c r="R473" s="324"/>
      <c r="S473" s="324"/>
      <c r="T473" s="325">
        <f t="shared" si="7"/>
        <v>637199.68999999994</v>
      </c>
    </row>
    <row r="474" spans="1:20" ht="18.75" x14ac:dyDescent="0.3">
      <c r="A474" s="319" t="s">
        <v>1156</v>
      </c>
      <c r="B474" s="513">
        <v>45374</v>
      </c>
      <c r="C474" s="514" t="s">
        <v>1200</v>
      </c>
      <c r="D474" s="321" t="s">
        <v>1261</v>
      </c>
      <c r="E474" s="322" t="s">
        <v>1202</v>
      </c>
      <c r="F474" s="515">
        <v>9540</v>
      </c>
      <c r="G474" s="324" t="s">
        <v>1114</v>
      </c>
      <c r="H474" s="324">
        <v>2024</v>
      </c>
      <c r="I474" s="324"/>
      <c r="J474" s="324"/>
      <c r="K474" s="324"/>
      <c r="L474" s="324"/>
      <c r="M474" s="324"/>
      <c r="N474" s="324"/>
      <c r="O474" s="324"/>
      <c r="P474" s="515">
        <v>9540</v>
      </c>
      <c r="Q474" s="324"/>
      <c r="R474" s="324"/>
      <c r="S474" s="324"/>
      <c r="T474" s="325">
        <f t="shared" si="7"/>
        <v>9540</v>
      </c>
    </row>
    <row r="475" spans="1:20" ht="18.75" x14ac:dyDescent="0.3">
      <c r="A475" s="513" t="s">
        <v>1259</v>
      </c>
      <c r="B475" s="513">
        <v>45374</v>
      </c>
      <c r="C475" s="514"/>
      <c r="D475" s="321" t="s">
        <v>1260</v>
      </c>
      <c r="E475" s="322" t="s">
        <v>1765</v>
      </c>
      <c r="F475" s="515">
        <v>8000</v>
      </c>
      <c r="G475" s="324" t="s">
        <v>1114</v>
      </c>
      <c r="H475" s="324">
        <v>2024</v>
      </c>
      <c r="I475" s="324"/>
      <c r="J475" s="324"/>
      <c r="K475" s="324"/>
      <c r="L475" s="324"/>
      <c r="M475" s="324"/>
      <c r="N475" s="324"/>
      <c r="O475" s="324"/>
      <c r="P475" s="515">
        <v>8000</v>
      </c>
      <c r="Q475" s="324"/>
      <c r="R475" s="324"/>
      <c r="S475" s="324"/>
      <c r="T475" s="325">
        <f t="shared" si="7"/>
        <v>8000</v>
      </c>
    </row>
    <row r="476" spans="1:20" ht="18.75" x14ac:dyDescent="0.3">
      <c r="A476" s="513" t="s">
        <v>883</v>
      </c>
      <c r="B476" s="513">
        <v>45375</v>
      </c>
      <c r="C476" s="514" t="s">
        <v>1262</v>
      </c>
      <c r="D476" s="321" t="s">
        <v>1023</v>
      </c>
      <c r="E476" s="322" t="s">
        <v>1263</v>
      </c>
      <c r="F476" s="515">
        <v>86564.800000000003</v>
      </c>
      <c r="G476" s="324" t="s">
        <v>1114</v>
      </c>
      <c r="H476" s="324">
        <v>2024</v>
      </c>
      <c r="I476" s="324"/>
      <c r="J476" s="324"/>
      <c r="K476" s="324"/>
      <c r="L476" s="324"/>
      <c r="M476" s="324"/>
      <c r="N476" s="324"/>
      <c r="O476" s="324"/>
      <c r="P476" s="515">
        <v>86564.800000000003</v>
      </c>
      <c r="Q476" s="324"/>
      <c r="R476" s="324"/>
      <c r="S476" s="324"/>
      <c r="T476" s="325">
        <f t="shared" si="7"/>
        <v>86564.800000000003</v>
      </c>
    </row>
    <row r="477" spans="1:20" ht="18.75" x14ac:dyDescent="0.3">
      <c r="A477" s="512" t="s">
        <v>922</v>
      </c>
      <c r="B477" s="513">
        <v>45376</v>
      </c>
      <c r="C477" s="514" t="s">
        <v>1264</v>
      </c>
      <c r="D477" s="321" t="s">
        <v>907</v>
      </c>
      <c r="E477" s="328" t="s">
        <v>680</v>
      </c>
      <c r="F477" s="515">
        <v>123976.8</v>
      </c>
      <c r="G477" s="324" t="s">
        <v>1114</v>
      </c>
      <c r="H477" s="324">
        <v>2024</v>
      </c>
      <c r="I477" s="324"/>
      <c r="J477" s="324"/>
      <c r="K477" s="324"/>
      <c r="L477" s="324"/>
      <c r="M477" s="324"/>
      <c r="N477" s="324"/>
      <c r="O477" s="324"/>
      <c r="P477" s="515">
        <v>123976.8</v>
      </c>
      <c r="Q477" s="324"/>
      <c r="R477" s="324"/>
      <c r="S477" s="324"/>
      <c r="T477" s="325">
        <f t="shared" si="7"/>
        <v>123976.8</v>
      </c>
    </row>
    <row r="478" spans="1:20" ht="18.75" x14ac:dyDescent="0.3">
      <c r="A478" s="518" t="s">
        <v>1735</v>
      </c>
      <c r="B478" s="513">
        <v>45376</v>
      </c>
      <c r="C478" s="514" t="s">
        <v>1267</v>
      </c>
      <c r="D478" s="321" t="s">
        <v>1268</v>
      </c>
      <c r="E478" s="322" t="s">
        <v>680</v>
      </c>
      <c r="F478" s="515">
        <v>122874.58</v>
      </c>
      <c r="G478" s="324" t="s">
        <v>1114</v>
      </c>
      <c r="H478" s="324">
        <v>2024</v>
      </c>
      <c r="I478" s="324"/>
      <c r="J478" s="324"/>
      <c r="K478" s="324"/>
      <c r="L478" s="324"/>
      <c r="M478" s="324"/>
      <c r="N478" s="324"/>
      <c r="O478" s="324"/>
      <c r="P478" s="515">
        <v>122874.58</v>
      </c>
      <c r="Q478" s="324"/>
      <c r="R478" s="324"/>
      <c r="S478" s="324"/>
      <c r="T478" s="325">
        <f t="shared" si="7"/>
        <v>122874.58</v>
      </c>
    </row>
    <row r="479" spans="1:20" ht="18.75" x14ac:dyDescent="0.3">
      <c r="A479" s="513" t="s">
        <v>358</v>
      </c>
      <c r="B479" s="513">
        <v>45376</v>
      </c>
      <c r="C479" s="514" t="s">
        <v>1265</v>
      </c>
      <c r="D479" s="321" t="s">
        <v>1266</v>
      </c>
      <c r="E479" s="322" t="s">
        <v>506</v>
      </c>
      <c r="F479" s="515">
        <v>232200</v>
      </c>
      <c r="G479" s="324" t="s">
        <v>1114</v>
      </c>
      <c r="H479" s="324">
        <v>2024</v>
      </c>
      <c r="I479" s="324"/>
      <c r="J479" s="324"/>
      <c r="K479" s="324"/>
      <c r="L479" s="324"/>
      <c r="M479" s="324"/>
      <c r="N479" s="324"/>
      <c r="O479" s="324"/>
      <c r="P479" s="515">
        <v>232200</v>
      </c>
      <c r="Q479" s="324"/>
      <c r="R479" s="324"/>
      <c r="S479" s="324"/>
      <c r="T479" s="325">
        <f t="shared" si="7"/>
        <v>232200</v>
      </c>
    </row>
    <row r="480" spans="1:20" ht="18.75" x14ac:dyDescent="0.3">
      <c r="A480" s="512" t="s">
        <v>1164</v>
      </c>
      <c r="B480" s="513">
        <v>45377</v>
      </c>
      <c r="C480" s="514" t="s">
        <v>1165</v>
      </c>
      <c r="D480" s="321" t="s">
        <v>900</v>
      </c>
      <c r="E480" s="322" t="s">
        <v>1167</v>
      </c>
      <c r="F480" s="515">
        <v>264498.42</v>
      </c>
      <c r="G480" s="324" t="s">
        <v>1114</v>
      </c>
      <c r="H480" s="324">
        <v>2024</v>
      </c>
      <c r="I480" s="324"/>
      <c r="J480" s="324"/>
      <c r="K480" s="324"/>
      <c r="L480" s="324"/>
      <c r="M480" s="324"/>
      <c r="N480" s="324"/>
      <c r="O480" s="324"/>
      <c r="P480" s="515">
        <v>264498.42</v>
      </c>
      <c r="Q480" s="324"/>
      <c r="R480" s="324"/>
      <c r="S480" s="324"/>
      <c r="T480" s="325">
        <f t="shared" si="7"/>
        <v>264498.42</v>
      </c>
    </row>
    <row r="481" spans="1:20" ht="18.75" x14ac:dyDescent="0.3">
      <c r="A481" s="513" t="s">
        <v>347</v>
      </c>
      <c r="B481" s="513">
        <v>45377</v>
      </c>
      <c r="C481" s="514"/>
      <c r="D481" s="320" t="s">
        <v>1269</v>
      </c>
      <c r="E481" s="322" t="s">
        <v>1073</v>
      </c>
      <c r="F481" s="515">
        <v>741040</v>
      </c>
      <c r="G481" s="324" t="s">
        <v>1114</v>
      </c>
      <c r="H481" s="324">
        <v>2024</v>
      </c>
      <c r="I481" s="324"/>
      <c r="J481" s="324"/>
      <c r="K481" s="324"/>
      <c r="L481" s="324"/>
      <c r="M481" s="324"/>
      <c r="N481" s="324"/>
      <c r="O481" s="324"/>
      <c r="P481" s="515">
        <v>741040</v>
      </c>
      <c r="Q481" s="324"/>
      <c r="R481" s="324"/>
      <c r="S481" s="324"/>
      <c r="T481" s="325">
        <f t="shared" si="7"/>
        <v>741040</v>
      </c>
    </row>
    <row r="482" spans="1:20" ht="18.75" x14ac:dyDescent="0.3">
      <c r="A482" s="513" t="s">
        <v>253</v>
      </c>
      <c r="B482" s="513">
        <v>45378</v>
      </c>
      <c r="C482" s="514" t="s">
        <v>1198</v>
      </c>
      <c r="D482" s="321" t="s">
        <v>1272</v>
      </c>
      <c r="E482" s="322" t="s">
        <v>701</v>
      </c>
      <c r="F482" s="515">
        <v>1150</v>
      </c>
      <c r="G482" s="324" t="s">
        <v>1114</v>
      </c>
      <c r="H482" s="324">
        <v>2024</v>
      </c>
      <c r="I482" s="324"/>
      <c r="J482" s="324"/>
      <c r="K482" s="324"/>
      <c r="L482" s="324"/>
      <c r="M482" s="324"/>
      <c r="N482" s="324"/>
      <c r="O482" s="324"/>
      <c r="P482" s="515">
        <v>1150</v>
      </c>
      <c r="Q482" s="324"/>
      <c r="R482" s="324"/>
      <c r="S482" s="324"/>
      <c r="T482" s="325">
        <f t="shared" si="7"/>
        <v>1150</v>
      </c>
    </row>
    <row r="483" spans="1:20" ht="18.75" x14ac:dyDescent="0.3">
      <c r="A483" s="512" t="s">
        <v>904</v>
      </c>
      <c r="B483" s="513">
        <v>45379</v>
      </c>
      <c r="C483" s="514"/>
      <c r="D483" s="321" t="s">
        <v>1273</v>
      </c>
      <c r="E483" s="322" t="s">
        <v>905</v>
      </c>
      <c r="F483" s="515">
        <v>48000</v>
      </c>
      <c r="G483" s="324" t="s">
        <v>1114</v>
      </c>
      <c r="H483" s="324">
        <v>2024</v>
      </c>
      <c r="I483" s="324"/>
      <c r="J483" s="324"/>
      <c r="K483" s="324"/>
      <c r="L483" s="324"/>
      <c r="M483" s="324"/>
      <c r="N483" s="324"/>
      <c r="O483" s="324"/>
      <c r="P483" s="515">
        <v>48000</v>
      </c>
      <c r="Q483" s="324"/>
      <c r="R483" s="324"/>
      <c r="S483" s="324"/>
      <c r="T483" s="325">
        <f t="shared" si="7"/>
        <v>48000</v>
      </c>
    </row>
    <row r="484" spans="1:20" ht="18.75" x14ac:dyDescent="0.3">
      <c r="A484" s="513" t="s">
        <v>873</v>
      </c>
      <c r="B484" s="513">
        <v>45380</v>
      </c>
      <c r="C484" s="514">
        <v>1855</v>
      </c>
      <c r="D484" s="321" t="s">
        <v>1104</v>
      </c>
      <c r="E484" s="322" t="s">
        <v>875</v>
      </c>
      <c r="F484" s="515">
        <v>14800</v>
      </c>
      <c r="G484" s="324" t="s">
        <v>1114</v>
      </c>
      <c r="H484" s="324">
        <v>2024</v>
      </c>
      <c r="I484" s="324"/>
      <c r="J484" s="324"/>
      <c r="K484" s="324"/>
      <c r="L484" s="324"/>
      <c r="M484" s="324"/>
      <c r="N484" s="324"/>
      <c r="O484" s="324"/>
      <c r="P484" s="515">
        <v>14800</v>
      </c>
      <c r="Q484" s="324"/>
      <c r="R484" s="324"/>
      <c r="S484" s="324"/>
      <c r="T484" s="325">
        <f t="shared" si="7"/>
        <v>14800</v>
      </c>
    </row>
    <row r="485" spans="1:20" ht="18.75" x14ac:dyDescent="0.3">
      <c r="A485" s="512" t="s">
        <v>1153</v>
      </c>
      <c r="B485" s="513">
        <v>45382</v>
      </c>
      <c r="C485" s="514"/>
      <c r="D485" s="321" t="s">
        <v>1276</v>
      </c>
      <c r="E485" s="322" t="s">
        <v>1155</v>
      </c>
      <c r="F485" s="515">
        <v>14000</v>
      </c>
      <c r="G485" s="324" t="s">
        <v>1114</v>
      </c>
      <c r="H485" s="324">
        <v>2024</v>
      </c>
      <c r="I485" s="324"/>
      <c r="J485" s="324"/>
      <c r="K485" s="324"/>
      <c r="L485" s="324"/>
      <c r="M485" s="324"/>
      <c r="N485" s="324"/>
      <c r="O485" s="324"/>
      <c r="P485" s="515">
        <v>14000</v>
      </c>
      <c r="Q485" s="324"/>
      <c r="R485" s="324"/>
      <c r="S485" s="324"/>
      <c r="T485" s="325">
        <f t="shared" si="7"/>
        <v>14000</v>
      </c>
    </row>
    <row r="486" spans="1:20" ht="18.75" x14ac:dyDescent="0.3">
      <c r="A486" s="512" t="s">
        <v>396</v>
      </c>
      <c r="B486" s="513">
        <v>45382</v>
      </c>
      <c r="C486" s="514"/>
      <c r="D486" s="321" t="s">
        <v>1274</v>
      </c>
      <c r="E486" s="322" t="s">
        <v>1275</v>
      </c>
      <c r="F486" s="515">
        <v>87675</v>
      </c>
      <c r="G486" s="324" t="s">
        <v>1114</v>
      </c>
      <c r="H486" s="324">
        <v>2024</v>
      </c>
      <c r="I486" s="324"/>
      <c r="J486" s="324"/>
      <c r="K486" s="324"/>
      <c r="L486" s="324"/>
      <c r="M486" s="324"/>
      <c r="N486" s="324"/>
      <c r="O486" s="324"/>
      <c r="P486" s="515">
        <v>87675</v>
      </c>
      <c r="Q486" s="324"/>
      <c r="R486" s="324"/>
      <c r="S486" s="324"/>
      <c r="T486" s="325">
        <f t="shared" si="7"/>
        <v>87675</v>
      </c>
    </row>
    <row r="487" spans="1:20" ht="18.75" x14ac:dyDescent="0.3">
      <c r="A487" s="537" t="s">
        <v>242</v>
      </c>
      <c r="B487" s="527">
        <v>45383</v>
      </c>
      <c r="C487" s="542"/>
      <c r="D487" s="331" t="s">
        <v>1279</v>
      </c>
      <c r="E487" s="322" t="s">
        <v>724</v>
      </c>
      <c r="F487" s="323">
        <v>50335.01</v>
      </c>
      <c r="G487" s="324" t="s">
        <v>1114</v>
      </c>
      <c r="H487" s="324">
        <v>2024</v>
      </c>
      <c r="I487" s="324"/>
      <c r="J487" s="324"/>
      <c r="K487" s="324"/>
      <c r="L487" s="324"/>
      <c r="M487" s="324"/>
      <c r="N487" s="324"/>
      <c r="O487" s="324"/>
      <c r="P487" s="324"/>
      <c r="Q487" s="323">
        <v>50335.01</v>
      </c>
      <c r="R487" s="324"/>
      <c r="S487" s="324"/>
      <c r="T487" s="325">
        <f t="shared" si="7"/>
        <v>50335.01</v>
      </c>
    </row>
    <row r="488" spans="1:20" ht="18.75" x14ac:dyDescent="0.3">
      <c r="A488" s="537" t="s">
        <v>242</v>
      </c>
      <c r="B488" s="527">
        <v>45383</v>
      </c>
      <c r="C488" s="542"/>
      <c r="D488" s="331" t="s">
        <v>1280</v>
      </c>
      <c r="E488" s="322" t="s">
        <v>724</v>
      </c>
      <c r="F488" s="323">
        <v>48515.19</v>
      </c>
      <c r="G488" s="324" t="s">
        <v>1114</v>
      </c>
      <c r="H488" s="324">
        <v>2024</v>
      </c>
      <c r="I488" s="324"/>
      <c r="J488" s="324"/>
      <c r="K488" s="324"/>
      <c r="L488" s="324"/>
      <c r="M488" s="324"/>
      <c r="N488" s="324"/>
      <c r="O488" s="324"/>
      <c r="P488" s="324"/>
      <c r="Q488" s="323">
        <v>48515.19</v>
      </c>
      <c r="R488" s="324"/>
      <c r="S488" s="324"/>
      <c r="T488" s="325">
        <f t="shared" si="7"/>
        <v>48515.19</v>
      </c>
    </row>
    <row r="489" spans="1:20" ht="18.75" x14ac:dyDescent="0.3">
      <c r="A489" s="512" t="s">
        <v>435</v>
      </c>
      <c r="B489" s="513">
        <v>45383</v>
      </c>
      <c r="C489" s="514"/>
      <c r="D489" s="321" t="s">
        <v>645</v>
      </c>
      <c r="E489" s="322" t="s">
        <v>1277</v>
      </c>
      <c r="F489" s="515">
        <v>1112957.82</v>
      </c>
      <c r="G489" s="324" t="s">
        <v>1114</v>
      </c>
      <c r="H489" s="324">
        <v>2024</v>
      </c>
      <c r="I489" s="324"/>
      <c r="J489" s="324"/>
      <c r="K489" s="324"/>
      <c r="L489" s="324"/>
      <c r="M489" s="324"/>
      <c r="N489" s="324"/>
      <c r="O489" s="324"/>
      <c r="P489" s="324"/>
      <c r="Q489" s="515">
        <v>1112957.82</v>
      </c>
      <c r="R489" s="324"/>
      <c r="S489" s="324"/>
      <c r="T489" s="325">
        <f t="shared" si="7"/>
        <v>1112957.82</v>
      </c>
    </row>
    <row r="490" spans="1:20" ht="18.75" x14ac:dyDescent="0.3">
      <c r="A490" s="512" t="s">
        <v>1766</v>
      </c>
      <c r="B490" s="513">
        <v>45383</v>
      </c>
      <c r="C490" s="514" t="s">
        <v>1767</v>
      </c>
      <c r="D490" s="321" t="s">
        <v>876</v>
      </c>
      <c r="E490" s="322" t="s">
        <v>1768</v>
      </c>
      <c r="F490" s="515">
        <v>65000</v>
      </c>
      <c r="G490" s="324" t="s">
        <v>1114</v>
      </c>
      <c r="H490" s="324">
        <v>2024</v>
      </c>
      <c r="I490" s="324"/>
      <c r="J490" s="324"/>
      <c r="K490" s="324"/>
      <c r="L490" s="324"/>
      <c r="M490" s="324"/>
      <c r="N490" s="324"/>
      <c r="O490" s="324"/>
      <c r="P490" s="324"/>
      <c r="Q490" s="515">
        <v>65000</v>
      </c>
      <c r="R490" s="324"/>
      <c r="S490" s="324"/>
      <c r="T490" s="325">
        <f t="shared" si="7"/>
        <v>65000</v>
      </c>
    </row>
    <row r="491" spans="1:20" ht="18.75" x14ac:dyDescent="0.3">
      <c r="A491" s="537" t="s">
        <v>242</v>
      </c>
      <c r="B491" s="527">
        <v>45384</v>
      </c>
      <c r="C491" s="542"/>
      <c r="D491" s="331" t="s">
        <v>1284</v>
      </c>
      <c r="E491" s="322" t="s">
        <v>724</v>
      </c>
      <c r="F491" s="323">
        <v>51834.9</v>
      </c>
      <c r="G491" s="324" t="s">
        <v>1114</v>
      </c>
      <c r="H491" s="324">
        <v>2024</v>
      </c>
      <c r="I491" s="324"/>
      <c r="J491" s="324"/>
      <c r="K491" s="324"/>
      <c r="L491" s="324"/>
      <c r="M491" s="324"/>
      <c r="N491" s="324"/>
      <c r="O491" s="324"/>
      <c r="P491" s="324"/>
      <c r="Q491" s="323">
        <v>51834.9</v>
      </c>
      <c r="R491" s="324"/>
      <c r="S491" s="324"/>
      <c r="T491" s="325">
        <f t="shared" si="7"/>
        <v>51834.9</v>
      </c>
    </row>
    <row r="492" spans="1:20" ht="18.75" x14ac:dyDescent="0.3">
      <c r="A492" s="537" t="s">
        <v>242</v>
      </c>
      <c r="B492" s="527">
        <v>45384</v>
      </c>
      <c r="C492" s="542"/>
      <c r="D492" s="331" t="s">
        <v>1285</v>
      </c>
      <c r="E492" s="322" t="s">
        <v>724</v>
      </c>
      <c r="F492" s="323">
        <v>51834.9</v>
      </c>
      <c r="G492" s="324" t="s">
        <v>1114</v>
      </c>
      <c r="H492" s="324">
        <v>2024</v>
      </c>
      <c r="I492" s="324"/>
      <c r="J492" s="324"/>
      <c r="K492" s="324"/>
      <c r="L492" s="324"/>
      <c r="M492" s="324"/>
      <c r="N492" s="324"/>
      <c r="O492" s="324"/>
      <c r="P492" s="324"/>
      <c r="Q492" s="323">
        <v>51834.9</v>
      </c>
      <c r="R492" s="324"/>
      <c r="S492" s="324"/>
      <c r="T492" s="325">
        <f t="shared" si="7"/>
        <v>51834.9</v>
      </c>
    </row>
    <row r="493" spans="1:20" ht="18.75" x14ac:dyDescent="0.3">
      <c r="A493" s="537" t="s">
        <v>242</v>
      </c>
      <c r="B493" s="513">
        <v>45384</v>
      </c>
      <c r="C493" s="322"/>
      <c r="D493" s="331" t="s">
        <v>1286</v>
      </c>
      <c r="E493" s="322" t="s">
        <v>724</v>
      </c>
      <c r="F493" s="323">
        <v>48515.19</v>
      </c>
      <c r="G493" s="324" t="s">
        <v>1114</v>
      </c>
      <c r="H493" s="324">
        <v>2024</v>
      </c>
      <c r="I493" s="324"/>
      <c r="J493" s="324"/>
      <c r="K493" s="324"/>
      <c r="L493" s="324"/>
      <c r="M493" s="324"/>
      <c r="N493" s="324"/>
      <c r="O493" s="324"/>
      <c r="P493" s="324"/>
      <c r="Q493" s="323">
        <v>48515.19</v>
      </c>
      <c r="R493" s="324"/>
      <c r="S493" s="324"/>
      <c r="T493" s="325">
        <f t="shared" si="7"/>
        <v>48515.19</v>
      </c>
    </row>
    <row r="494" spans="1:20" ht="18.75" x14ac:dyDescent="0.3">
      <c r="A494" s="537" t="s">
        <v>242</v>
      </c>
      <c r="B494" s="513">
        <v>45384</v>
      </c>
      <c r="C494" s="322"/>
      <c r="D494" s="331" t="s">
        <v>1287</v>
      </c>
      <c r="E494" s="322" t="s">
        <v>724</v>
      </c>
      <c r="F494" s="323">
        <v>50391.19</v>
      </c>
      <c r="G494" s="324" t="s">
        <v>1114</v>
      </c>
      <c r="H494" s="324">
        <v>2024</v>
      </c>
      <c r="I494" s="324"/>
      <c r="J494" s="324"/>
      <c r="K494" s="324"/>
      <c r="L494" s="324"/>
      <c r="M494" s="324"/>
      <c r="N494" s="324"/>
      <c r="O494" s="324"/>
      <c r="P494" s="324"/>
      <c r="Q494" s="323">
        <v>50391.19</v>
      </c>
      <c r="R494" s="324"/>
      <c r="S494" s="324"/>
      <c r="T494" s="325">
        <f t="shared" si="7"/>
        <v>50391.19</v>
      </c>
    </row>
    <row r="495" spans="1:20" ht="18.75" x14ac:dyDescent="0.3">
      <c r="A495" s="518" t="s">
        <v>1735</v>
      </c>
      <c r="B495" s="513">
        <v>45384</v>
      </c>
      <c r="C495" s="514" t="s">
        <v>1281</v>
      </c>
      <c r="D495" s="321" t="s">
        <v>1282</v>
      </c>
      <c r="E495" s="322" t="s">
        <v>1283</v>
      </c>
      <c r="F495" s="515">
        <v>609673.18000000005</v>
      </c>
      <c r="G495" s="324" t="s">
        <v>1114</v>
      </c>
      <c r="H495" s="324">
        <v>2024</v>
      </c>
      <c r="I495" s="324"/>
      <c r="J495" s="324"/>
      <c r="K495" s="324"/>
      <c r="L495" s="324"/>
      <c r="M495" s="324"/>
      <c r="N495" s="324"/>
      <c r="O495" s="324"/>
      <c r="P495" s="324"/>
      <c r="Q495" s="515">
        <v>609673.18000000005</v>
      </c>
      <c r="R495" s="324"/>
      <c r="S495" s="324"/>
      <c r="T495" s="325">
        <f t="shared" si="7"/>
        <v>609673.18000000005</v>
      </c>
    </row>
    <row r="496" spans="1:20" ht="18.75" x14ac:dyDescent="0.3">
      <c r="A496" s="537" t="s">
        <v>242</v>
      </c>
      <c r="B496" s="513">
        <v>45385</v>
      </c>
      <c r="C496" s="322"/>
      <c r="D496" s="331" t="s">
        <v>1293</v>
      </c>
      <c r="E496" s="322" t="s">
        <v>724</v>
      </c>
      <c r="F496" s="323">
        <v>49425.1</v>
      </c>
      <c r="G496" s="324" t="s">
        <v>1114</v>
      </c>
      <c r="H496" s="324">
        <v>2024</v>
      </c>
      <c r="I496" s="324"/>
      <c r="J496" s="324"/>
      <c r="K496" s="324"/>
      <c r="L496" s="324"/>
      <c r="M496" s="324"/>
      <c r="N496" s="324"/>
      <c r="O496" s="324"/>
      <c r="P496" s="324"/>
      <c r="Q496" s="323">
        <v>49425.1</v>
      </c>
      <c r="R496" s="324"/>
      <c r="S496" s="324"/>
      <c r="T496" s="325">
        <f t="shared" si="7"/>
        <v>49425.1</v>
      </c>
    </row>
    <row r="497" spans="1:20" ht="18.75" x14ac:dyDescent="0.3">
      <c r="A497" s="512" t="s">
        <v>685</v>
      </c>
      <c r="B497" s="512">
        <v>45385</v>
      </c>
      <c r="C497" s="536"/>
      <c r="D497" s="326" t="s">
        <v>941</v>
      </c>
      <c r="E497" s="347" t="s">
        <v>686</v>
      </c>
      <c r="F497" s="522">
        <v>3450</v>
      </c>
      <c r="G497" s="324" t="s">
        <v>1114</v>
      </c>
      <c r="H497" s="324">
        <v>2024</v>
      </c>
      <c r="I497" s="324"/>
      <c r="J497" s="324"/>
      <c r="K497" s="324"/>
      <c r="L497" s="324"/>
      <c r="M497" s="324"/>
      <c r="N497" s="324"/>
      <c r="O497" s="324"/>
      <c r="P497" s="324"/>
      <c r="Q497" s="522">
        <v>3450</v>
      </c>
      <c r="R497" s="324"/>
      <c r="S497" s="324"/>
      <c r="T497" s="325">
        <f t="shared" si="7"/>
        <v>3450</v>
      </c>
    </row>
    <row r="498" spans="1:20" ht="18.75" x14ac:dyDescent="0.3">
      <c r="A498" s="512" t="s">
        <v>1288</v>
      </c>
      <c r="B498" s="528">
        <v>45385</v>
      </c>
      <c r="C498" s="529"/>
      <c r="D498" s="339" t="s">
        <v>1289</v>
      </c>
      <c r="E498" s="340" t="s">
        <v>1290</v>
      </c>
      <c r="F498" s="530">
        <v>397424</v>
      </c>
      <c r="G498" s="324" t="s">
        <v>1114</v>
      </c>
      <c r="H498" s="324">
        <v>2024</v>
      </c>
      <c r="I498" s="324"/>
      <c r="J498" s="324"/>
      <c r="K498" s="324"/>
      <c r="L498" s="324"/>
      <c r="M498" s="324"/>
      <c r="N498" s="324"/>
      <c r="O498" s="324"/>
      <c r="P498" s="324"/>
      <c r="Q498" s="530">
        <v>397424</v>
      </c>
      <c r="R498" s="324"/>
      <c r="S498" s="324"/>
      <c r="T498" s="325">
        <f t="shared" si="7"/>
        <v>397424</v>
      </c>
    </row>
    <row r="499" spans="1:20" ht="18.75" x14ac:dyDescent="0.3">
      <c r="A499" s="513" t="s">
        <v>253</v>
      </c>
      <c r="B499" s="513">
        <v>45386</v>
      </c>
      <c r="C499" s="514" t="s">
        <v>1198</v>
      </c>
      <c r="D499" s="321" t="s">
        <v>1300</v>
      </c>
      <c r="E499" s="322" t="s">
        <v>701</v>
      </c>
      <c r="F499" s="515">
        <v>1725</v>
      </c>
      <c r="G499" s="324" t="s">
        <v>1114</v>
      </c>
      <c r="H499" s="324">
        <v>2024</v>
      </c>
      <c r="I499" s="324"/>
      <c r="J499" s="324"/>
      <c r="K499" s="324"/>
      <c r="L499" s="324"/>
      <c r="M499" s="324"/>
      <c r="N499" s="324"/>
      <c r="O499" s="324"/>
      <c r="P499" s="324"/>
      <c r="Q499" s="515">
        <v>1725</v>
      </c>
      <c r="R499" s="324"/>
      <c r="S499" s="324"/>
      <c r="T499" s="325">
        <f t="shared" si="7"/>
        <v>1725</v>
      </c>
    </row>
    <row r="500" spans="1:20" ht="20.25" x14ac:dyDescent="0.3">
      <c r="A500" s="543" t="s">
        <v>1295</v>
      </c>
      <c r="B500" s="513">
        <v>45386</v>
      </c>
      <c r="C500" s="514" t="s">
        <v>1296</v>
      </c>
      <c r="D500" s="321" t="s">
        <v>756</v>
      </c>
      <c r="E500" s="322" t="s">
        <v>1297</v>
      </c>
      <c r="F500" s="515">
        <v>352466</v>
      </c>
      <c r="G500" s="324" t="s">
        <v>1114</v>
      </c>
      <c r="H500" s="324">
        <v>2024</v>
      </c>
      <c r="I500" s="324"/>
      <c r="J500" s="324"/>
      <c r="K500" s="324"/>
      <c r="L500" s="324"/>
      <c r="M500" s="324"/>
      <c r="N500" s="324"/>
      <c r="O500" s="324"/>
      <c r="P500" s="324"/>
      <c r="Q500" s="515">
        <v>352466</v>
      </c>
      <c r="R500" s="324"/>
      <c r="S500" s="324"/>
      <c r="T500" s="325">
        <f t="shared" si="7"/>
        <v>352466</v>
      </c>
    </row>
    <row r="501" spans="1:20" ht="18.75" x14ac:dyDescent="0.3">
      <c r="A501" s="319" t="s">
        <v>1156</v>
      </c>
      <c r="B501" s="513">
        <v>45387</v>
      </c>
      <c r="C501" s="514" t="s">
        <v>1200</v>
      </c>
      <c r="D501" s="321" t="s">
        <v>1769</v>
      </c>
      <c r="E501" s="322" t="s">
        <v>1202</v>
      </c>
      <c r="F501" s="515">
        <v>6240</v>
      </c>
      <c r="G501" s="324" t="s">
        <v>1114</v>
      </c>
      <c r="H501" s="324">
        <v>2024</v>
      </c>
      <c r="I501" s="324"/>
      <c r="J501" s="324"/>
      <c r="K501" s="324"/>
      <c r="L501" s="324"/>
      <c r="M501" s="324"/>
      <c r="N501" s="324"/>
      <c r="O501" s="324"/>
      <c r="P501" s="324"/>
      <c r="Q501" s="515">
        <v>6240</v>
      </c>
      <c r="R501" s="324"/>
      <c r="S501" s="324"/>
      <c r="T501" s="325">
        <f t="shared" si="7"/>
        <v>6240</v>
      </c>
    </row>
    <row r="502" spans="1:20" ht="18.75" x14ac:dyDescent="0.3">
      <c r="A502" s="537" t="s">
        <v>242</v>
      </c>
      <c r="B502" s="513">
        <v>45387</v>
      </c>
      <c r="C502" s="322"/>
      <c r="D502" s="331" t="s">
        <v>1304</v>
      </c>
      <c r="E502" s="322" t="s">
        <v>724</v>
      </c>
      <c r="F502" s="323">
        <v>49481.279999999999</v>
      </c>
      <c r="G502" s="324" t="s">
        <v>1114</v>
      </c>
      <c r="H502" s="324">
        <v>2024</v>
      </c>
      <c r="I502" s="324"/>
      <c r="J502" s="324"/>
      <c r="K502" s="324"/>
      <c r="L502" s="324"/>
      <c r="M502" s="324"/>
      <c r="N502" s="324"/>
      <c r="O502" s="324"/>
      <c r="P502" s="324"/>
      <c r="Q502" s="323">
        <v>49481.279999999999</v>
      </c>
      <c r="R502" s="324"/>
      <c r="S502" s="324"/>
      <c r="T502" s="325">
        <f t="shared" si="7"/>
        <v>49481.279999999999</v>
      </c>
    </row>
    <row r="503" spans="1:20" ht="18.75" x14ac:dyDescent="0.3">
      <c r="A503" s="537" t="s">
        <v>242</v>
      </c>
      <c r="B503" s="513">
        <v>45390</v>
      </c>
      <c r="C503" s="322"/>
      <c r="D503" s="331" t="s">
        <v>1309</v>
      </c>
      <c r="E503" s="322" t="s">
        <v>724</v>
      </c>
      <c r="F503" s="323">
        <v>26866.65</v>
      </c>
      <c r="G503" s="324" t="s">
        <v>1114</v>
      </c>
      <c r="H503" s="324">
        <v>2024</v>
      </c>
      <c r="I503" s="324"/>
      <c r="J503" s="324"/>
      <c r="K503" s="324"/>
      <c r="L503" s="324"/>
      <c r="M503" s="324"/>
      <c r="N503" s="324"/>
      <c r="O503" s="324"/>
      <c r="P503" s="324"/>
      <c r="Q503" s="323">
        <v>26866.65</v>
      </c>
      <c r="R503" s="324"/>
      <c r="S503" s="324"/>
      <c r="T503" s="325">
        <f t="shared" si="7"/>
        <v>26866.65</v>
      </c>
    </row>
    <row r="504" spans="1:20" ht="18.75" x14ac:dyDescent="0.3">
      <c r="A504" s="537" t="s">
        <v>242</v>
      </c>
      <c r="B504" s="513">
        <v>45390</v>
      </c>
      <c r="C504" s="322"/>
      <c r="D504" s="331" t="s">
        <v>1310</v>
      </c>
      <c r="E504" s="322" t="s">
        <v>724</v>
      </c>
      <c r="F504" s="323">
        <v>24712.55</v>
      </c>
      <c r="G504" s="324" t="s">
        <v>1114</v>
      </c>
      <c r="H504" s="324">
        <v>2024</v>
      </c>
      <c r="I504" s="324"/>
      <c r="J504" s="324"/>
      <c r="K504" s="324"/>
      <c r="L504" s="324"/>
      <c r="M504" s="324"/>
      <c r="N504" s="324"/>
      <c r="O504" s="324"/>
      <c r="P504" s="324"/>
      <c r="Q504" s="323">
        <v>24712.55</v>
      </c>
      <c r="R504" s="324"/>
      <c r="S504" s="324"/>
      <c r="T504" s="325">
        <f t="shared" si="7"/>
        <v>24712.55</v>
      </c>
    </row>
    <row r="505" spans="1:20" ht="18.75" x14ac:dyDescent="0.3">
      <c r="A505" s="537" t="s">
        <v>242</v>
      </c>
      <c r="B505" s="513">
        <v>45390</v>
      </c>
      <c r="C505" s="322"/>
      <c r="D505" s="331" t="s">
        <v>1311</v>
      </c>
      <c r="E505" s="322" t="s">
        <v>724</v>
      </c>
      <c r="F505" s="323">
        <v>54401.4</v>
      </c>
      <c r="G505" s="324" t="s">
        <v>1114</v>
      </c>
      <c r="H505" s="324">
        <v>2024</v>
      </c>
      <c r="I505" s="324"/>
      <c r="J505" s="324"/>
      <c r="K505" s="324"/>
      <c r="L505" s="324"/>
      <c r="M505" s="324"/>
      <c r="N505" s="324"/>
      <c r="O505" s="324"/>
      <c r="P505" s="324"/>
      <c r="Q505" s="323">
        <v>54401.4</v>
      </c>
      <c r="R505" s="324"/>
      <c r="S505" s="324"/>
      <c r="T505" s="325">
        <f t="shared" si="7"/>
        <v>54401.4</v>
      </c>
    </row>
    <row r="506" spans="1:20" ht="18.75" x14ac:dyDescent="0.3">
      <c r="A506" s="512" t="s">
        <v>766</v>
      </c>
      <c r="B506" s="513">
        <v>45390</v>
      </c>
      <c r="C506" s="514" t="s">
        <v>1175</v>
      </c>
      <c r="D506" s="321" t="s">
        <v>1308</v>
      </c>
      <c r="E506" s="322" t="s">
        <v>769</v>
      </c>
      <c r="F506" s="515">
        <v>501606.7</v>
      </c>
      <c r="G506" s="324" t="s">
        <v>1114</v>
      </c>
      <c r="H506" s="324">
        <v>2024</v>
      </c>
      <c r="I506" s="324"/>
      <c r="J506" s="324"/>
      <c r="K506" s="324"/>
      <c r="L506" s="324"/>
      <c r="M506" s="324"/>
      <c r="N506" s="324"/>
      <c r="O506" s="324"/>
      <c r="P506" s="324"/>
      <c r="Q506" s="515">
        <v>501606.7</v>
      </c>
      <c r="R506" s="324"/>
      <c r="S506" s="324"/>
      <c r="T506" s="325">
        <f t="shared" si="7"/>
        <v>501606.7</v>
      </c>
    </row>
    <row r="507" spans="1:20" ht="18.75" x14ac:dyDescent="0.3">
      <c r="A507" s="513" t="s">
        <v>324</v>
      </c>
      <c r="B507" s="513">
        <v>45390</v>
      </c>
      <c r="C507" s="514"/>
      <c r="D507" s="321" t="s">
        <v>1174</v>
      </c>
      <c r="E507" s="322" t="s">
        <v>801</v>
      </c>
      <c r="F507" s="515">
        <v>2530</v>
      </c>
      <c r="G507" s="324" t="s">
        <v>1114</v>
      </c>
      <c r="H507" s="324">
        <v>2024</v>
      </c>
      <c r="I507" s="324"/>
      <c r="J507" s="324"/>
      <c r="K507" s="324"/>
      <c r="L507" s="324"/>
      <c r="M507" s="324"/>
      <c r="N507" s="324"/>
      <c r="O507" s="324"/>
      <c r="P507" s="324"/>
      <c r="Q507" s="515">
        <v>2530</v>
      </c>
      <c r="R507" s="324"/>
      <c r="S507" s="324"/>
      <c r="T507" s="325">
        <f t="shared" si="7"/>
        <v>2530</v>
      </c>
    </row>
    <row r="508" spans="1:20" ht="18.75" x14ac:dyDescent="0.3">
      <c r="A508" s="537" t="s">
        <v>242</v>
      </c>
      <c r="B508" s="513">
        <v>45391</v>
      </c>
      <c r="C508" s="322"/>
      <c r="D508" s="331" t="s">
        <v>1314</v>
      </c>
      <c r="E508" s="322" t="s">
        <v>724</v>
      </c>
      <c r="F508" s="323">
        <v>25622.46</v>
      </c>
      <c r="G508" s="324" t="s">
        <v>1114</v>
      </c>
      <c r="H508" s="324">
        <v>2024</v>
      </c>
      <c r="I508" s="324"/>
      <c r="J508" s="324"/>
      <c r="K508" s="324"/>
      <c r="L508" s="324"/>
      <c r="M508" s="324"/>
      <c r="N508" s="324"/>
      <c r="O508" s="324"/>
      <c r="P508" s="324"/>
      <c r="Q508" s="323">
        <v>25622.46</v>
      </c>
      <c r="R508" s="324"/>
      <c r="S508" s="324"/>
      <c r="T508" s="325">
        <f t="shared" si="7"/>
        <v>25622.46</v>
      </c>
    </row>
    <row r="509" spans="1:20" ht="18.75" x14ac:dyDescent="0.3">
      <c r="A509" s="513" t="s">
        <v>1312</v>
      </c>
      <c r="B509" s="513">
        <v>45391</v>
      </c>
      <c r="C509" s="514"/>
      <c r="D509" s="321" t="s">
        <v>1225</v>
      </c>
      <c r="E509" s="322" t="s">
        <v>1313</v>
      </c>
      <c r="F509" s="515">
        <v>73160</v>
      </c>
      <c r="G509" s="324" t="s">
        <v>1114</v>
      </c>
      <c r="H509" s="324">
        <v>2024</v>
      </c>
      <c r="I509" s="324"/>
      <c r="J509" s="324"/>
      <c r="K509" s="324"/>
      <c r="L509" s="324"/>
      <c r="M509" s="324"/>
      <c r="N509" s="324"/>
      <c r="O509" s="324"/>
      <c r="P509" s="324"/>
      <c r="Q509" s="515">
        <v>73160</v>
      </c>
      <c r="R509" s="324"/>
      <c r="S509" s="324"/>
      <c r="T509" s="325">
        <f t="shared" si="7"/>
        <v>73160</v>
      </c>
    </row>
    <row r="510" spans="1:20" ht="18.75" x14ac:dyDescent="0.3">
      <c r="A510" s="512" t="s">
        <v>1770</v>
      </c>
      <c r="B510" s="513">
        <v>45391</v>
      </c>
      <c r="C510" s="514" t="s">
        <v>1771</v>
      </c>
      <c r="D510" s="321" t="s">
        <v>846</v>
      </c>
      <c r="E510" s="322" t="s">
        <v>765</v>
      </c>
      <c r="F510" s="515">
        <v>1214578.43</v>
      </c>
      <c r="G510" s="324" t="s">
        <v>1114</v>
      </c>
      <c r="H510" s="324">
        <v>2024</v>
      </c>
      <c r="I510" s="324"/>
      <c r="J510" s="324"/>
      <c r="K510" s="324"/>
      <c r="L510" s="324"/>
      <c r="M510" s="324"/>
      <c r="N510" s="324"/>
      <c r="O510" s="324"/>
      <c r="P510" s="324"/>
      <c r="Q510" s="515">
        <v>1214578.43</v>
      </c>
      <c r="R510" s="324"/>
      <c r="S510" s="324"/>
      <c r="T510" s="325">
        <f t="shared" si="7"/>
        <v>1214578.43</v>
      </c>
    </row>
    <row r="511" spans="1:20" ht="18.75" x14ac:dyDescent="0.3">
      <c r="A511" s="537" t="s">
        <v>242</v>
      </c>
      <c r="B511" s="513">
        <v>45392</v>
      </c>
      <c r="C511" s="322"/>
      <c r="D511" s="331" t="s">
        <v>1315</v>
      </c>
      <c r="E511" s="322" t="s">
        <v>724</v>
      </c>
      <c r="F511" s="323">
        <v>50335.01</v>
      </c>
      <c r="G511" s="324" t="s">
        <v>1114</v>
      </c>
      <c r="H511" s="324">
        <v>2024</v>
      </c>
      <c r="I511" s="324"/>
      <c r="J511" s="324"/>
      <c r="K511" s="324"/>
      <c r="L511" s="324"/>
      <c r="M511" s="324"/>
      <c r="N511" s="324"/>
      <c r="O511" s="324"/>
      <c r="P511" s="324"/>
      <c r="Q511" s="323">
        <v>50335.01</v>
      </c>
      <c r="R511" s="324"/>
      <c r="S511" s="324"/>
      <c r="T511" s="325">
        <f t="shared" si="7"/>
        <v>50335.01</v>
      </c>
    </row>
    <row r="512" spans="1:20" ht="18.75" x14ac:dyDescent="0.3">
      <c r="A512" s="537" t="s">
        <v>242</v>
      </c>
      <c r="B512" s="513">
        <v>45393</v>
      </c>
      <c r="C512" s="322"/>
      <c r="D512" s="331" t="s">
        <v>1328</v>
      </c>
      <c r="E512" s="322" t="s">
        <v>724</v>
      </c>
      <c r="F512" s="323">
        <v>52154.83</v>
      </c>
      <c r="G512" s="324" t="s">
        <v>1114</v>
      </c>
      <c r="H512" s="324">
        <v>2024</v>
      </c>
      <c r="I512" s="324"/>
      <c r="J512" s="324"/>
      <c r="K512" s="324"/>
      <c r="L512" s="324"/>
      <c r="M512" s="324"/>
      <c r="N512" s="324"/>
      <c r="O512" s="324"/>
      <c r="P512" s="324"/>
      <c r="Q512" s="323">
        <v>52154.83</v>
      </c>
      <c r="R512" s="324"/>
      <c r="S512" s="324"/>
      <c r="T512" s="325">
        <f t="shared" si="7"/>
        <v>52154.83</v>
      </c>
    </row>
    <row r="513" spans="1:20" ht="18.75" x14ac:dyDescent="0.3">
      <c r="A513" s="513" t="s">
        <v>253</v>
      </c>
      <c r="B513" s="513">
        <v>45393</v>
      </c>
      <c r="C513" s="514" t="s">
        <v>1325</v>
      </c>
      <c r="D513" s="321" t="s">
        <v>1326</v>
      </c>
      <c r="E513" s="322" t="s">
        <v>701</v>
      </c>
      <c r="F513" s="515">
        <v>1150</v>
      </c>
      <c r="G513" s="324" t="s">
        <v>1114</v>
      </c>
      <c r="H513" s="324">
        <v>2024</v>
      </c>
      <c r="I513" s="324"/>
      <c r="J513" s="324"/>
      <c r="K513" s="324"/>
      <c r="L513" s="324"/>
      <c r="M513" s="324"/>
      <c r="N513" s="324"/>
      <c r="O513" s="324"/>
      <c r="P513" s="324"/>
      <c r="Q513" s="515">
        <v>1150</v>
      </c>
      <c r="R513" s="324"/>
      <c r="S513" s="324"/>
      <c r="T513" s="325">
        <f t="shared" si="7"/>
        <v>1150</v>
      </c>
    </row>
    <row r="514" spans="1:20" ht="18.75" x14ac:dyDescent="0.3">
      <c r="A514" s="512" t="s">
        <v>1317</v>
      </c>
      <c r="B514" s="513">
        <v>45393</v>
      </c>
      <c r="C514" s="514" t="s">
        <v>1318</v>
      </c>
      <c r="D514" s="321" t="s">
        <v>912</v>
      </c>
      <c r="E514" s="322" t="s">
        <v>1319</v>
      </c>
      <c r="F514" s="515">
        <v>105739.8</v>
      </c>
      <c r="G514" s="324" t="s">
        <v>1114</v>
      </c>
      <c r="H514" s="324">
        <v>2024</v>
      </c>
      <c r="I514" s="324"/>
      <c r="J514" s="324"/>
      <c r="K514" s="324"/>
      <c r="L514" s="324"/>
      <c r="M514" s="324"/>
      <c r="N514" s="324"/>
      <c r="O514" s="324"/>
      <c r="P514" s="324"/>
      <c r="Q514" s="515">
        <v>105739.8</v>
      </c>
      <c r="R514" s="324"/>
      <c r="S514" s="324"/>
      <c r="T514" s="325">
        <f t="shared" si="7"/>
        <v>105739.8</v>
      </c>
    </row>
    <row r="515" spans="1:20" ht="18.75" x14ac:dyDescent="0.3">
      <c r="A515" s="512" t="s">
        <v>1772</v>
      </c>
      <c r="B515" s="513">
        <v>45393</v>
      </c>
      <c r="C515" s="514"/>
      <c r="D515" s="321" t="s">
        <v>638</v>
      </c>
      <c r="E515" s="322"/>
      <c r="F515" s="515">
        <v>133038.64000000001</v>
      </c>
      <c r="G515" s="324" t="s">
        <v>1114</v>
      </c>
      <c r="H515" s="324">
        <v>2024</v>
      </c>
      <c r="I515" s="324"/>
      <c r="J515" s="324"/>
      <c r="K515" s="324"/>
      <c r="L515" s="324"/>
      <c r="M515" s="324"/>
      <c r="N515" s="324"/>
      <c r="O515" s="324"/>
      <c r="P515" s="324"/>
      <c r="Q515" s="515">
        <v>133038.64000000001</v>
      </c>
      <c r="R515" s="324"/>
      <c r="S515" s="324"/>
      <c r="T515" s="325">
        <f t="shared" si="7"/>
        <v>133038.64000000001</v>
      </c>
    </row>
    <row r="516" spans="1:20" ht="18.75" x14ac:dyDescent="0.3">
      <c r="A516" s="537" t="s">
        <v>242</v>
      </c>
      <c r="B516" s="513">
        <v>45394</v>
      </c>
      <c r="C516" s="322"/>
      <c r="D516" s="331" t="s">
        <v>1332</v>
      </c>
      <c r="E516" s="322" t="s">
        <v>724</v>
      </c>
      <c r="F516" s="323">
        <v>49425.1</v>
      </c>
      <c r="G516" s="324" t="s">
        <v>1114</v>
      </c>
      <c r="H516" s="324">
        <v>2024</v>
      </c>
      <c r="I516" s="324"/>
      <c r="J516" s="324"/>
      <c r="K516" s="324"/>
      <c r="L516" s="324"/>
      <c r="M516" s="324"/>
      <c r="N516" s="324"/>
      <c r="O516" s="324"/>
      <c r="P516" s="324"/>
      <c r="Q516" s="323">
        <v>49425.1</v>
      </c>
      <c r="R516" s="324"/>
      <c r="S516" s="324"/>
      <c r="T516" s="325">
        <f t="shared" si="7"/>
        <v>49425.1</v>
      </c>
    </row>
    <row r="517" spans="1:20" ht="18.75" x14ac:dyDescent="0.3">
      <c r="A517" s="512" t="s">
        <v>449</v>
      </c>
      <c r="B517" s="527">
        <v>45394</v>
      </c>
      <c r="C517" s="529" t="s">
        <v>1742</v>
      </c>
      <c r="D517" s="348" t="s">
        <v>1773</v>
      </c>
      <c r="E517" s="343"/>
      <c r="F517" s="532">
        <v>162462.39999999999</v>
      </c>
      <c r="G517" s="324" t="s">
        <v>1114</v>
      </c>
      <c r="H517" s="324">
        <v>2024</v>
      </c>
      <c r="I517" s="324"/>
      <c r="J517" s="324"/>
      <c r="K517" s="324"/>
      <c r="L517" s="324"/>
      <c r="M517" s="324"/>
      <c r="N517" s="324"/>
      <c r="O517" s="324"/>
      <c r="P517" s="324"/>
      <c r="Q517" s="532">
        <v>162462.39999999999</v>
      </c>
      <c r="R517" s="324"/>
      <c r="S517" s="324"/>
      <c r="T517" s="325">
        <f t="shared" si="7"/>
        <v>162462.39999999999</v>
      </c>
    </row>
    <row r="518" spans="1:20" ht="18.75" x14ac:dyDescent="0.3">
      <c r="A518" s="537" t="s">
        <v>242</v>
      </c>
      <c r="B518" s="513">
        <v>45395</v>
      </c>
      <c r="C518" s="322"/>
      <c r="D518" s="331" t="s">
        <v>1334</v>
      </c>
      <c r="E518" s="322" t="s">
        <v>724</v>
      </c>
      <c r="F518" s="323">
        <v>50335.01</v>
      </c>
      <c r="G518" s="324" t="s">
        <v>1114</v>
      </c>
      <c r="H518" s="324">
        <v>2024</v>
      </c>
      <c r="I518" s="324"/>
      <c r="J518" s="324"/>
      <c r="K518" s="324"/>
      <c r="L518" s="324"/>
      <c r="M518" s="324"/>
      <c r="N518" s="324"/>
      <c r="O518" s="324"/>
      <c r="P518" s="324"/>
      <c r="Q518" s="323">
        <v>50335.01</v>
      </c>
      <c r="R518" s="324"/>
      <c r="S518" s="324"/>
      <c r="T518" s="325">
        <f t="shared" si="7"/>
        <v>50335.01</v>
      </c>
    </row>
    <row r="519" spans="1:20" ht="18.75" x14ac:dyDescent="0.3">
      <c r="A519" s="537" t="s">
        <v>242</v>
      </c>
      <c r="B519" s="513">
        <v>45395</v>
      </c>
      <c r="C519" s="322"/>
      <c r="D519" s="331" t="s">
        <v>1333</v>
      </c>
      <c r="E519" s="322" t="s">
        <v>724</v>
      </c>
      <c r="F519" s="323">
        <v>50335.01</v>
      </c>
      <c r="G519" s="324" t="s">
        <v>1114</v>
      </c>
      <c r="H519" s="324">
        <v>2024</v>
      </c>
      <c r="I519" s="324"/>
      <c r="J519" s="324"/>
      <c r="K519" s="324"/>
      <c r="L519" s="324"/>
      <c r="M519" s="324"/>
      <c r="N519" s="324"/>
      <c r="O519" s="324"/>
      <c r="P519" s="324"/>
      <c r="Q519" s="323">
        <v>50335.01</v>
      </c>
      <c r="R519" s="324"/>
      <c r="S519" s="324"/>
      <c r="T519" s="325">
        <f t="shared" si="7"/>
        <v>50335.01</v>
      </c>
    </row>
    <row r="520" spans="1:20" ht="18.75" x14ac:dyDescent="0.3">
      <c r="A520" s="513" t="s">
        <v>864</v>
      </c>
      <c r="B520" s="513">
        <v>45397</v>
      </c>
      <c r="C520" s="514" t="s">
        <v>1345</v>
      </c>
      <c r="D520" s="321" t="s">
        <v>1346</v>
      </c>
      <c r="E520" s="322" t="s">
        <v>1344</v>
      </c>
      <c r="F520" s="515">
        <v>19680</v>
      </c>
      <c r="G520" s="324" t="s">
        <v>1114</v>
      </c>
      <c r="H520" s="324">
        <v>2024</v>
      </c>
      <c r="I520" s="324"/>
      <c r="J520" s="324"/>
      <c r="K520" s="324"/>
      <c r="L520" s="324"/>
      <c r="M520" s="324"/>
      <c r="N520" s="324"/>
      <c r="O520" s="324"/>
      <c r="P520" s="324"/>
      <c r="Q520" s="515">
        <v>19680</v>
      </c>
      <c r="R520" s="324"/>
      <c r="S520" s="324"/>
      <c r="T520" s="325">
        <f t="shared" si="7"/>
        <v>19680</v>
      </c>
    </row>
    <row r="521" spans="1:20" ht="18.75" x14ac:dyDescent="0.3">
      <c r="A521" s="512" t="s">
        <v>922</v>
      </c>
      <c r="B521" s="513">
        <v>45397</v>
      </c>
      <c r="C521" s="514" t="s">
        <v>1338</v>
      </c>
      <c r="D521" s="321" t="s">
        <v>1339</v>
      </c>
      <c r="E521" s="328" t="s">
        <v>680</v>
      </c>
      <c r="F521" s="515">
        <v>70564</v>
      </c>
      <c r="G521" s="324" t="s">
        <v>1114</v>
      </c>
      <c r="H521" s="324">
        <v>2024</v>
      </c>
      <c r="I521" s="324"/>
      <c r="J521" s="324"/>
      <c r="K521" s="324"/>
      <c r="L521" s="324"/>
      <c r="M521" s="324"/>
      <c r="N521" s="324"/>
      <c r="O521" s="324"/>
      <c r="P521" s="324"/>
      <c r="Q521" s="515">
        <v>70564</v>
      </c>
      <c r="R521" s="324"/>
      <c r="S521" s="324"/>
      <c r="T521" s="325">
        <f t="shared" si="7"/>
        <v>70564</v>
      </c>
    </row>
    <row r="522" spans="1:20" ht="18.75" x14ac:dyDescent="0.3">
      <c r="A522" s="512" t="s">
        <v>1105</v>
      </c>
      <c r="B522" s="513">
        <v>45397</v>
      </c>
      <c r="C522" s="514" t="s">
        <v>1335</v>
      </c>
      <c r="D522" s="321" t="s">
        <v>1336</v>
      </c>
      <c r="E522" s="322" t="s">
        <v>680</v>
      </c>
      <c r="F522" s="515">
        <v>216382.5</v>
      </c>
      <c r="G522" s="324" t="s">
        <v>1114</v>
      </c>
      <c r="H522" s="324">
        <v>2024</v>
      </c>
      <c r="I522" s="324"/>
      <c r="J522" s="324"/>
      <c r="K522" s="324"/>
      <c r="L522" s="324"/>
      <c r="M522" s="324"/>
      <c r="N522" s="324"/>
      <c r="O522" s="324"/>
      <c r="P522" s="324"/>
      <c r="Q522" s="515">
        <v>216382.5</v>
      </c>
      <c r="R522" s="324"/>
      <c r="S522" s="324"/>
      <c r="T522" s="325">
        <f t="shared" si="7"/>
        <v>216382.5</v>
      </c>
    </row>
    <row r="523" spans="1:20" ht="18.75" x14ac:dyDescent="0.3">
      <c r="A523" s="513" t="s">
        <v>1634</v>
      </c>
      <c r="B523" s="513">
        <v>45397</v>
      </c>
      <c r="C523" s="514"/>
      <c r="D523" s="321" t="s">
        <v>1774</v>
      </c>
      <c r="E523" s="514" t="s">
        <v>1775</v>
      </c>
      <c r="F523" s="544">
        <v>826549.88</v>
      </c>
      <c r="G523" s="324" t="s">
        <v>1114</v>
      </c>
      <c r="H523" s="324">
        <v>2024</v>
      </c>
      <c r="I523" s="324"/>
      <c r="J523" s="324"/>
      <c r="K523" s="324"/>
      <c r="L523" s="324"/>
      <c r="M523" s="324"/>
      <c r="N523" s="324"/>
      <c r="O523" s="324"/>
      <c r="P523" s="324"/>
      <c r="Q523" s="544">
        <v>826549.88</v>
      </c>
      <c r="R523" s="324"/>
      <c r="S523" s="324"/>
      <c r="T523" s="325">
        <f t="shared" ref="T523:T586" si="8">SUM(I523:S523)</f>
        <v>826549.88</v>
      </c>
    </row>
    <row r="524" spans="1:20" ht="18.75" x14ac:dyDescent="0.3">
      <c r="A524" s="518" t="s">
        <v>919</v>
      </c>
      <c r="B524" s="513">
        <v>45397</v>
      </c>
      <c r="C524" s="514" t="s">
        <v>1341</v>
      </c>
      <c r="D524" s="321" t="s">
        <v>1342</v>
      </c>
      <c r="E524" s="322" t="s">
        <v>509</v>
      </c>
      <c r="F524" s="515">
        <v>135350.72</v>
      </c>
      <c r="G524" s="324" t="s">
        <v>1114</v>
      </c>
      <c r="H524" s="324">
        <v>2024</v>
      </c>
      <c r="I524" s="324"/>
      <c r="J524" s="324"/>
      <c r="K524" s="324"/>
      <c r="L524" s="324"/>
      <c r="M524" s="324"/>
      <c r="N524" s="324"/>
      <c r="O524" s="324"/>
      <c r="P524" s="324"/>
      <c r="Q524" s="515">
        <v>135350.72</v>
      </c>
      <c r="R524" s="324"/>
      <c r="S524" s="324"/>
      <c r="T524" s="325">
        <f t="shared" si="8"/>
        <v>135350.72</v>
      </c>
    </row>
    <row r="525" spans="1:20" ht="18.75" x14ac:dyDescent="0.3">
      <c r="A525" s="537" t="s">
        <v>242</v>
      </c>
      <c r="B525" s="513">
        <v>45398</v>
      </c>
      <c r="C525" s="322"/>
      <c r="D525" s="331" t="s">
        <v>1353</v>
      </c>
      <c r="E525" s="322" t="s">
        <v>724</v>
      </c>
      <c r="F525" s="323">
        <v>25622.46</v>
      </c>
      <c r="G525" s="324" t="s">
        <v>1114</v>
      </c>
      <c r="H525" s="324">
        <v>2024</v>
      </c>
      <c r="I525" s="324"/>
      <c r="J525" s="324"/>
      <c r="K525" s="324"/>
      <c r="L525" s="324"/>
      <c r="M525" s="324"/>
      <c r="N525" s="324"/>
      <c r="O525" s="324"/>
      <c r="P525" s="324"/>
      <c r="Q525" s="323">
        <v>25622.46</v>
      </c>
      <c r="R525" s="324"/>
      <c r="S525" s="324"/>
      <c r="T525" s="325">
        <f t="shared" si="8"/>
        <v>25622.46</v>
      </c>
    </row>
    <row r="526" spans="1:20" ht="18.75" x14ac:dyDescent="0.3">
      <c r="A526" s="537" t="s">
        <v>242</v>
      </c>
      <c r="B526" s="513">
        <v>45398</v>
      </c>
      <c r="C526" s="322"/>
      <c r="D526" s="331" t="s">
        <v>1352</v>
      </c>
      <c r="E526" s="322" t="s">
        <v>724</v>
      </c>
      <c r="F526" s="323">
        <v>16089.95</v>
      </c>
      <c r="G526" s="324" t="s">
        <v>1114</v>
      </c>
      <c r="H526" s="324">
        <v>2024</v>
      </c>
      <c r="I526" s="324"/>
      <c r="J526" s="324"/>
      <c r="K526" s="324"/>
      <c r="L526" s="324"/>
      <c r="M526" s="324"/>
      <c r="N526" s="324"/>
      <c r="O526" s="324"/>
      <c r="P526" s="324"/>
      <c r="Q526" s="323">
        <v>16089.95</v>
      </c>
      <c r="R526" s="324"/>
      <c r="S526" s="324"/>
      <c r="T526" s="325">
        <f t="shared" si="8"/>
        <v>16089.95</v>
      </c>
    </row>
    <row r="527" spans="1:20" ht="18.75" x14ac:dyDescent="0.3">
      <c r="A527" s="537" t="s">
        <v>242</v>
      </c>
      <c r="B527" s="513">
        <v>45398</v>
      </c>
      <c r="C527" s="322"/>
      <c r="D527" s="331" t="s">
        <v>1354</v>
      </c>
      <c r="E527" s="322" t="s">
        <v>724</v>
      </c>
      <c r="F527" s="323">
        <v>25622.46</v>
      </c>
      <c r="G527" s="324" t="s">
        <v>1114</v>
      </c>
      <c r="H527" s="324">
        <v>2024</v>
      </c>
      <c r="I527" s="324"/>
      <c r="J527" s="324"/>
      <c r="K527" s="324"/>
      <c r="L527" s="324"/>
      <c r="M527" s="324"/>
      <c r="N527" s="324"/>
      <c r="O527" s="324"/>
      <c r="P527" s="324"/>
      <c r="Q527" s="323">
        <v>25622.46</v>
      </c>
      <c r="R527" s="324"/>
      <c r="S527" s="324"/>
      <c r="T527" s="325">
        <f t="shared" si="8"/>
        <v>25622.46</v>
      </c>
    </row>
    <row r="528" spans="1:20" ht="18.75" x14ac:dyDescent="0.3">
      <c r="A528" s="512" t="s">
        <v>1347</v>
      </c>
      <c r="B528" s="513">
        <v>45398</v>
      </c>
      <c r="C528" s="514" t="s">
        <v>1348</v>
      </c>
      <c r="D528" s="321" t="s">
        <v>863</v>
      </c>
      <c r="E528" s="322" t="s">
        <v>1349</v>
      </c>
      <c r="F528" s="515">
        <v>746173</v>
      </c>
      <c r="G528" s="324" t="s">
        <v>1114</v>
      </c>
      <c r="H528" s="324">
        <v>2024</v>
      </c>
      <c r="I528" s="324"/>
      <c r="J528" s="324"/>
      <c r="K528" s="324"/>
      <c r="L528" s="324"/>
      <c r="M528" s="324"/>
      <c r="N528" s="324"/>
      <c r="O528" s="324"/>
      <c r="P528" s="324"/>
      <c r="Q528" s="515">
        <v>746173</v>
      </c>
      <c r="R528" s="324"/>
      <c r="S528" s="324"/>
      <c r="T528" s="325">
        <f t="shared" si="8"/>
        <v>746173</v>
      </c>
    </row>
    <row r="529" spans="1:20" ht="18.75" x14ac:dyDescent="0.3">
      <c r="A529" s="512" t="s">
        <v>929</v>
      </c>
      <c r="B529" s="513">
        <v>45398</v>
      </c>
      <c r="C529" s="514" t="s">
        <v>1350</v>
      </c>
      <c r="D529" s="321" t="s">
        <v>1351</v>
      </c>
      <c r="E529" s="322" t="s">
        <v>680</v>
      </c>
      <c r="F529" s="515">
        <v>169215.6</v>
      </c>
      <c r="G529" s="324" t="s">
        <v>1114</v>
      </c>
      <c r="H529" s="324">
        <v>2024</v>
      </c>
      <c r="I529" s="324"/>
      <c r="J529" s="324"/>
      <c r="K529" s="324"/>
      <c r="L529" s="324"/>
      <c r="M529" s="324"/>
      <c r="N529" s="324"/>
      <c r="O529" s="324"/>
      <c r="P529" s="324"/>
      <c r="Q529" s="515">
        <v>169215.6</v>
      </c>
      <c r="R529" s="324"/>
      <c r="S529" s="324"/>
      <c r="T529" s="325">
        <f t="shared" si="8"/>
        <v>169215.6</v>
      </c>
    </row>
    <row r="530" spans="1:20" ht="18.75" x14ac:dyDescent="0.3">
      <c r="A530" s="537" t="s">
        <v>242</v>
      </c>
      <c r="B530" s="513">
        <v>45399</v>
      </c>
      <c r="C530" s="322"/>
      <c r="D530" s="331" t="s">
        <v>1361</v>
      </c>
      <c r="E530" s="322" t="s">
        <v>724</v>
      </c>
      <c r="F530" s="323">
        <v>25622.46</v>
      </c>
      <c r="G530" s="324" t="s">
        <v>1114</v>
      </c>
      <c r="H530" s="324">
        <v>2024</v>
      </c>
      <c r="I530" s="324"/>
      <c r="J530" s="324"/>
      <c r="K530" s="324"/>
      <c r="L530" s="324"/>
      <c r="M530" s="324"/>
      <c r="N530" s="324"/>
      <c r="O530" s="324"/>
      <c r="P530" s="324"/>
      <c r="Q530" s="323">
        <v>25622.46</v>
      </c>
      <c r="R530" s="324"/>
      <c r="S530" s="324"/>
      <c r="T530" s="325">
        <f t="shared" si="8"/>
        <v>25622.46</v>
      </c>
    </row>
    <row r="531" spans="1:20" ht="18.75" x14ac:dyDescent="0.3">
      <c r="A531" s="512" t="s">
        <v>766</v>
      </c>
      <c r="B531" s="513">
        <v>45399</v>
      </c>
      <c r="C531" s="514" t="s">
        <v>1356</v>
      </c>
      <c r="D531" s="321" t="s">
        <v>1357</v>
      </c>
      <c r="E531" s="322" t="s">
        <v>769</v>
      </c>
      <c r="F531" s="515">
        <v>125326</v>
      </c>
      <c r="G531" s="324" t="s">
        <v>1114</v>
      </c>
      <c r="H531" s="324">
        <v>2024</v>
      </c>
      <c r="I531" s="324"/>
      <c r="J531" s="324"/>
      <c r="K531" s="324"/>
      <c r="L531" s="324"/>
      <c r="M531" s="324"/>
      <c r="N531" s="324"/>
      <c r="O531" s="324"/>
      <c r="P531" s="324"/>
      <c r="Q531" s="515">
        <v>125326</v>
      </c>
      <c r="R531" s="324"/>
      <c r="S531" s="324"/>
      <c r="T531" s="325">
        <f t="shared" si="8"/>
        <v>125326</v>
      </c>
    </row>
    <row r="532" spans="1:20" ht="18.75" x14ac:dyDescent="0.3">
      <c r="A532" s="512" t="s">
        <v>852</v>
      </c>
      <c r="B532" s="513">
        <v>45399</v>
      </c>
      <c r="C532" s="514" t="s">
        <v>1355</v>
      </c>
      <c r="D532" s="321" t="s">
        <v>735</v>
      </c>
      <c r="E532" s="322" t="s">
        <v>680</v>
      </c>
      <c r="F532" s="515">
        <v>148800</v>
      </c>
      <c r="G532" s="324" t="s">
        <v>1114</v>
      </c>
      <c r="H532" s="324">
        <v>2024</v>
      </c>
      <c r="I532" s="324"/>
      <c r="J532" s="324"/>
      <c r="K532" s="324"/>
      <c r="L532" s="324"/>
      <c r="M532" s="324"/>
      <c r="N532" s="324"/>
      <c r="O532" s="324"/>
      <c r="P532" s="324"/>
      <c r="Q532" s="515">
        <v>148800</v>
      </c>
      <c r="R532" s="324"/>
      <c r="S532" s="324"/>
      <c r="T532" s="325">
        <f t="shared" si="8"/>
        <v>148800</v>
      </c>
    </row>
    <row r="533" spans="1:20" ht="18.75" x14ac:dyDescent="0.3">
      <c r="A533" s="512" t="s">
        <v>1119</v>
      </c>
      <c r="B533" s="513">
        <v>45399</v>
      </c>
      <c r="C533" s="514" t="s">
        <v>1258</v>
      </c>
      <c r="D533" s="321" t="s">
        <v>1776</v>
      </c>
      <c r="E533" s="322" t="s">
        <v>721</v>
      </c>
      <c r="F533" s="515">
        <v>714177.9</v>
      </c>
      <c r="G533" s="324" t="s">
        <v>1114</v>
      </c>
      <c r="H533" s="324">
        <v>2024</v>
      </c>
      <c r="I533" s="324"/>
      <c r="J533" s="324"/>
      <c r="K533" s="324"/>
      <c r="L533" s="324"/>
      <c r="M533" s="324"/>
      <c r="N533" s="324"/>
      <c r="O533" s="324"/>
      <c r="P533" s="324"/>
      <c r="Q533" s="515">
        <v>714177.9</v>
      </c>
      <c r="R533" s="324"/>
      <c r="S533" s="324"/>
      <c r="T533" s="325">
        <f t="shared" si="8"/>
        <v>714177.9</v>
      </c>
    </row>
    <row r="534" spans="1:20" ht="18.75" x14ac:dyDescent="0.3">
      <c r="A534" s="512" t="s">
        <v>1278</v>
      </c>
      <c r="B534" s="513">
        <v>45399</v>
      </c>
      <c r="C534" s="514" t="s">
        <v>1358</v>
      </c>
      <c r="D534" s="321" t="s">
        <v>1359</v>
      </c>
      <c r="E534" s="322" t="s">
        <v>1344</v>
      </c>
      <c r="F534" s="515">
        <v>65500</v>
      </c>
      <c r="G534" s="324" t="s">
        <v>1114</v>
      </c>
      <c r="H534" s="324">
        <v>2024</v>
      </c>
      <c r="I534" s="324"/>
      <c r="J534" s="324"/>
      <c r="K534" s="324"/>
      <c r="L534" s="324"/>
      <c r="M534" s="324"/>
      <c r="N534" s="324"/>
      <c r="O534" s="324"/>
      <c r="P534" s="324"/>
      <c r="Q534" s="515">
        <v>65500</v>
      </c>
      <c r="R534" s="324"/>
      <c r="S534" s="324"/>
      <c r="T534" s="325">
        <f t="shared" si="8"/>
        <v>65500</v>
      </c>
    </row>
    <row r="535" spans="1:20" ht="18.75" x14ac:dyDescent="0.3">
      <c r="A535" s="537" t="s">
        <v>242</v>
      </c>
      <c r="B535" s="513">
        <v>45400</v>
      </c>
      <c r="C535" s="322"/>
      <c r="D535" s="331" t="s">
        <v>1367</v>
      </c>
      <c r="E535" s="322" t="s">
        <v>724</v>
      </c>
      <c r="F535" s="323">
        <v>49425.1</v>
      </c>
      <c r="G535" s="324" t="s">
        <v>1114</v>
      </c>
      <c r="H535" s="324">
        <v>2024</v>
      </c>
      <c r="I535" s="324"/>
      <c r="J535" s="324"/>
      <c r="K535" s="324"/>
      <c r="L535" s="324"/>
      <c r="M535" s="324"/>
      <c r="N535" s="324"/>
      <c r="O535" s="324"/>
      <c r="P535" s="324"/>
      <c r="Q535" s="323">
        <v>49425.1</v>
      </c>
      <c r="R535" s="324"/>
      <c r="S535" s="324"/>
      <c r="T535" s="325">
        <f t="shared" si="8"/>
        <v>49425.1</v>
      </c>
    </row>
    <row r="536" spans="1:20" ht="18.75" x14ac:dyDescent="0.3">
      <c r="A536" s="512" t="s">
        <v>1045</v>
      </c>
      <c r="B536" s="513">
        <v>45400</v>
      </c>
      <c r="C536" s="541" t="s">
        <v>1364</v>
      </c>
      <c r="D536" s="321" t="s">
        <v>1365</v>
      </c>
      <c r="E536" s="541" t="s">
        <v>506</v>
      </c>
      <c r="F536" s="515">
        <v>82650</v>
      </c>
      <c r="G536" s="324" t="s">
        <v>1114</v>
      </c>
      <c r="H536" s="324">
        <v>2024</v>
      </c>
      <c r="I536" s="324"/>
      <c r="J536" s="324"/>
      <c r="K536" s="324"/>
      <c r="L536" s="324"/>
      <c r="M536" s="324"/>
      <c r="N536" s="324"/>
      <c r="O536" s="324"/>
      <c r="P536" s="324"/>
      <c r="Q536" s="515">
        <v>82650</v>
      </c>
      <c r="R536" s="324"/>
      <c r="S536" s="324"/>
      <c r="T536" s="325">
        <f t="shared" si="8"/>
        <v>82650</v>
      </c>
    </row>
    <row r="537" spans="1:20" ht="18.75" x14ac:dyDescent="0.3">
      <c r="A537" s="513" t="s">
        <v>253</v>
      </c>
      <c r="B537" s="513">
        <v>45400</v>
      </c>
      <c r="C537" s="514" t="s">
        <v>1325</v>
      </c>
      <c r="D537" s="321" t="s">
        <v>1366</v>
      </c>
      <c r="E537" s="322" t="s">
        <v>701</v>
      </c>
      <c r="F537" s="515">
        <v>1150</v>
      </c>
      <c r="G537" s="324" t="s">
        <v>1114</v>
      </c>
      <c r="H537" s="324">
        <v>2024</v>
      </c>
      <c r="I537" s="324"/>
      <c r="J537" s="324"/>
      <c r="K537" s="324"/>
      <c r="L537" s="324"/>
      <c r="M537" s="324"/>
      <c r="N537" s="324"/>
      <c r="O537" s="324"/>
      <c r="P537" s="324"/>
      <c r="Q537" s="515">
        <v>1150</v>
      </c>
      <c r="R537" s="324"/>
      <c r="S537" s="324"/>
      <c r="T537" s="325">
        <f t="shared" si="8"/>
        <v>1150</v>
      </c>
    </row>
    <row r="538" spans="1:20" ht="18.75" x14ac:dyDescent="0.3">
      <c r="A538" s="512" t="s">
        <v>920</v>
      </c>
      <c r="B538" s="513">
        <v>45400</v>
      </c>
      <c r="C538" s="514" t="s">
        <v>1363</v>
      </c>
      <c r="D538" s="321" t="s">
        <v>696</v>
      </c>
      <c r="E538" s="322" t="s">
        <v>1777</v>
      </c>
      <c r="F538" s="515">
        <v>244437</v>
      </c>
      <c r="G538" s="324" t="s">
        <v>1114</v>
      </c>
      <c r="H538" s="324">
        <v>2024</v>
      </c>
      <c r="I538" s="324"/>
      <c r="J538" s="324"/>
      <c r="K538" s="324"/>
      <c r="L538" s="324"/>
      <c r="M538" s="324"/>
      <c r="N538" s="324"/>
      <c r="O538" s="324"/>
      <c r="P538" s="324"/>
      <c r="Q538" s="515">
        <v>244437</v>
      </c>
      <c r="R538" s="324"/>
      <c r="S538" s="324"/>
      <c r="T538" s="325">
        <f t="shared" si="8"/>
        <v>244437</v>
      </c>
    </row>
    <row r="539" spans="1:20" ht="18.75" x14ac:dyDescent="0.3">
      <c r="A539" s="512" t="s">
        <v>1223</v>
      </c>
      <c r="B539" s="512">
        <v>45400</v>
      </c>
      <c r="C539" s="521" t="s">
        <v>1561</v>
      </c>
      <c r="D539" s="329" t="s">
        <v>1778</v>
      </c>
      <c r="E539" s="328" t="s">
        <v>1779</v>
      </c>
      <c r="F539" s="522">
        <v>61596</v>
      </c>
      <c r="G539" s="324" t="s">
        <v>1114</v>
      </c>
      <c r="H539" s="324">
        <v>2024</v>
      </c>
      <c r="I539" s="324"/>
      <c r="J539" s="324"/>
      <c r="K539" s="324"/>
      <c r="L539" s="324"/>
      <c r="M539" s="324"/>
      <c r="N539" s="324"/>
      <c r="O539" s="324"/>
      <c r="P539" s="324"/>
      <c r="Q539" s="522">
        <v>61596</v>
      </c>
      <c r="R539" s="324"/>
      <c r="S539" s="324"/>
      <c r="T539" s="325">
        <f t="shared" si="8"/>
        <v>61596</v>
      </c>
    </row>
    <row r="540" spans="1:20" ht="18.75" x14ac:dyDescent="0.3">
      <c r="A540" s="512" t="s">
        <v>445</v>
      </c>
      <c r="B540" s="513">
        <v>45400</v>
      </c>
      <c r="C540" s="514" t="s">
        <v>1362</v>
      </c>
      <c r="D540" s="341" t="s">
        <v>1072</v>
      </c>
      <c r="E540" s="322" t="s">
        <v>814</v>
      </c>
      <c r="F540" s="515">
        <v>1085549.9099999999</v>
      </c>
      <c r="G540" s="324" t="s">
        <v>1114</v>
      </c>
      <c r="H540" s="324">
        <v>2024</v>
      </c>
      <c r="I540" s="324"/>
      <c r="J540" s="324"/>
      <c r="K540" s="324"/>
      <c r="L540" s="324"/>
      <c r="M540" s="324"/>
      <c r="N540" s="324"/>
      <c r="O540" s="324"/>
      <c r="P540" s="324"/>
      <c r="Q540" s="515">
        <v>1085549.9099999999</v>
      </c>
      <c r="R540" s="324"/>
      <c r="S540" s="324"/>
      <c r="T540" s="325">
        <f t="shared" si="8"/>
        <v>1085549.9099999999</v>
      </c>
    </row>
    <row r="541" spans="1:20" ht="18.75" x14ac:dyDescent="0.3">
      <c r="A541" s="513" t="s">
        <v>240</v>
      </c>
      <c r="B541" s="513">
        <v>45401</v>
      </c>
      <c r="C541" s="514" t="s">
        <v>1370</v>
      </c>
      <c r="D541" s="346" t="s">
        <v>1371</v>
      </c>
      <c r="E541" s="322" t="s">
        <v>1321</v>
      </c>
      <c r="F541" s="515">
        <v>137175</v>
      </c>
      <c r="G541" s="324" t="s">
        <v>1114</v>
      </c>
      <c r="H541" s="324">
        <v>2024</v>
      </c>
      <c r="I541" s="324"/>
      <c r="J541" s="324"/>
      <c r="K541" s="324"/>
      <c r="L541" s="324"/>
      <c r="M541" s="324"/>
      <c r="N541" s="324"/>
      <c r="O541" s="324"/>
      <c r="P541" s="324"/>
      <c r="Q541" s="515">
        <v>137175</v>
      </c>
      <c r="R541" s="324"/>
      <c r="S541" s="324"/>
      <c r="T541" s="325">
        <f t="shared" si="8"/>
        <v>137175</v>
      </c>
    </row>
    <row r="542" spans="1:20" ht="18.75" x14ac:dyDescent="0.3">
      <c r="A542" s="537" t="s">
        <v>242</v>
      </c>
      <c r="B542" s="513">
        <v>45401</v>
      </c>
      <c r="C542" s="322"/>
      <c r="D542" s="331" t="s">
        <v>1375</v>
      </c>
      <c r="E542" s="322" t="s">
        <v>724</v>
      </c>
      <c r="F542" s="323">
        <v>26532.37</v>
      </c>
      <c r="G542" s="324" t="s">
        <v>1114</v>
      </c>
      <c r="H542" s="324">
        <v>2024</v>
      </c>
      <c r="I542" s="324"/>
      <c r="J542" s="324"/>
      <c r="K542" s="324"/>
      <c r="L542" s="324"/>
      <c r="M542" s="324"/>
      <c r="N542" s="324"/>
      <c r="O542" s="324"/>
      <c r="P542" s="324"/>
      <c r="Q542" s="323">
        <v>26532.37</v>
      </c>
      <c r="R542" s="324"/>
      <c r="S542" s="324"/>
      <c r="T542" s="325">
        <f t="shared" si="8"/>
        <v>26532.37</v>
      </c>
    </row>
    <row r="543" spans="1:20" ht="18.75" x14ac:dyDescent="0.3">
      <c r="A543" s="537" t="s">
        <v>242</v>
      </c>
      <c r="B543" s="513">
        <v>45401</v>
      </c>
      <c r="C543" s="322"/>
      <c r="D543" s="331" t="s">
        <v>1374</v>
      </c>
      <c r="E543" s="322" t="s">
        <v>724</v>
      </c>
      <c r="F543" s="323">
        <v>5314.73</v>
      </c>
      <c r="G543" s="324" t="s">
        <v>1114</v>
      </c>
      <c r="H543" s="324">
        <v>2024</v>
      </c>
      <c r="I543" s="324"/>
      <c r="J543" s="324"/>
      <c r="K543" s="324"/>
      <c r="L543" s="324"/>
      <c r="M543" s="324"/>
      <c r="N543" s="324"/>
      <c r="O543" s="324"/>
      <c r="P543" s="324"/>
      <c r="Q543" s="323">
        <v>5314.73</v>
      </c>
      <c r="R543" s="324"/>
      <c r="S543" s="324"/>
      <c r="T543" s="325">
        <f t="shared" si="8"/>
        <v>5314.73</v>
      </c>
    </row>
    <row r="544" spans="1:20" ht="18.75" x14ac:dyDescent="0.3">
      <c r="A544" s="513" t="s">
        <v>697</v>
      </c>
      <c r="B544" s="513">
        <v>45401</v>
      </c>
      <c r="C544" s="514" t="s">
        <v>1520</v>
      </c>
      <c r="D544" s="321" t="s">
        <v>1780</v>
      </c>
      <c r="E544" s="322" t="s">
        <v>680</v>
      </c>
      <c r="F544" s="515">
        <v>1652000</v>
      </c>
      <c r="G544" s="324" t="s">
        <v>1114</v>
      </c>
      <c r="H544" s="324">
        <v>2024</v>
      </c>
      <c r="I544" s="324"/>
      <c r="J544" s="324"/>
      <c r="K544" s="324"/>
      <c r="L544" s="324"/>
      <c r="M544" s="324"/>
      <c r="N544" s="324"/>
      <c r="O544" s="324"/>
      <c r="P544" s="324"/>
      <c r="Q544" s="515">
        <v>1652000</v>
      </c>
      <c r="R544" s="324"/>
      <c r="S544" s="324"/>
      <c r="T544" s="325">
        <f t="shared" si="8"/>
        <v>1652000</v>
      </c>
    </row>
    <row r="545" spans="1:20" ht="18.75" x14ac:dyDescent="0.3">
      <c r="A545" s="512" t="s">
        <v>679</v>
      </c>
      <c r="B545" s="513">
        <v>45401</v>
      </c>
      <c r="C545" s="514" t="s">
        <v>1372</v>
      </c>
      <c r="D545" s="321" t="s">
        <v>1373</v>
      </c>
      <c r="E545" s="322" t="s">
        <v>1132</v>
      </c>
      <c r="F545" s="515">
        <v>226780</v>
      </c>
      <c r="G545" s="324" t="s">
        <v>1114</v>
      </c>
      <c r="H545" s="324">
        <v>2024</v>
      </c>
      <c r="I545" s="324"/>
      <c r="J545" s="324"/>
      <c r="K545" s="324"/>
      <c r="L545" s="324"/>
      <c r="M545" s="324"/>
      <c r="N545" s="324"/>
      <c r="O545" s="324"/>
      <c r="P545" s="324"/>
      <c r="Q545" s="515">
        <v>226780</v>
      </c>
      <c r="R545" s="324"/>
      <c r="S545" s="324"/>
      <c r="T545" s="325">
        <f t="shared" si="8"/>
        <v>226780</v>
      </c>
    </row>
    <row r="546" spans="1:20" s="520" customFormat="1" ht="18.75" x14ac:dyDescent="0.3">
      <c r="A546" s="518" t="s">
        <v>872</v>
      </c>
      <c r="B546" s="513">
        <v>45401</v>
      </c>
      <c r="C546" s="514" t="s">
        <v>1368</v>
      </c>
      <c r="D546" s="321" t="s">
        <v>1369</v>
      </c>
      <c r="E546" s="322" t="s">
        <v>680</v>
      </c>
      <c r="F546" s="515">
        <v>31270</v>
      </c>
      <c r="G546" s="324" t="s">
        <v>1114</v>
      </c>
      <c r="H546" s="324">
        <v>2024</v>
      </c>
      <c r="I546" s="519"/>
      <c r="J546" s="519"/>
      <c r="K546" s="519"/>
      <c r="L546" s="519"/>
      <c r="M546" s="519"/>
      <c r="N546" s="519"/>
      <c r="O546" s="519"/>
      <c r="P546" s="519"/>
      <c r="Q546" s="515">
        <v>31270</v>
      </c>
      <c r="R546" s="519"/>
      <c r="S546" s="519"/>
      <c r="T546" s="325">
        <f t="shared" si="8"/>
        <v>31270</v>
      </c>
    </row>
    <row r="547" spans="1:20" s="520" customFormat="1" ht="18.75" x14ac:dyDescent="0.3">
      <c r="A547" s="537" t="s">
        <v>242</v>
      </c>
      <c r="B547" s="513">
        <v>45404</v>
      </c>
      <c r="C547" s="322"/>
      <c r="D547" s="331" t="s">
        <v>1382</v>
      </c>
      <c r="E547" s="322" t="s">
        <v>724</v>
      </c>
      <c r="F547" s="323">
        <v>25622.46</v>
      </c>
      <c r="G547" s="324" t="s">
        <v>1114</v>
      </c>
      <c r="H547" s="324">
        <v>2024</v>
      </c>
      <c r="I547" s="519"/>
      <c r="J547" s="519"/>
      <c r="K547" s="519"/>
      <c r="L547" s="519"/>
      <c r="M547" s="519"/>
      <c r="N547" s="519"/>
      <c r="O547" s="519"/>
      <c r="P547" s="519"/>
      <c r="Q547" s="323">
        <v>25622.46</v>
      </c>
      <c r="R547" s="519"/>
      <c r="S547" s="519"/>
      <c r="T547" s="325">
        <f t="shared" si="8"/>
        <v>25622.46</v>
      </c>
    </row>
    <row r="548" spans="1:20" ht="18.75" x14ac:dyDescent="0.3">
      <c r="A548" s="537" t="s">
        <v>242</v>
      </c>
      <c r="B548" s="513">
        <v>45404</v>
      </c>
      <c r="C548" s="322"/>
      <c r="D548" s="331" t="s">
        <v>1383</v>
      </c>
      <c r="E548" s="322" t="s">
        <v>724</v>
      </c>
      <c r="F548" s="323">
        <v>24712.55</v>
      </c>
      <c r="G548" s="324" t="s">
        <v>1114</v>
      </c>
      <c r="H548" s="324">
        <v>2024</v>
      </c>
      <c r="I548" s="324"/>
      <c r="J548" s="324"/>
      <c r="K548" s="324"/>
      <c r="L548" s="324"/>
      <c r="M548" s="324"/>
      <c r="N548" s="324"/>
      <c r="O548" s="324"/>
      <c r="P548" s="324"/>
      <c r="Q548" s="323">
        <v>24712.55</v>
      </c>
      <c r="R548" s="324"/>
      <c r="S548" s="324"/>
      <c r="T548" s="325">
        <f t="shared" si="8"/>
        <v>24712.55</v>
      </c>
    </row>
    <row r="549" spans="1:20" ht="18.75" x14ac:dyDescent="0.3">
      <c r="A549" s="512" t="s">
        <v>271</v>
      </c>
      <c r="B549" s="512">
        <v>45404</v>
      </c>
      <c r="C549" s="521" t="s">
        <v>1380</v>
      </c>
      <c r="D549" s="321" t="s">
        <v>1381</v>
      </c>
      <c r="E549" s="328" t="s">
        <v>1136</v>
      </c>
      <c r="F549" s="522">
        <v>85140</v>
      </c>
      <c r="G549" s="324" t="s">
        <v>1114</v>
      </c>
      <c r="H549" s="324">
        <v>2024</v>
      </c>
      <c r="I549" s="324"/>
      <c r="J549" s="324"/>
      <c r="K549" s="324"/>
      <c r="L549" s="324"/>
      <c r="M549" s="324"/>
      <c r="N549" s="324"/>
      <c r="O549" s="324"/>
      <c r="P549" s="324"/>
      <c r="Q549" s="522">
        <v>85140</v>
      </c>
      <c r="R549" s="324"/>
      <c r="S549" s="324"/>
      <c r="T549" s="325">
        <f t="shared" si="8"/>
        <v>85140</v>
      </c>
    </row>
    <row r="550" spans="1:20" ht="18.75" x14ac:dyDescent="0.3">
      <c r="A550" s="518" t="s">
        <v>708</v>
      </c>
      <c r="B550" s="513">
        <v>45404</v>
      </c>
      <c r="C550" s="514" t="s">
        <v>1378</v>
      </c>
      <c r="D550" s="321" t="s">
        <v>1379</v>
      </c>
      <c r="E550" s="322" t="s">
        <v>680</v>
      </c>
      <c r="F550" s="515">
        <v>254785.6</v>
      </c>
      <c r="G550" s="324" t="s">
        <v>1114</v>
      </c>
      <c r="H550" s="324">
        <v>2024</v>
      </c>
      <c r="I550" s="324"/>
      <c r="J550" s="324"/>
      <c r="K550" s="324"/>
      <c r="L550" s="324"/>
      <c r="M550" s="324"/>
      <c r="N550" s="324"/>
      <c r="O550" s="324"/>
      <c r="P550" s="324"/>
      <c r="Q550" s="515">
        <v>254785.6</v>
      </c>
      <c r="R550" s="324"/>
      <c r="S550" s="324"/>
      <c r="T550" s="325">
        <f t="shared" si="8"/>
        <v>254785.6</v>
      </c>
    </row>
    <row r="551" spans="1:20" ht="18.75" x14ac:dyDescent="0.3">
      <c r="A551" s="537" t="s">
        <v>242</v>
      </c>
      <c r="B551" s="513">
        <v>45405</v>
      </c>
      <c r="C551" s="322"/>
      <c r="D551" s="331" t="s">
        <v>1781</v>
      </c>
      <c r="E551" s="322" t="s">
        <v>724</v>
      </c>
      <c r="F551" s="323">
        <v>5314.73</v>
      </c>
      <c r="G551" s="324" t="s">
        <v>1114</v>
      </c>
      <c r="H551" s="324">
        <v>2024</v>
      </c>
      <c r="I551" s="324"/>
      <c r="J551" s="324"/>
      <c r="K551" s="324"/>
      <c r="L551" s="324"/>
      <c r="M551" s="324"/>
      <c r="N551" s="324"/>
      <c r="O551" s="324"/>
      <c r="P551" s="324"/>
      <c r="Q551" s="323">
        <v>5314.73</v>
      </c>
      <c r="R551" s="324"/>
      <c r="S551" s="324"/>
      <c r="T551" s="325">
        <f t="shared" si="8"/>
        <v>5314.73</v>
      </c>
    </row>
    <row r="552" spans="1:20" ht="18.75" x14ac:dyDescent="0.3">
      <c r="A552" s="537" t="s">
        <v>242</v>
      </c>
      <c r="B552" s="513">
        <v>45405</v>
      </c>
      <c r="C552" s="322"/>
      <c r="D552" s="331" t="s">
        <v>1782</v>
      </c>
      <c r="E552" s="322" t="s">
        <v>724</v>
      </c>
      <c r="F552" s="323">
        <v>25622.46</v>
      </c>
      <c r="G552" s="324" t="s">
        <v>1114</v>
      </c>
      <c r="H552" s="324">
        <v>2024</v>
      </c>
      <c r="I552" s="324"/>
      <c r="J552" s="324"/>
      <c r="K552" s="324"/>
      <c r="L552" s="324"/>
      <c r="M552" s="324"/>
      <c r="N552" s="324"/>
      <c r="O552" s="324"/>
      <c r="P552" s="324"/>
      <c r="Q552" s="323">
        <v>25622.46</v>
      </c>
      <c r="R552" s="324"/>
      <c r="S552" s="324"/>
      <c r="T552" s="325">
        <f t="shared" si="8"/>
        <v>25622.46</v>
      </c>
    </row>
    <row r="553" spans="1:20" ht="18.75" x14ac:dyDescent="0.3">
      <c r="A553" s="512" t="s">
        <v>852</v>
      </c>
      <c r="B553" s="513">
        <v>45405</v>
      </c>
      <c r="C553" s="514" t="s">
        <v>1386</v>
      </c>
      <c r="D553" s="321" t="s">
        <v>1029</v>
      </c>
      <c r="E553" s="322" t="s">
        <v>680</v>
      </c>
      <c r="F553" s="515">
        <v>247800</v>
      </c>
      <c r="G553" s="324" t="s">
        <v>1114</v>
      </c>
      <c r="H553" s="324">
        <v>2024</v>
      </c>
      <c r="I553" s="324"/>
      <c r="J553" s="324"/>
      <c r="K553" s="324"/>
      <c r="L553" s="324"/>
      <c r="M553" s="324"/>
      <c r="N553" s="324"/>
      <c r="O553" s="324"/>
      <c r="P553" s="324"/>
      <c r="Q553" s="515">
        <v>247800</v>
      </c>
      <c r="R553" s="324"/>
      <c r="S553" s="324"/>
      <c r="T553" s="325">
        <f t="shared" si="8"/>
        <v>247800</v>
      </c>
    </row>
    <row r="554" spans="1:20" ht="18.75" x14ac:dyDescent="0.3">
      <c r="A554" s="513" t="s">
        <v>1070</v>
      </c>
      <c r="B554" s="513">
        <v>45405</v>
      </c>
      <c r="C554" s="514" t="s">
        <v>1384</v>
      </c>
      <c r="D554" s="321" t="s">
        <v>632</v>
      </c>
      <c r="E554" s="322" t="s">
        <v>680</v>
      </c>
      <c r="F554" s="515">
        <v>177000</v>
      </c>
      <c r="G554" s="324" t="s">
        <v>1114</v>
      </c>
      <c r="H554" s="324">
        <v>2024</v>
      </c>
      <c r="I554" s="324"/>
      <c r="J554" s="324"/>
      <c r="K554" s="324"/>
      <c r="L554" s="324"/>
      <c r="M554" s="324"/>
      <c r="N554" s="324"/>
      <c r="O554" s="324"/>
      <c r="P554" s="324"/>
      <c r="Q554" s="515">
        <v>177000</v>
      </c>
      <c r="R554" s="324"/>
      <c r="S554" s="324"/>
      <c r="T554" s="325">
        <f t="shared" si="8"/>
        <v>177000</v>
      </c>
    </row>
    <row r="555" spans="1:20" ht="18.75" x14ac:dyDescent="0.3">
      <c r="A555" s="512" t="s">
        <v>1164</v>
      </c>
      <c r="B555" s="513">
        <v>45405</v>
      </c>
      <c r="C555" s="514" t="s">
        <v>1385</v>
      </c>
      <c r="D555" s="321" t="s">
        <v>937</v>
      </c>
      <c r="E555" s="322" t="s">
        <v>1167</v>
      </c>
      <c r="F555" s="515">
        <v>138749.71</v>
      </c>
      <c r="G555" s="324" t="s">
        <v>1114</v>
      </c>
      <c r="H555" s="324">
        <v>2024</v>
      </c>
      <c r="I555" s="324"/>
      <c r="J555" s="324"/>
      <c r="K555" s="324"/>
      <c r="L555" s="324"/>
      <c r="M555" s="324"/>
      <c r="N555" s="324"/>
      <c r="O555" s="324"/>
      <c r="P555" s="324"/>
      <c r="Q555" s="515">
        <v>138749.71</v>
      </c>
      <c r="R555" s="324"/>
      <c r="S555" s="324"/>
      <c r="T555" s="325">
        <f t="shared" si="8"/>
        <v>138749.71</v>
      </c>
    </row>
    <row r="556" spans="1:20" ht="18.75" x14ac:dyDescent="0.3">
      <c r="A556" s="518" t="s">
        <v>884</v>
      </c>
      <c r="B556" s="513">
        <v>45405</v>
      </c>
      <c r="C556" s="514" t="s">
        <v>1387</v>
      </c>
      <c r="D556" s="321" t="s">
        <v>1388</v>
      </c>
      <c r="E556" s="322" t="s">
        <v>1783</v>
      </c>
      <c r="F556" s="515">
        <v>64664</v>
      </c>
      <c r="G556" s="324" t="s">
        <v>1114</v>
      </c>
      <c r="H556" s="324">
        <v>2024</v>
      </c>
      <c r="I556" s="324"/>
      <c r="J556" s="324"/>
      <c r="K556" s="324"/>
      <c r="L556" s="324"/>
      <c r="M556" s="324"/>
      <c r="N556" s="324"/>
      <c r="O556" s="324"/>
      <c r="P556" s="324"/>
      <c r="Q556" s="515">
        <v>64664</v>
      </c>
      <c r="R556" s="324"/>
      <c r="S556" s="324"/>
      <c r="T556" s="325">
        <f t="shared" si="8"/>
        <v>64664</v>
      </c>
    </row>
    <row r="557" spans="1:20" ht="18.75" x14ac:dyDescent="0.3">
      <c r="A557" s="537" t="s">
        <v>242</v>
      </c>
      <c r="B557" s="513">
        <v>45406</v>
      </c>
      <c r="C557" s="322"/>
      <c r="D557" s="331" t="s">
        <v>1784</v>
      </c>
      <c r="E557" s="322" t="s">
        <v>724</v>
      </c>
      <c r="F557" s="323">
        <v>74137.66</v>
      </c>
      <c r="G557" s="324" t="s">
        <v>1114</v>
      </c>
      <c r="H557" s="324">
        <v>2024</v>
      </c>
      <c r="I557" s="324"/>
      <c r="J557" s="324"/>
      <c r="K557" s="324"/>
      <c r="L557" s="324"/>
      <c r="M557" s="324"/>
      <c r="N557" s="324"/>
      <c r="O557" s="324"/>
      <c r="P557" s="324"/>
      <c r="Q557" s="323">
        <v>74137.66</v>
      </c>
      <c r="R557" s="324"/>
      <c r="S557" s="324"/>
      <c r="T557" s="325">
        <f t="shared" si="8"/>
        <v>74137.66</v>
      </c>
    </row>
    <row r="558" spans="1:20" ht="18.75" x14ac:dyDescent="0.3">
      <c r="A558" s="537" t="s">
        <v>242</v>
      </c>
      <c r="B558" s="513">
        <v>45406</v>
      </c>
      <c r="C558" s="322"/>
      <c r="D558" s="331" t="s">
        <v>1785</v>
      </c>
      <c r="E558" s="322" t="s">
        <v>724</v>
      </c>
      <c r="F558" s="323">
        <v>53118.15</v>
      </c>
      <c r="G558" s="324" t="s">
        <v>1114</v>
      </c>
      <c r="H558" s="324">
        <v>2024</v>
      </c>
      <c r="I558" s="324"/>
      <c r="J558" s="324"/>
      <c r="K558" s="324"/>
      <c r="L558" s="324"/>
      <c r="M558" s="324"/>
      <c r="N558" s="324"/>
      <c r="O558" s="324"/>
      <c r="P558" s="324"/>
      <c r="Q558" s="323">
        <v>53118.15</v>
      </c>
      <c r="R558" s="324"/>
      <c r="S558" s="324"/>
      <c r="T558" s="325">
        <f t="shared" si="8"/>
        <v>53118.15</v>
      </c>
    </row>
    <row r="559" spans="1:20" ht="18.75" x14ac:dyDescent="0.3">
      <c r="A559" s="537" t="s">
        <v>242</v>
      </c>
      <c r="B559" s="513">
        <v>45406</v>
      </c>
      <c r="C559" s="322"/>
      <c r="D559" s="331" t="s">
        <v>1786</v>
      </c>
      <c r="E559" s="322" t="s">
        <v>724</v>
      </c>
      <c r="F559" s="323">
        <v>23802.639999999999</v>
      </c>
      <c r="G559" s="324" t="s">
        <v>1114</v>
      </c>
      <c r="H559" s="324">
        <v>2024</v>
      </c>
      <c r="I559" s="324"/>
      <c r="J559" s="324"/>
      <c r="K559" s="324"/>
      <c r="L559" s="324"/>
      <c r="M559" s="324"/>
      <c r="N559" s="324"/>
      <c r="O559" s="324"/>
      <c r="P559" s="324"/>
      <c r="Q559" s="323">
        <v>23802.639999999999</v>
      </c>
      <c r="R559" s="324"/>
      <c r="S559" s="324"/>
      <c r="T559" s="325">
        <f t="shared" si="8"/>
        <v>23802.639999999999</v>
      </c>
    </row>
    <row r="560" spans="1:20" ht="18.75" x14ac:dyDescent="0.3">
      <c r="A560" s="513" t="s">
        <v>1070</v>
      </c>
      <c r="B560" s="513">
        <v>45406</v>
      </c>
      <c r="C560" s="514" t="s">
        <v>1604</v>
      </c>
      <c r="D560" s="321" t="s">
        <v>1787</v>
      </c>
      <c r="E560" s="322" t="s">
        <v>680</v>
      </c>
      <c r="F560" s="515">
        <v>236000</v>
      </c>
      <c r="G560" s="324" t="s">
        <v>1114</v>
      </c>
      <c r="H560" s="324">
        <v>2024</v>
      </c>
      <c r="I560" s="324"/>
      <c r="J560" s="324"/>
      <c r="K560" s="324"/>
      <c r="L560" s="324"/>
      <c r="M560" s="324"/>
      <c r="N560" s="324"/>
      <c r="O560" s="324"/>
      <c r="P560" s="324"/>
      <c r="Q560" s="515">
        <v>236000</v>
      </c>
      <c r="R560" s="324"/>
      <c r="S560" s="324"/>
      <c r="T560" s="325">
        <f t="shared" si="8"/>
        <v>236000</v>
      </c>
    </row>
    <row r="561" spans="1:20" ht="18.75" x14ac:dyDescent="0.3">
      <c r="A561" s="512" t="s">
        <v>387</v>
      </c>
      <c r="B561" s="527">
        <v>45406</v>
      </c>
      <c r="C561" s="531" t="s">
        <v>1390</v>
      </c>
      <c r="D561" s="342" t="s">
        <v>1391</v>
      </c>
      <c r="E561" s="343" t="s">
        <v>1136</v>
      </c>
      <c r="F561" s="532">
        <v>190500</v>
      </c>
      <c r="G561" s="324" t="s">
        <v>1114</v>
      </c>
      <c r="H561" s="324">
        <v>2024</v>
      </c>
      <c r="I561" s="324"/>
      <c r="J561" s="324"/>
      <c r="K561" s="324"/>
      <c r="L561" s="324"/>
      <c r="M561" s="324"/>
      <c r="N561" s="324"/>
      <c r="O561" s="324"/>
      <c r="P561" s="324"/>
      <c r="Q561" s="532">
        <v>190500</v>
      </c>
      <c r="R561" s="324"/>
      <c r="S561" s="324"/>
      <c r="T561" s="325">
        <f t="shared" si="8"/>
        <v>190500</v>
      </c>
    </row>
    <row r="562" spans="1:20" ht="18.75" x14ac:dyDescent="0.3">
      <c r="A562" s="513" t="s">
        <v>864</v>
      </c>
      <c r="B562" s="513">
        <v>45407</v>
      </c>
      <c r="C562" s="514" t="s">
        <v>1500</v>
      </c>
      <c r="D562" s="321" t="s">
        <v>1788</v>
      </c>
      <c r="E562" s="322" t="s">
        <v>1344</v>
      </c>
      <c r="F562" s="515">
        <v>113775</v>
      </c>
      <c r="G562" s="324" t="s">
        <v>1114</v>
      </c>
      <c r="H562" s="324">
        <v>2024</v>
      </c>
      <c r="I562" s="324"/>
      <c r="J562" s="324"/>
      <c r="K562" s="324"/>
      <c r="L562" s="324"/>
      <c r="M562" s="324"/>
      <c r="N562" s="324"/>
      <c r="O562" s="324"/>
      <c r="P562" s="324"/>
      <c r="Q562" s="515">
        <v>113775</v>
      </c>
      <c r="R562" s="324"/>
      <c r="S562" s="324"/>
      <c r="T562" s="325">
        <f t="shared" si="8"/>
        <v>113775</v>
      </c>
    </row>
    <row r="563" spans="1:20" ht="18.75" x14ac:dyDescent="0.3">
      <c r="A563" s="513" t="s">
        <v>864</v>
      </c>
      <c r="B563" s="513">
        <v>45407</v>
      </c>
      <c r="C563" s="514" t="s">
        <v>1399</v>
      </c>
      <c r="D563" s="321" t="s">
        <v>1400</v>
      </c>
      <c r="E563" s="322" t="s">
        <v>1344</v>
      </c>
      <c r="F563" s="515">
        <v>51962</v>
      </c>
      <c r="G563" s="324" t="s">
        <v>1114</v>
      </c>
      <c r="H563" s="324">
        <v>2024</v>
      </c>
      <c r="I563" s="324"/>
      <c r="J563" s="324"/>
      <c r="K563" s="324"/>
      <c r="L563" s="324"/>
      <c r="M563" s="324"/>
      <c r="N563" s="324"/>
      <c r="O563" s="324"/>
      <c r="P563" s="324"/>
      <c r="Q563" s="515">
        <v>51962</v>
      </c>
      <c r="R563" s="324"/>
      <c r="S563" s="324"/>
      <c r="T563" s="325">
        <f t="shared" si="8"/>
        <v>51962</v>
      </c>
    </row>
    <row r="564" spans="1:20" ht="18.75" x14ac:dyDescent="0.3">
      <c r="A564" s="513" t="s">
        <v>253</v>
      </c>
      <c r="B564" s="513">
        <v>45407</v>
      </c>
      <c r="C564" s="514" t="s">
        <v>1325</v>
      </c>
      <c r="D564" s="321" t="s">
        <v>921</v>
      </c>
      <c r="E564" s="322" t="s">
        <v>701</v>
      </c>
      <c r="F564" s="515">
        <v>1150</v>
      </c>
      <c r="G564" s="324" t="s">
        <v>1114</v>
      </c>
      <c r="H564" s="324">
        <v>2024</v>
      </c>
      <c r="I564" s="324"/>
      <c r="J564" s="324"/>
      <c r="K564" s="324"/>
      <c r="L564" s="324"/>
      <c r="M564" s="324"/>
      <c r="N564" s="324"/>
      <c r="O564" s="324"/>
      <c r="P564" s="324"/>
      <c r="Q564" s="515">
        <v>1150</v>
      </c>
      <c r="R564" s="324"/>
      <c r="S564" s="324"/>
      <c r="T564" s="325">
        <f t="shared" si="8"/>
        <v>1150</v>
      </c>
    </row>
    <row r="565" spans="1:20" ht="18.75" x14ac:dyDescent="0.3">
      <c r="A565" s="512" t="s">
        <v>929</v>
      </c>
      <c r="B565" s="513">
        <v>45407</v>
      </c>
      <c r="C565" s="514" t="s">
        <v>1392</v>
      </c>
      <c r="D565" s="321" t="s">
        <v>895</v>
      </c>
      <c r="E565" s="322" t="s">
        <v>680</v>
      </c>
      <c r="F565" s="515">
        <v>60770</v>
      </c>
      <c r="G565" s="324" t="s">
        <v>1114</v>
      </c>
      <c r="H565" s="324">
        <v>2024</v>
      </c>
      <c r="I565" s="324"/>
      <c r="J565" s="324"/>
      <c r="K565" s="324"/>
      <c r="L565" s="324"/>
      <c r="M565" s="324"/>
      <c r="N565" s="324"/>
      <c r="O565" s="324"/>
      <c r="P565" s="324"/>
      <c r="Q565" s="515">
        <v>60770</v>
      </c>
      <c r="R565" s="324"/>
      <c r="S565" s="324"/>
      <c r="T565" s="325">
        <f t="shared" si="8"/>
        <v>60770</v>
      </c>
    </row>
    <row r="566" spans="1:20" ht="18.75" x14ac:dyDescent="0.3">
      <c r="A566" s="513" t="s">
        <v>300</v>
      </c>
      <c r="B566" s="513">
        <v>45407</v>
      </c>
      <c r="C566" s="514" t="s">
        <v>1613</v>
      </c>
      <c r="D566" s="321" t="s">
        <v>1789</v>
      </c>
      <c r="E566" s="322" t="s">
        <v>1790</v>
      </c>
      <c r="F566" s="515">
        <v>32096</v>
      </c>
      <c r="G566" s="324" t="s">
        <v>1114</v>
      </c>
      <c r="H566" s="324">
        <v>2024</v>
      </c>
      <c r="I566" s="324"/>
      <c r="J566" s="324"/>
      <c r="K566" s="324"/>
      <c r="L566" s="324"/>
      <c r="M566" s="324"/>
      <c r="N566" s="324"/>
      <c r="O566" s="324"/>
      <c r="P566" s="324"/>
      <c r="Q566" s="515">
        <v>32096</v>
      </c>
      <c r="R566" s="324"/>
      <c r="S566" s="324"/>
      <c r="T566" s="325">
        <f t="shared" si="8"/>
        <v>32096</v>
      </c>
    </row>
    <row r="567" spans="1:20" ht="18.75" x14ac:dyDescent="0.3">
      <c r="A567" s="518" t="s">
        <v>1735</v>
      </c>
      <c r="B567" s="513">
        <v>45407</v>
      </c>
      <c r="C567" s="514" t="s">
        <v>1394</v>
      </c>
      <c r="D567" s="321" t="s">
        <v>1395</v>
      </c>
      <c r="E567" s="322" t="s">
        <v>680</v>
      </c>
      <c r="F567" s="515">
        <v>1387459.34</v>
      </c>
      <c r="G567" s="324" t="s">
        <v>1114</v>
      </c>
      <c r="H567" s="324">
        <v>2024</v>
      </c>
      <c r="I567" s="324"/>
      <c r="J567" s="324"/>
      <c r="K567" s="324"/>
      <c r="L567" s="324"/>
      <c r="M567" s="324"/>
      <c r="N567" s="324"/>
      <c r="O567" s="324"/>
      <c r="P567" s="324"/>
      <c r="Q567" s="515">
        <v>1387459.34</v>
      </c>
      <c r="R567" s="324"/>
      <c r="S567" s="324"/>
      <c r="T567" s="325">
        <f t="shared" si="8"/>
        <v>1387459.34</v>
      </c>
    </row>
    <row r="568" spans="1:20" ht="18.75" x14ac:dyDescent="0.3">
      <c r="A568" s="513" t="s">
        <v>358</v>
      </c>
      <c r="B568" s="513">
        <v>45407</v>
      </c>
      <c r="C568" s="514" t="s">
        <v>1595</v>
      </c>
      <c r="D568" s="321" t="s">
        <v>1791</v>
      </c>
      <c r="E568" s="322" t="s">
        <v>506</v>
      </c>
      <c r="F568" s="515">
        <v>140850</v>
      </c>
      <c r="G568" s="324" t="s">
        <v>1114</v>
      </c>
      <c r="H568" s="324">
        <v>2024</v>
      </c>
      <c r="I568" s="324"/>
      <c r="J568" s="324"/>
      <c r="K568" s="324"/>
      <c r="L568" s="324"/>
      <c r="M568" s="324"/>
      <c r="N568" s="324"/>
      <c r="O568" s="324"/>
      <c r="P568" s="324"/>
      <c r="Q568" s="515">
        <v>140850</v>
      </c>
      <c r="R568" s="324"/>
      <c r="S568" s="324"/>
      <c r="T568" s="325">
        <f t="shared" si="8"/>
        <v>140850</v>
      </c>
    </row>
    <row r="569" spans="1:20" ht="18.75" x14ac:dyDescent="0.3">
      <c r="A569" s="518" t="s">
        <v>857</v>
      </c>
      <c r="B569" s="512">
        <v>45407</v>
      </c>
      <c r="C569" s="521"/>
      <c r="D569" s="331" t="s">
        <v>1398</v>
      </c>
      <c r="E569" s="328" t="s">
        <v>1792</v>
      </c>
      <c r="F569" s="523">
        <v>271772.25</v>
      </c>
      <c r="G569" s="324" t="s">
        <v>1114</v>
      </c>
      <c r="H569" s="324">
        <v>2024</v>
      </c>
      <c r="I569" s="324"/>
      <c r="J569" s="324"/>
      <c r="K569" s="324"/>
      <c r="L569" s="324"/>
      <c r="M569" s="324"/>
      <c r="N569" s="324"/>
      <c r="O569" s="324"/>
      <c r="P569" s="324"/>
      <c r="Q569" s="523">
        <v>271772.25</v>
      </c>
      <c r="R569" s="324"/>
      <c r="S569" s="324"/>
      <c r="T569" s="325">
        <f t="shared" si="8"/>
        <v>271772.25</v>
      </c>
    </row>
    <row r="570" spans="1:20" ht="18.75" x14ac:dyDescent="0.3">
      <c r="A570" s="537" t="s">
        <v>242</v>
      </c>
      <c r="B570" s="513">
        <v>45408</v>
      </c>
      <c r="C570" s="322"/>
      <c r="D570" s="331" t="s">
        <v>1793</v>
      </c>
      <c r="E570" s="322" t="s">
        <v>724</v>
      </c>
      <c r="F570" s="323">
        <v>52154.83</v>
      </c>
      <c r="G570" s="324" t="s">
        <v>1114</v>
      </c>
      <c r="H570" s="324">
        <v>2024</v>
      </c>
      <c r="I570" s="324"/>
      <c r="J570" s="324"/>
      <c r="K570" s="324"/>
      <c r="L570" s="324"/>
      <c r="M570" s="324"/>
      <c r="N570" s="324"/>
      <c r="O570" s="324"/>
      <c r="P570" s="324"/>
      <c r="Q570" s="323">
        <v>52154.83</v>
      </c>
      <c r="R570" s="324"/>
      <c r="S570" s="324"/>
      <c r="T570" s="325">
        <f t="shared" si="8"/>
        <v>52154.83</v>
      </c>
    </row>
    <row r="571" spans="1:20" ht="18.75" x14ac:dyDescent="0.3">
      <c r="A571" s="512" t="s">
        <v>754</v>
      </c>
      <c r="B571" s="513">
        <v>45408</v>
      </c>
      <c r="C571" s="514" t="s">
        <v>1402</v>
      </c>
      <c r="D571" s="321" t="s">
        <v>1403</v>
      </c>
      <c r="E571" s="322" t="s">
        <v>1136</v>
      </c>
      <c r="F571" s="515">
        <v>141000</v>
      </c>
      <c r="G571" s="324" t="s">
        <v>1114</v>
      </c>
      <c r="H571" s="324">
        <v>2024</v>
      </c>
      <c r="I571" s="324"/>
      <c r="J571" s="324"/>
      <c r="K571" s="324"/>
      <c r="L571" s="324"/>
      <c r="M571" s="324"/>
      <c r="N571" s="324"/>
      <c r="O571" s="324"/>
      <c r="P571" s="324"/>
      <c r="Q571" s="515">
        <v>141000</v>
      </c>
      <c r="R571" s="324"/>
      <c r="S571" s="324"/>
      <c r="T571" s="325">
        <f t="shared" si="8"/>
        <v>141000</v>
      </c>
    </row>
    <row r="572" spans="1:20" ht="18.75" x14ac:dyDescent="0.3">
      <c r="A572" s="513" t="s">
        <v>447</v>
      </c>
      <c r="B572" s="512">
        <v>45408</v>
      </c>
      <c r="C572" s="524" t="s">
        <v>1401</v>
      </c>
      <c r="D572" s="330" t="s">
        <v>1303</v>
      </c>
      <c r="E572" s="328" t="s">
        <v>680</v>
      </c>
      <c r="F572" s="538">
        <v>188800</v>
      </c>
      <c r="G572" s="324" t="s">
        <v>1114</v>
      </c>
      <c r="H572" s="324">
        <v>2024</v>
      </c>
      <c r="I572" s="324"/>
      <c r="J572" s="324"/>
      <c r="K572" s="324"/>
      <c r="L572" s="324"/>
      <c r="M572" s="324"/>
      <c r="N572" s="324"/>
      <c r="O572" s="324"/>
      <c r="P572" s="324"/>
      <c r="Q572" s="538">
        <v>188800</v>
      </c>
      <c r="R572" s="324"/>
      <c r="S572" s="324"/>
      <c r="T572" s="325">
        <f t="shared" si="8"/>
        <v>188800</v>
      </c>
    </row>
    <row r="573" spans="1:20" ht="18.75" x14ac:dyDescent="0.3">
      <c r="A573" s="512" t="s">
        <v>1045</v>
      </c>
      <c r="B573" s="513">
        <v>45412</v>
      </c>
      <c r="C573" s="541" t="s">
        <v>1407</v>
      </c>
      <c r="D573" s="321" t="s">
        <v>1408</v>
      </c>
      <c r="E573" s="541" t="s">
        <v>506</v>
      </c>
      <c r="F573" s="515">
        <v>226745</v>
      </c>
      <c r="G573" s="324" t="s">
        <v>1114</v>
      </c>
      <c r="H573" s="324">
        <v>2024</v>
      </c>
      <c r="I573" s="324"/>
      <c r="J573" s="324"/>
      <c r="K573" s="324"/>
      <c r="L573" s="324"/>
      <c r="M573" s="324"/>
      <c r="N573" s="324"/>
      <c r="O573" s="324"/>
      <c r="P573" s="324"/>
      <c r="Q573" s="515">
        <v>226745</v>
      </c>
      <c r="R573" s="324"/>
      <c r="S573" s="324"/>
      <c r="T573" s="325">
        <f t="shared" si="8"/>
        <v>226745</v>
      </c>
    </row>
    <row r="574" spans="1:20" ht="18.75" x14ac:dyDescent="0.3">
      <c r="A574" s="512" t="s">
        <v>1153</v>
      </c>
      <c r="B574" s="513">
        <v>45412</v>
      </c>
      <c r="C574" s="514"/>
      <c r="D574" s="321" t="s">
        <v>1794</v>
      </c>
      <c r="E574" s="322" t="s">
        <v>1155</v>
      </c>
      <c r="F574" s="515">
        <v>6900</v>
      </c>
      <c r="G574" s="324" t="s">
        <v>1114</v>
      </c>
      <c r="H574" s="324">
        <v>2024</v>
      </c>
      <c r="I574" s="324"/>
      <c r="J574" s="324"/>
      <c r="K574" s="324"/>
      <c r="L574" s="324"/>
      <c r="M574" s="324"/>
      <c r="N574" s="324"/>
      <c r="O574" s="324"/>
      <c r="P574" s="324"/>
      <c r="Q574" s="515">
        <v>6900</v>
      </c>
      <c r="R574" s="324"/>
      <c r="S574" s="324"/>
      <c r="T574" s="325">
        <f t="shared" si="8"/>
        <v>6900</v>
      </c>
    </row>
    <row r="575" spans="1:20" s="520" customFormat="1" ht="18.75" x14ac:dyDescent="0.3">
      <c r="A575" s="512" t="s">
        <v>904</v>
      </c>
      <c r="B575" s="513">
        <v>45412</v>
      </c>
      <c r="C575" s="514"/>
      <c r="D575" s="321" t="s">
        <v>1795</v>
      </c>
      <c r="E575" s="322" t="s">
        <v>905</v>
      </c>
      <c r="F575" s="515">
        <v>39000</v>
      </c>
      <c r="G575" s="324" t="s">
        <v>1114</v>
      </c>
      <c r="H575" s="324">
        <v>2024</v>
      </c>
      <c r="I575" s="519"/>
      <c r="J575" s="519"/>
      <c r="K575" s="519"/>
      <c r="L575" s="519"/>
      <c r="M575" s="519"/>
      <c r="N575" s="519"/>
      <c r="O575" s="519"/>
      <c r="P575" s="519"/>
      <c r="Q575" s="515">
        <v>39000</v>
      </c>
      <c r="R575" s="519"/>
      <c r="S575" s="519"/>
      <c r="T575" s="325">
        <f t="shared" si="8"/>
        <v>39000</v>
      </c>
    </row>
    <row r="576" spans="1:20" s="520" customFormat="1" ht="18.75" x14ac:dyDescent="0.3">
      <c r="A576" s="512" t="s">
        <v>271</v>
      </c>
      <c r="B576" s="512">
        <v>45412</v>
      </c>
      <c r="C576" s="521" t="s">
        <v>1648</v>
      </c>
      <c r="D576" s="321" t="s">
        <v>1796</v>
      </c>
      <c r="E576" s="328" t="s">
        <v>680</v>
      </c>
      <c r="F576" s="522">
        <v>149665.29999999999</v>
      </c>
      <c r="G576" s="324" t="s">
        <v>1114</v>
      </c>
      <c r="H576" s="324">
        <v>2024</v>
      </c>
      <c r="I576" s="519"/>
      <c r="J576" s="519"/>
      <c r="K576" s="519"/>
      <c r="L576" s="519"/>
      <c r="M576" s="519"/>
      <c r="N576" s="519"/>
      <c r="O576" s="519"/>
      <c r="P576" s="519"/>
      <c r="Q576" s="522">
        <v>149665.29999999999</v>
      </c>
      <c r="R576" s="519"/>
      <c r="S576" s="519"/>
      <c r="T576" s="325">
        <f t="shared" si="8"/>
        <v>149665.29999999999</v>
      </c>
    </row>
    <row r="577" spans="1:20" s="520" customFormat="1" ht="18.75" x14ac:dyDescent="0.3">
      <c r="A577" s="512" t="s">
        <v>1404</v>
      </c>
      <c r="B577" s="513">
        <v>45412</v>
      </c>
      <c r="C577" s="514" t="s">
        <v>1405</v>
      </c>
      <c r="D577" s="321" t="s">
        <v>846</v>
      </c>
      <c r="E577" s="322" t="s">
        <v>1406</v>
      </c>
      <c r="F577" s="515">
        <v>117882</v>
      </c>
      <c r="G577" s="324" t="s">
        <v>1114</v>
      </c>
      <c r="H577" s="324">
        <v>2024</v>
      </c>
      <c r="I577" s="519"/>
      <c r="J577" s="519"/>
      <c r="K577" s="519"/>
      <c r="L577" s="519"/>
      <c r="M577" s="519"/>
      <c r="N577" s="519"/>
      <c r="O577" s="519"/>
      <c r="P577" s="519"/>
      <c r="Q577" s="515">
        <v>117882</v>
      </c>
      <c r="R577" s="519"/>
      <c r="S577" s="519"/>
      <c r="T577" s="325">
        <f t="shared" si="8"/>
        <v>117882</v>
      </c>
    </row>
    <row r="578" spans="1:20" ht="37.5" x14ac:dyDescent="0.3">
      <c r="A578" s="512" t="s">
        <v>396</v>
      </c>
      <c r="B578" s="513">
        <v>45412</v>
      </c>
      <c r="C578" s="514"/>
      <c r="D578" s="321" t="s">
        <v>1797</v>
      </c>
      <c r="E578" s="322" t="s">
        <v>916</v>
      </c>
      <c r="F578" s="515">
        <v>85925</v>
      </c>
      <c r="G578" s="324" t="s">
        <v>1114</v>
      </c>
      <c r="H578" s="324">
        <v>2024</v>
      </c>
      <c r="I578" s="324"/>
      <c r="J578" s="324"/>
      <c r="K578" s="324"/>
      <c r="L578" s="324"/>
      <c r="M578" s="324"/>
      <c r="N578" s="324"/>
      <c r="O578" s="324"/>
      <c r="P578" s="324"/>
      <c r="Q578" s="515">
        <v>85925</v>
      </c>
      <c r="R578" s="324"/>
      <c r="S578" s="324"/>
      <c r="T578" s="325">
        <f t="shared" si="8"/>
        <v>85925</v>
      </c>
    </row>
    <row r="579" spans="1:20" ht="18.75" x14ac:dyDescent="0.3">
      <c r="A579" s="512" t="s">
        <v>681</v>
      </c>
      <c r="B579" s="513">
        <v>45413</v>
      </c>
      <c r="C579" s="514" t="s">
        <v>1798</v>
      </c>
      <c r="D579" s="321" t="s">
        <v>1799</v>
      </c>
      <c r="E579" s="322" t="s">
        <v>755</v>
      </c>
      <c r="F579" s="515">
        <v>163750</v>
      </c>
      <c r="G579" s="324" t="s">
        <v>1114</v>
      </c>
      <c r="H579" s="324">
        <v>2024</v>
      </c>
      <c r="I579" s="324"/>
      <c r="J579" s="324"/>
      <c r="K579" s="324"/>
      <c r="L579" s="324"/>
      <c r="M579" s="324"/>
      <c r="N579" s="324"/>
      <c r="O579" s="324"/>
      <c r="P579" s="324"/>
      <c r="Q579" s="324"/>
      <c r="R579" s="515">
        <v>163750</v>
      </c>
      <c r="S579" s="324"/>
      <c r="T579" s="325">
        <f t="shared" si="8"/>
        <v>163750</v>
      </c>
    </row>
    <row r="580" spans="1:20" ht="18.75" x14ac:dyDescent="0.3">
      <c r="A580" s="512" t="s">
        <v>445</v>
      </c>
      <c r="B580" s="513">
        <v>45413</v>
      </c>
      <c r="C580" s="514" t="s">
        <v>1663</v>
      </c>
      <c r="D580" s="341" t="s">
        <v>1800</v>
      </c>
      <c r="E580" s="322" t="s">
        <v>1801</v>
      </c>
      <c r="F580" s="515">
        <v>112100</v>
      </c>
      <c r="G580" s="324" t="s">
        <v>1114</v>
      </c>
      <c r="H580" s="324">
        <v>2024</v>
      </c>
      <c r="I580" s="324"/>
      <c r="J580" s="324"/>
      <c r="K580" s="324"/>
      <c r="L580" s="324"/>
      <c r="M580" s="324"/>
      <c r="N580" s="324"/>
      <c r="O580" s="324"/>
      <c r="P580" s="324"/>
      <c r="Q580" s="324"/>
      <c r="R580" s="515">
        <v>112100</v>
      </c>
      <c r="S580" s="324"/>
      <c r="T580" s="325">
        <f t="shared" si="8"/>
        <v>112100</v>
      </c>
    </row>
    <row r="581" spans="1:20" ht="18.75" x14ac:dyDescent="0.3">
      <c r="A581" s="512" t="s">
        <v>849</v>
      </c>
      <c r="B581" s="513">
        <v>45414</v>
      </c>
      <c r="C581" s="514" t="s">
        <v>1802</v>
      </c>
      <c r="D581" s="321" t="s">
        <v>1803</v>
      </c>
      <c r="E581" s="322" t="s">
        <v>850</v>
      </c>
      <c r="F581" s="515">
        <v>215940</v>
      </c>
      <c r="G581" s="324" t="s">
        <v>1114</v>
      </c>
      <c r="H581" s="324">
        <v>2024</v>
      </c>
      <c r="I581" s="324"/>
      <c r="J581" s="324"/>
      <c r="K581" s="324"/>
      <c r="L581" s="324"/>
      <c r="M581" s="324"/>
      <c r="N581" s="324"/>
      <c r="O581" s="324"/>
      <c r="P581" s="324"/>
      <c r="Q581" s="324"/>
      <c r="R581" s="515">
        <v>215940</v>
      </c>
      <c r="S581" s="324"/>
      <c r="T581" s="325">
        <f t="shared" si="8"/>
        <v>215940</v>
      </c>
    </row>
    <row r="582" spans="1:20" ht="18.75" x14ac:dyDescent="0.3">
      <c r="A582" s="537" t="s">
        <v>242</v>
      </c>
      <c r="B582" s="513">
        <v>45414</v>
      </c>
      <c r="C582" s="322"/>
      <c r="D582" s="331" t="s">
        <v>1804</v>
      </c>
      <c r="E582" s="322" t="s">
        <v>724</v>
      </c>
      <c r="F582" s="323">
        <v>49425.1</v>
      </c>
      <c r="G582" s="324" t="s">
        <v>1114</v>
      </c>
      <c r="H582" s="324">
        <v>2024</v>
      </c>
      <c r="I582" s="324"/>
      <c r="J582" s="324"/>
      <c r="K582" s="324"/>
      <c r="L582" s="324"/>
      <c r="M582" s="324"/>
      <c r="N582" s="324"/>
      <c r="O582" s="324"/>
      <c r="P582" s="324"/>
      <c r="Q582" s="324"/>
      <c r="R582" s="323">
        <v>49425.1</v>
      </c>
      <c r="S582" s="324"/>
      <c r="T582" s="325">
        <f t="shared" si="8"/>
        <v>49425.1</v>
      </c>
    </row>
    <row r="583" spans="1:20" ht="18.75" x14ac:dyDescent="0.3">
      <c r="A583" s="537" t="s">
        <v>242</v>
      </c>
      <c r="B583" s="513">
        <v>45414</v>
      </c>
      <c r="C583" s="322"/>
      <c r="D583" s="331" t="s">
        <v>1805</v>
      </c>
      <c r="E583" s="322" t="s">
        <v>724</v>
      </c>
      <c r="F583" s="323">
        <v>50551.65</v>
      </c>
      <c r="G583" s="324" t="s">
        <v>1114</v>
      </c>
      <c r="H583" s="324">
        <v>2024</v>
      </c>
      <c r="I583" s="324"/>
      <c r="J583" s="324"/>
      <c r="K583" s="324"/>
      <c r="L583" s="324"/>
      <c r="M583" s="324"/>
      <c r="N583" s="324"/>
      <c r="O583" s="324"/>
      <c r="P583" s="324"/>
      <c r="Q583" s="324"/>
      <c r="R583" s="323">
        <v>50551.65</v>
      </c>
      <c r="S583" s="324"/>
      <c r="T583" s="325">
        <f t="shared" si="8"/>
        <v>50551.65</v>
      </c>
    </row>
    <row r="584" spans="1:20" ht="18.75" x14ac:dyDescent="0.3">
      <c r="A584" s="537" t="s">
        <v>242</v>
      </c>
      <c r="B584" s="513">
        <v>45414</v>
      </c>
      <c r="C584" s="322"/>
      <c r="D584" s="331" t="s">
        <v>1806</v>
      </c>
      <c r="E584" s="322" t="s">
        <v>724</v>
      </c>
      <c r="F584" s="323">
        <v>28483.95</v>
      </c>
      <c r="G584" s="324" t="s">
        <v>1114</v>
      </c>
      <c r="H584" s="324">
        <v>2024</v>
      </c>
      <c r="I584" s="324"/>
      <c r="J584" s="324"/>
      <c r="K584" s="324"/>
      <c r="L584" s="324"/>
      <c r="M584" s="324"/>
      <c r="N584" s="324"/>
      <c r="O584" s="324"/>
      <c r="P584" s="324"/>
      <c r="Q584" s="324"/>
      <c r="R584" s="323">
        <v>28483.95</v>
      </c>
      <c r="S584" s="324"/>
      <c r="T584" s="325">
        <f t="shared" si="8"/>
        <v>28483.95</v>
      </c>
    </row>
    <row r="585" spans="1:20" ht="18.75" x14ac:dyDescent="0.3">
      <c r="A585" s="512" t="s">
        <v>806</v>
      </c>
      <c r="B585" s="512">
        <v>45414</v>
      </c>
      <c r="C585" s="521"/>
      <c r="D585" s="331" t="s">
        <v>1807</v>
      </c>
      <c r="E585" s="332" t="s">
        <v>755</v>
      </c>
      <c r="F585" s="522">
        <v>224000</v>
      </c>
      <c r="G585" s="324" t="s">
        <v>1114</v>
      </c>
      <c r="H585" s="324">
        <v>2024</v>
      </c>
      <c r="I585" s="324"/>
      <c r="J585" s="324"/>
      <c r="K585" s="324"/>
      <c r="L585" s="324"/>
      <c r="M585" s="324"/>
      <c r="N585" s="324"/>
      <c r="O585" s="324"/>
      <c r="P585" s="324"/>
      <c r="Q585" s="324"/>
      <c r="R585" s="522">
        <v>224000</v>
      </c>
      <c r="S585" s="324"/>
      <c r="T585" s="325">
        <f t="shared" si="8"/>
        <v>224000</v>
      </c>
    </row>
    <row r="586" spans="1:20" ht="18.75" x14ac:dyDescent="0.3">
      <c r="A586" s="513" t="s">
        <v>253</v>
      </c>
      <c r="B586" s="513">
        <v>45414</v>
      </c>
      <c r="C586" s="514" t="s">
        <v>1758</v>
      </c>
      <c r="D586" s="321" t="s">
        <v>1808</v>
      </c>
      <c r="E586" s="322" t="s">
        <v>701</v>
      </c>
      <c r="F586" s="515">
        <v>1150</v>
      </c>
      <c r="G586" s="324" t="s">
        <v>1114</v>
      </c>
      <c r="H586" s="324">
        <v>2024</v>
      </c>
      <c r="I586" s="324"/>
      <c r="J586" s="324"/>
      <c r="K586" s="324"/>
      <c r="L586" s="324"/>
      <c r="M586" s="324"/>
      <c r="N586" s="324"/>
      <c r="O586" s="324"/>
      <c r="P586" s="324"/>
      <c r="Q586" s="324"/>
      <c r="R586" s="515">
        <v>1150</v>
      </c>
      <c r="S586" s="324"/>
      <c r="T586" s="325">
        <f t="shared" si="8"/>
        <v>1150</v>
      </c>
    </row>
    <row r="587" spans="1:20" ht="18.75" x14ac:dyDescent="0.3">
      <c r="A587" s="537" t="s">
        <v>242</v>
      </c>
      <c r="B587" s="513">
        <v>45415</v>
      </c>
      <c r="C587" s="322"/>
      <c r="D587" s="331" t="s">
        <v>1809</v>
      </c>
      <c r="E587" s="322" t="s">
        <v>724</v>
      </c>
      <c r="F587" s="323">
        <v>23802.91</v>
      </c>
      <c r="G587" s="324" t="s">
        <v>1114</v>
      </c>
      <c r="H587" s="324">
        <v>2024</v>
      </c>
      <c r="I587" s="324"/>
      <c r="J587" s="324"/>
      <c r="K587" s="324"/>
      <c r="L587" s="324"/>
      <c r="M587" s="324"/>
      <c r="N587" s="324"/>
      <c r="O587" s="324"/>
      <c r="P587" s="324"/>
      <c r="Q587" s="324"/>
      <c r="R587" s="323">
        <v>23802.91</v>
      </c>
      <c r="S587" s="324"/>
      <c r="T587" s="325">
        <f t="shared" ref="T587:T650" si="9">SUM(I587:S587)</f>
        <v>23802.91</v>
      </c>
    </row>
    <row r="588" spans="1:20" ht="18.75" x14ac:dyDescent="0.3">
      <c r="A588" s="537" t="s">
        <v>242</v>
      </c>
      <c r="B588" s="513">
        <v>45415</v>
      </c>
      <c r="C588" s="322"/>
      <c r="D588" s="331" t="s">
        <v>1810</v>
      </c>
      <c r="E588" s="322" t="s">
        <v>724</v>
      </c>
      <c r="F588" s="323">
        <v>25622.46</v>
      </c>
      <c r="G588" s="324" t="s">
        <v>1114</v>
      </c>
      <c r="H588" s="324">
        <v>2024</v>
      </c>
      <c r="I588" s="324"/>
      <c r="J588" s="324"/>
      <c r="K588" s="324"/>
      <c r="L588" s="324"/>
      <c r="M588" s="324"/>
      <c r="N588" s="324"/>
      <c r="O588" s="324"/>
      <c r="P588" s="324"/>
      <c r="Q588" s="324"/>
      <c r="R588" s="323">
        <v>25622.46</v>
      </c>
      <c r="S588" s="324"/>
      <c r="T588" s="325">
        <f t="shared" si="9"/>
        <v>25622.46</v>
      </c>
    </row>
    <row r="589" spans="1:20" ht="18.75" x14ac:dyDescent="0.3">
      <c r="A589" s="537" t="s">
        <v>242</v>
      </c>
      <c r="B589" s="513">
        <v>45415</v>
      </c>
      <c r="C589" s="322"/>
      <c r="D589" s="331" t="s">
        <v>1811</v>
      </c>
      <c r="E589" s="322" t="s">
        <v>724</v>
      </c>
      <c r="F589" s="323">
        <v>26532.37</v>
      </c>
      <c r="G589" s="324" t="s">
        <v>1114</v>
      </c>
      <c r="H589" s="324">
        <v>2024</v>
      </c>
      <c r="I589" s="324"/>
      <c r="J589" s="324"/>
      <c r="K589" s="324"/>
      <c r="L589" s="324"/>
      <c r="M589" s="324"/>
      <c r="N589" s="324"/>
      <c r="O589" s="324"/>
      <c r="P589" s="324"/>
      <c r="Q589" s="324"/>
      <c r="R589" s="323">
        <v>26532.37</v>
      </c>
      <c r="S589" s="324"/>
      <c r="T589" s="325">
        <f t="shared" si="9"/>
        <v>26532.37</v>
      </c>
    </row>
    <row r="590" spans="1:20" ht="18.75" x14ac:dyDescent="0.3">
      <c r="A590" s="319" t="s">
        <v>1156</v>
      </c>
      <c r="B590" s="513">
        <v>45416</v>
      </c>
      <c r="C590" s="514" t="s">
        <v>1812</v>
      </c>
      <c r="D590" s="321" t="s">
        <v>1813</v>
      </c>
      <c r="E590" s="322" t="s">
        <v>1202</v>
      </c>
      <c r="F590" s="515">
        <v>9420</v>
      </c>
      <c r="G590" s="324" t="s">
        <v>1114</v>
      </c>
      <c r="H590" s="324">
        <v>2024</v>
      </c>
      <c r="I590" s="324"/>
      <c r="J590" s="324"/>
      <c r="K590" s="324"/>
      <c r="L590" s="324"/>
      <c r="M590" s="324"/>
      <c r="N590" s="324"/>
      <c r="O590" s="324"/>
      <c r="P590" s="324"/>
      <c r="Q590" s="324"/>
      <c r="R590" s="515">
        <v>9420</v>
      </c>
      <c r="S590" s="324"/>
      <c r="T590" s="325">
        <f t="shared" si="9"/>
        <v>9420</v>
      </c>
    </row>
    <row r="591" spans="1:20" ht="18.75" x14ac:dyDescent="0.3">
      <c r="A591" s="537" t="s">
        <v>242</v>
      </c>
      <c r="B591" s="513">
        <v>45416</v>
      </c>
      <c r="C591" s="322"/>
      <c r="D591" s="331" t="s">
        <v>1814</v>
      </c>
      <c r="E591" s="322" t="s">
        <v>724</v>
      </c>
      <c r="F591" s="323">
        <v>26849.91</v>
      </c>
      <c r="G591" s="324" t="s">
        <v>1114</v>
      </c>
      <c r="H591" s="324">
        <v>2024</v>
      </c>
      <c r="I591" s="324"/>
      <c r="J591" s="324"/>
      <c r="K591" s="324"/>
      <c r="L591" s="324"/>
      <c r="M591" s="324"/>
      <c r="N591" s="324"/>
      <c r="O591" s="324"/>
      <c r="P591" s="324"/>
      <c r="Q591" s="324"/>
      <c r="R591" s="323">
        <v>26849.91</v>
      </c>
      <c r="S591" s="324"/>
      <c r="T591" s="325">
        <f t="shared" si="9"/>
        <v>26849.91</v>
      </c>
    </row>
    <row r="592" spans="1:20" ht="18.75" x14ac:dyDescent="0.3">
      <c r="A592" s="513" t="s">
        <v>240</v>
      </c>
      <c r="B592" s="513">
        <v>45418</v>
      </c>
      <c r="C592" s="514" t="s">
        <v>1628</v>
      </c>
      <c r="D592" s="346" t="s">
        <v>1025</v>
      </c>
      <c r="E592" s="322" t="s">
        <v>1815</v>
      </c>
      <c r="F592" s="515">
        <v>13688</v>
      </c>
      <c r="G592" s="324" t="s">
        <v>1114</v>
      </c>
      <c r="H592" s="324">
        <v>2024</v>
      </c>
      <c r="I592" s="324"/>
      <c r="J592" s="324"/>
      <c r="K592" s="324"/>
      <c r="L592" s="324"/>
      <c r="M592" s="324"/>
      <c r="N592" s="324"/>
      <c r="O592" s="324"/>
      <c r="P592" s="324"/>
      <c r="Q592" s="324"/>
      <c r="R592" s="515">
        <v>13688</v>
      </c>
      <c r="S592" s="324"/>
      <c r="T592" s="325">
        <f t="shared" si="9"/>
        <v>13688</v>
      </c>
    </row>
    <row r="593" spans="1:20" ht="18.75" x14ac:dyDescent="0.3">
      <c r="A593" s="537" t="s">
        <v>242</v>
      </c>
      <c r="B593" s="513">
        <v>45418</v>
      </c>
      <c r="C593" s="322"/>
      <c r="D593" s="331" t="s">
        <v>1816</v>
      </c>
      <c r="E593" s="322" t="s">
        <v>724</v>
      </c>
      <c r="F593" s="323">
        <v>50335.01</v>
      </c>
      <c r="G593" s="324" t="s">
        <v>1114</v>
      </c>
      <c r="H593" s="324">
        <v>2024</v>
      </c>
      <c r="I593" s="324"/>
      <c r="J593" s="324"/>
      <c r="K593" s="324"/>
      <c r="L593" s="324"/>
      <c r="M593" s="324"/>
      <c r="N593" s="324"/>
      <c r="O593" s="324"/>
      <c r="P593" s="324"/>
      <c r="Q593" s="324"/>
      <c r="R593" s="323">
        <v>50335.01</v>
      </c>
      <c r="S593" s="324"/>
      <c r="T593" s="325">
        <f t="shared" si="9"/>
        <v>50335.01</v>
      </c>
    </row>
    <row r="594" spans="1:20" ht="18.75" x14ac:dyDescent="0.3">
      <c r="A594" s="512" t="s">
        <v>1817</v>
      </c>
      <c r="B594" s="513">
        <v>45418</v>
      </c>
      <c r="C594" s="514" t="s">
        <v>1523</v>
      </c>
      <c r="D594" s="321" t="s">
        <v>1020</v>
      </c>
      <c r="E594" s="322" t="s">
        <v>1818</v>
      </c>
      <c r="F594" s="515">
        <v>89562</v>
      </c>
      <c r="G594" s="324" t="s">
        <v>1114</v>
      </c>
      <c r="H594" s="324">
        <v>2024</v>
      </c>
      <c r="I594" s="324"/>
      <c r="J594" s="324"/>
      <c r="K594" s="324"/>
      <c r="L594" s="324"/>
      <c r="M594" s="324"/>
      <c r="N594" s="324"/>
      <c r="O594" s="324"/>
      <c r="P594" s="324"/>
      <c r="Q594" s="324"/>
      <c r="R594" s="515">
        <v>89562</v>
      </c>
      <c r="S594" s="324"/>
      <c r="T594" s="325">
        <f t="shared" si="9"/>
        <v>89562</v>
      </c>
    </row>
    <row r="595" spans="1:20" ht="37.5" x14ac:dyDescent="0.3">
      <c r="A595" s="512" t="s">
        <v>1819</v>
      </c>
      <c r="B595" s="513">
        <v>45418</v>
      </c>
      <c r="C595" s="541" t="s">
        <v>1820</v>
      </c>
      <c r="D595" s="321" t="s">
        <v>1303</v>
      </c>
      <c r="E595" s="541" t="s">
        <v>1821</v>
      </c>
      <c r="F595" s="515">
        <v>151040</v>
      </c>
      <c r="G595" s="324" t="s">
        <v>1114</v>
      </c>
      <c r="H595" s="324">
        <v>2024</v>
      </c>
      <c r="I595" s="324"/>
      <c r="J595" s="324"/>
      <c r="K595" s="324"/>
      <c r="L595" s="324"/>
      <c r="M595" s="324"/>
      <c r="N595" s="324"/>
      <c r="O595" s="324"/>
      <c r="P595" s="324"/>
      <c r="Q595" s="324"/>
      <c r="R595" s="515">
        <v>151040</v>
      </c>
      <c r="S595" s="324"/>
      <c r="T595" s="325">
        <f t="shared" si="9"/>
        <v>151040</v>
      </c>
    </row>
    <row r="596" spans="1:20" ht="18.75" x14ac:dyDescent="0.3">
      <c r="A596" s="512" t="s">
        <v>387</v>
      </c>
      <c r="B596" s="527">
        <v>45418</v>
      </c>
      <c r="C596" s="531" t="s">
        <v>1822</v>
      </c>
      <c r="D596" s="342" t="s">
        <v>1823</v>
      </c>
      <c r="E596" s="343" t="s">
        <v>1824</v>
      </c>
      <c r="F596" s="532">
        <v>25000</v>
      </c>
      <c r="G596" s="324" t="s">
        <v>1114</v>
      </c>
      <c r="H596" s="324">
        <v>2024</v>
      </c>
      <c r="I596" s="324"/>
      <c r="J596" s="324"/>
      <c r="K596" s="324"/>
      <c r="L596" s="324"/>
      <c r="M596" s="324"/>
      <c r="N596" s="324"/>
      <c r="O596" s="324"/>
      <c r="P596" s="324"/>
      <c r="Q596" s="324"/>
      <c r="R596" s="532">
        <v>25000</v>
      </c>
      <c r="S596" s="324"/>
      <c r="T596" s="325">
        <f t="shared" si="9"/>
        <v>25000</v>
      </c>
    </row>
    <row r="597" spans="1:20" ht="18.75" x14ac:dyDescent="0.3">
      <c r="A597" s="513" t="s">
        <v>240</v>
      </c>
      <c r="B597" s="513">
        <v>45419</v>
      </c>
      <c r="C597" s="514" t="s">
        <v>1825</v>
      </c>
      <c r="D597" s="346" t="s">
        <v>705</v>
      </c>
      <c r="E597" s="322" t="s">
        <v>1826</v>
      </c>
      <c r="F597" s="515">
        <v>224790</v>
      </c>
      <c r="G597" s="324" t="s">
        <v>1114</v>
      </c>
      <c r="H597" s="324">
        <v>2024</v>
      </c>
      <c r="I597" s="324"/>
      <c r="J597" s="324"/>
      <c r="K597" s="324"/>
      <c r="L597" s="324"/>
      <c r="M597" s="324"/>
      <c r="N597" s="324"/>
      <c r="O597" s="324"/>
      <c r="P597" s="324"/>
      <c r="Q597" s="324"/>
      <c r="R597" s="515">
        <v>224790</v>
      </c>
      <c r="S597" s="324"/>
      <c r="T597" s="325">
        <f t="shared" si="9"/>
        <v>224790</v>
      </c>
    </row>
    <row r="598" spans="1:20" ht="18.75" x14ac:dyDescent="0.3">
      <c r="A598" s="537" t="s">
        <v>242</v>
      </c>
      <c r="B598" s="513">
        <v>45419</v>
      </c>
      <c r="C598" s="322"/>
      <c r="D598" s="331" t="s">
        <v>1827</v>
      </c>
      <c r="E598" s="322" t="s">
        <v>724</v>
      </c>
      <c r="F598" s="323">
        <v>26532.37</v>
      </c>
      <c r="G598" s="324" t="s">
        <v>1114</v>
      </c>
      <c r="H598" s="324">
        <v>2024</v>
      </c>
      <c r="I598" s="324"/>
      <c r="J598" s="324"/>
      <c r="K598" s="324"/>
      <c r="L598" s="324"/>
      <c r="M598" s="324"/>
      <c r="N598" s="324"/>
      <c r="O598" s="324"/>
      <c r="P598" s="324"/>
      <c r="Q598" s="324"/>
      <c r="R598" s="323">
        <v>26532.37</v>
      </c>
      <c r="S598" s="324"/>
      <c r="T598" s="325">
        <f t="shared" si="9"/>
        <v>26532.37</v>
      </c>
    </row>
    <row r="599" spans="1:20" ht="18.75" x14ac:dyDescent="0.3">
      <c r="A599" s="537" t="s">
        <v>242</v>
      </c>
      <c r="B599" s="513">
        <v>45419</v>
      </c>
      <c r="C599" s="322"/>
      <c r="D599" s="331" t="s">
        <v>1828</v>
      </c>
      <c r="E599" s="322" t="s">
        <v>724</v>
      </c>
      <c r="F599" s="323">
        <v>46268.4</v>
      </c>
      <c r="G599" s="324" t="s">
        <v>1114</v>
      </c>
      <c r="H599" s="324">
        <v>2024</v>
      </c>
      <c r="I599" s="324"/>
      <c r="J599" s="324"/>
      <c r="K599" s="324"/>
      <c r="L599" s="324"/>
      <c r="M599" s="324"/>
      <c r="N599" s="324"/>
      <c r="O599" s="324"/>
      <c r="P599" s="324"/>
      <c r="Q599" s="324"/>
      <c r="R599" s="323">
        <v>46268.4</v>
      </c>
      <c r="S599" s="324"/>
      <c r="T599" s="325">
        <f t="shared" si="9"/>
        <v>46268.4</v>
      </c>
    </row>
    <row r="600" spans="1:20" ht="18.75" x14ac:dyDescent="0.3">
      <c r="A600" s="513" t="s">
        <v>440</v>
      </c>
      <c r="B600" s="513">
        <v>45419</v>
      </c>
      <c r="C600" s="514" t="s">
        <v>1829</v>
      </c>
      <c r="D600" s="321" t="s">
        <v>949</v>
      </c>
      <c r="E600" s="322" t="s">
        <v>1830</v>
      </c>
      <c r="F600" s="515">
        <v>113375.82</v>
      </c>
      <c r="G600" s="324" t="s">
        <v>1114</v>
      </c>
      <c r="H600" s="324">
        <v>2024</v>
      </c>
      <c r="I600" s="324"/>
      <c r="J600" s="324"/>
      <c r="K600" s="324"/>
      <c r="L600" s="324"/>
      <c r="M600" s="324"/>
      <c r="N600" s="324"/>
      <c r="O600" s="324"/>
      <c r="P600" s="324"/>
      <c r="Q600" s="324"/>
      <c r="R600" s="515">
        <v>113375.82</v>
      </c>
      <c r="S600" s="324"/>
      <c r="T600" s="325">
        <f t="shared" si="9"/>
        <v>113375.82</v>
      </c>
    </row>
    <row r="601" spans="1:20" ht="18.75" x14ac:dyDescent="0.3">
      <c r="A601" s="537" t="s">
        <v>242</v>
      </c>
      <c r="B601" s="513">
        <v>45420</v>
      </c>
      <c r="C601" s="322"/>
      <c r="D601" s="331" t="s">
        <v>1831</v>
      </c>
      <c r="E601" s="322" t="s">
        <v>724</v>
      </c>
      <c r="F601" s="323">
        <v>27442.28</v>
      </c>
      <c r="G601" s="324" t="s">
        <v>1114</v>
      </c>
      <c r="H601" s="324">
        <v>2024</v>
      </c>
      <c r="I601" s="324"/>
      <c r="J601" s="324"/>
      <c r="K601" s="324"/>
      <c r="L601" s="324"/>
      <c r="M601" s="324"/>
      <c r="N601" s="324"/>
      <c r="O601" s="324"/>
      <c r="P601" s="324"/>
      <c r="Q601" s="324"/>
      <c r="R601" s="323">
        <v>27442.28</v>
      </c>
      <c r="S601" s="324"/>
      <c r="T601" s="325">
        <f t="shared" si="9"/>
        <v>27442.28</v>
      </c>
    </row>
    <row r="602" spans="1:20" ht="18.75" x14ac:dyDescent="0.3">
      <c r="A602" s="512" t="s">
        <v>1045</v>
      </c>
      <c r="B602" s="513">
        <v>45420</v>
      </c>
      <c r="C602" s="541" t="s">
        <v>1832</v>
      </c>
      <c r="D602" s="321" t="s">
        <v>1833</v>
      </c>
      <c r="E602" s="541" t="s">
        <v>1834</v>
      </c>
      <c r="F602" s="515">
        <v>245000</v>
      </c>
      <c r="G602" s="324" t="s">
        <v>1114</v>
      </c>
      <c r="H602" s="324">
        <v>2024</v>
      </c>
      <c r="I602" s="324"/>
      <c r="J602" s="324"/>
      <c r="K602" s="324"/>
      <c r="L602" s="324"/>
      <c r="M602" s="324"/>
      <c r="N602" s="324"/>
      <c r="O602" s="324"/>
      <c r="P602" s="324"/>
      <c r="Q602" s="324"/>
      <c r="R602" s="515">
        <v>245000</v>
      </c>
      <c r="S602" s="324"/>
      <c r="T602" s="325">
        <f t="shared" si="9"/>
        <v>245000</v>
      </c>
    </row>
    <row r="603" spans="1:20" ht="18.75" x14ac:dyDescent="0.3">
      <c r="A603" s="512" t="s">
        <v>1045</v>
      </c>
      <c r="B603" s="527">
        <v>45420</v>
      </c>
      <c r="C603" s="545"/>
      <c r="D603" s="342" t="s">
        <v>1835</v>
      </c>
      <c r="E603" s="541" t="s">
        <v>506</v>
      </c>
      <c r="F603" s="532">
        <v>200550</v>
      </c>
      <c r="G603" s="324" t="s">
        <v>1114</v>
      </c>
      <c r="H603" s="324">
        <v>2024</v>
      </c>
      <c r="I603" s="324"/>
      <c r="J603" s="324"/>
      <c r="K603" s="324"/>
      <c r="L603" s="324"/>
      <c r="M603" s="324"/>
      <c r="N603" s="324"/>
      <c r="O603" s="324"/>
      <c r="P603" s="324"/>
      <c r="Q603" s="324"/>
      <c r="R603" s="532">
        <v>200550</v>
      </c>
      <c r="S603" s="324"/>
      <c r="T603" s="325">
        <f t="shared" si="9"/>
        <v>200550</v>
      </c>
    </row>
    <row r="604" spans="1:20" ht="18.75" x14ac:dyDescent="0.3">
      <c r="A604" s="512" t="s">
        <v>1744</v>
      </c>
      <c r="B604" s="527">
        <v>45420</v>
      </c>
      <c r="C604" s="531" t="s">
        <v>1836</v>
      </c>
      <c r="D604" s="342" t="s">
        <v>1837</v>
      </c>
      <c r="E604" s="343" t="s">
        <v>1838</v>
      </c>
      <c r="F604" s="532">
        <v>169035</v>
      </c>
      <c r="G604" s="324" t="s">
        <v>1114</v>
      </c>
      <c r="H604" s="324">
        <v>2024</v>
      </c>
      <c r="I604" s="324"/>
      <c r="J604" s="324"/>
      <c r="K604" s="324"/>
      <c r="L604" s="324"/>
      <c r="M604" s="324"/>
      <c r="N604" s="324"/>
      <c r="O604" s="324"/>
      <c r="P604" s="324"/>
      <c r="Q604" s="324"/>
      <c r="R604" s="532">
        <v>169035</v>
      </c>
      <c r="S604" s="324"/>
      <c r="T604" s="325">
        <f t="shared" si="9"/>
        <v>169035</v>
      </c>
    </row>
    <row r="605" spans="1:20" ht="18.75" x14ac:dyDescent="0.3">
      <c r="A605" s="512" t="s">
        <v>1164</v>
      </c>
      <c r="B605" s="513">
        <v>45420</v>
      </c>
      <c r="C605" s="514" t="s">
        <v>1653</v>
      </c>
      <c r="D605" s="321" t="s">
        <v>1839</v>
      </c>
      <c r="E605" s="322" t="s">
        <v>1167</v>
      </c>
      <c r="F605" s="515">
        <v>45000</v>
      </c>
      <c r="G605" s="324" t="s">
        <v>1114</v>
      </c>
      <c r="H605" s="324">
        <v>2024</v>
      </c>
      <c r="I605" s="324"/>
      <c r="J605" s="324"/>
      <c r="K605" s="324"/>
      <c r="L605" s="324"/>
      <c r="M605" s="324"/>
      <c r="N605" s="324"/>
      <c r="O605" s="324"/>
      <c r="P605" s="324"/>
      <c r="Q605" s="324"/>
      <c r="R605" s="515">
        <v>45000</v>
      </c>
      <c r="S605" s="324"/>
      <c r="T605" s="325">
        <f t="shared" si="9"/>
        <v>45000</v>
      </c>
    </row>
    <row r="606" spans="1:20" ht="18.75" x14ac:dyDescent="0.3">
      <c r="A606" s="513" t="s">
        <v>1840</v>
      </c>
      <c r="B606" s="513">
        <v>45420</v>
      </c>
      <c r="C606" s="546" t="s">
        <v>1841</v>
      </c>
      <c r="D606" s="329" t="s">
        <v>1842</v>
      </c>
      <c r="E606" s="547" t="s">
        <v>1843</v>
      </c>
      <c r="F606" s="515">
        <v>507905</v>
      </c>
      <c r="G606" s="324" t="s">
        <v>1114</v>
      </c>
      <c r="H606" s="324">
        <v>2024</v>
      </c>
      <c r="I606" s="324"/>
      <c r="J606" s="324"/>
      <c r="K606" s="324"/>
      <c r="L606" s="324"/>
      <c r="M606" s="324"/>
      <c r="N606" s="324"/>
      <c r="O606" s="324"/>
      <c r="P606" s="324"/>
      <c r="Q606" s="324"/>
      <c r="R606" s="515">
        <v>507905</v>
      </c>
      <c r="S606" s="324"/>
      <c r="T606" s="325">
        <f t="shared" si="9"/>
        <v>507905</v>
      </c>
    </row>
    <row r="607" spans="1:20" ht="18.75" x14ac:dyDescent="0.3">
      <c r="A607" s="513" t="s">
        <v>1840</v>
      </c>
      <c r="B607" s="513">
        <v>45420</v>
      </c>
      <c r="C607" s="546"/>
      <c r="D607" s="329" t="s">
        <v>1844</v>
      </c>
      <c r="E607" s="547" t="s">
        <v>1845</v>
      </c>
      <c r="F607" s="515">
        <v>347320</v>
      </c>
      <c r="G607" s="324" t="s">
        <v>1114</v>
      </c>
      <c r="H607" s="324">
        <v>2024</v>
      </c>
      <c r="I607" s="324"/>
      <c r="J607" s="324"/>
      <c r="K607" s="324"/>
      <c r="L607" s="324"/>
      <c r="M607" s="324"/>
      <c r="N607" s="324"/>
      <c r="O607" s="324"/>
      <c r="P607" s="324"/>
      <c r="Q607" s="324"/>
      <c r="R607" s="515">
        <v>347320</v>
      </c>
      <c r="S607" s="324"/>
      <c r="T607" s="325">
        <f t="shared" si="9"/>
        <v>347320</v>
      </c>
    </row>
    <row r="608" spans="1:20" ht="18.75" x14ac:dyDescent="0.3">
      <c r="A608" s="513" t="s">
        <v>1840</v>
      </c>
      <c r="B608" s="513">
        <v>45420</v>
      </c>
      <c r="C608" s="546" t="s">
        <v>1846</v>
      </c>
      <c r="D608" s="329" t="s">
        <v>1847</v>
      </c>
      <c r="E608" s="547" t="s">
        <v>1848</v>
      </c>
      <c r="F608" s="515">
        <v>269315</v>
      </c>
      <c r="G608" s="324" t="s">
        <v>1114</v>
      </c>
      <c r="H608" s="324">
        <v>2024</v>
      </c>
      <c r="I608" s="324"/>
      <c r="J608" s="324"/>
      <c r="K608" s="324"/>
      <c r="L608" s="324"/>
      <c r="M608" s="324"/>
      <c r="N608" s="324"/>
      <c r="O608" s="324"/>
      <c r="P608" s="324"/>
      <c r="Q608" s="324"/>
      <c r="R608" s="515">
        <v>269315</v>
      </c>
      <c r="S608" s="324"/>
      <c r="T608" s="325">
        <f t="shared" si="9"/>
        <v>269315</v>
      </c>
    </row>
    <row r="609" spans="1:20" ht="18.75" x14ac:dyDescent="0.3">
      <c r="A609" s="512" t="s">
        <v>659</v>
      </c>
      <c r="B609" s="527">
        <v>45420</v>
      </c>
      <c r="C609" s="531" t="s">
        <v>1849</v>
      </c>
      <c r="D609" s="341" t="s">
        <v>1850</v>
      </c>
      <c r="E609" s="344" t="s">
        <v>932</v>
      </c>
      <c r="F609" s="532">
        <v>90000</v>
      </c>
      <c r="G609" s="324" t="s">
        <v>1114</v>
      </c>
      <c r="H609" s="324">
        <v>2024</v>
      </c>
      <c r="I609" s="324"/>
      <c r="J609" s="324"/>
      <c r="K609" s="324"/>
      <c r="L609" s="324"/>
      <c r="M609" s="324"/>
      <c r="N609" s="324"/>
      <c r="O609" s="324"/>
      <c r="P609" s="324"/>
      <c r="Q609" s="324"/>
      <c r="R609" s="532">
        <v>90000</v>
      </c>
      <c r="S609" s="324"/>
      <c r="T609" s="325">
        <f t="shared" si="9"/>
        <v>90000</v>
      </c>
    </row>
    <row r="610" spans="1:20" ht="18.75" x14ac:dyDescent="0.3">
      <c r="A610" s="513" t="s">
        <v>943</v>
      </c>
      <c r="B610" s="513">
        <v>45420</v>
      </c>
      <c r="C610" s="514"/>
      <c r="D610" s="321" t="s">
        <v>1851</v>
      </c>
      <c r="E610" s="322" t="s">
        <v>1100</v>
      </c>
      <c r="F610" s="515">
        <v>26480.22</v>
      </c>
      <c r="G610" s="324" t="s">
        <v>1114</v>
      </c>
      <c r="H610" s="324">
        <v>2024</v>
      </c>
      <c r="I610" s="324"/>
      <c r="J610" s="324"/>
      <c r="K610" s="324"/>
      <c r="L610" s="324"/>
      <c r="M610" s="324"/>
      <c r="N610" s="324"/>
      <c r="O610" s="324"/>
      <c r="P610" s="324"/>
      <c r="Q610" s="324"/>
      <c r="R610" s="515">
        <v>26480.22</v>
      </c>
      <c r="S610" s="324"/>
      <c r="T610" s="325">
        <f t="shared" si="9"/>
        <v>26480.22</v>
      </c>
    </row>
    <row r="611" spans="1:20" ht="18.75" x14ac:dyDescent="0.3">
      <c r="A611" s="512" t="s">
        <v>1852</v>
      </c>
      <c r="B611" s="513">
        <v>45420</v>
      </c>
      <c r="C611" s="514" t="s">
        <v>1853</v>
      </c>
      <c r="D611" s="321" t="s">
        <v>1854</v>
      </c>
      <c r="E611" s="322" t="s">
        <v>1855</v>
      </c>
      <c r="F611" s="515">
        <v>155000</v>
      </c>
      <c r="G611" s="324" t="s">
        <v>1114</v>
      </c>
      <c r="H611" s="324">
        <v>2024</v>
      </c>
      <c r="I611" s="324"/>
      <c r="J611" s="324"/>
      <c r="K611" s="324"/>
      <c r="L611" s="324"/>
      <c r="M611" s="324"/>
      <c r="N611" s="324"/>
      <c r="O611" s="324"/>
      <c r="P611" s="324"/>
      <c r="Q611" s="324"/>
      <c r="R611" s="515">
        <v>155000</v>
      </c>
      <c r="S611" s="324"/>
      <c r="T611" s="325">
        <f t="shared" si="9"/>
        <v>155000</v>
      </c>
    </row>
    <row r="612" spans="1:20" ht="18.75" x14ac:dyDescent="0.3">
      <c r="A612" s="512" t="s">
        <v>849</v>
      </c>
      <c r="B612" s="513">
        <v>45421</v>
      </c>
      <c r="C612" s="514" t="s">
        <v>1856</v>
      </c>
      <c r="D612" s="321" t="s">
        <v>1857</v>
      </c>
      <c r="E612" s="322" t="s">
        <v>1858</v>
      </c>
      <c r="F612" s="515">
        <v>259600</v>
      </c>
      <c r="G612" s="324" t="s">
        <v>1114</v>
      </c>
      <c r="H612" s="324">
        <v>2024</v>
      </c>
      <c r="I612" s="324"/>
      <c r="J612" s="324"/>
      <c r="K612" s="324"/>
      <c r="L612" s="324"/>
      <c r="M612" s="324"/>
      <c r="N612" s="324"/>
      <c r="O612" s="324"/>
      <c r="P612" s="324"/>
      <c r="Q612" s="324"/>
      <c r="R612" s="515">
        <v>259600</v>
      </c>
      <c r="S612" s="324"/>
      <c r="T612" s="325">
        <f t="shared" si="9"/>
        <v>259600</v>
      </c>
    </row>
    <row r="613" spans="1:20" ht="18.75" x14ac:dyDescent="0.3">
      <c r="A613" s="537" t="s">
        <v>242</v>
      </c>
      <c r="B613" s="513">
        <v>45421</v>
      </c>
      <c r="C613" s="322"/>
      <c r="D613" s="331" t="s">
        <v>1859</v>
      </c>
      <c r="E613" s="322" t="s">
        <v>724</v>
      </c>
      <c r="F613" s="323">
        <v>75047.570000000007</v>
      </c>
      <c r="G613" s="324" t="s">
        <v>1114</v>
      </c>
      <c r="H613" s="324">
        <v>2024</v>
      </c>
      <c r="I613" s="324"/>
      <c r="J613" s="324"/>
      <c r="K613" s="324"/>
      <c r="L613" s="324"/>
      <c r="M613" s="324"/>
      <c r="N613" s="324"/>
      <c r="O613" s="324"/>
      <c r="P613" s="324"/>
      <c r="Q613" s="324"/>
      <c r="R613" s="323">
        <v>75047.570000000007</v>
      </c>
      <c r="S613" s="324"/>
      <c r="T613" s="325">
        <f t="shared" si="9"/>
        <v>75047.570000000007</v>
      </c>
    </row>
    <row r="614" spans="1:20" ht="18.75" x14ac:dyDescent="0.3">
      <c r="A614" s="537" t="s">
        <v>242</v>
      </c>
      <c r="B614" s="513">
        <v>45421</v>
      </c>
      <c r="C614" s="322"/>
      <c r="D614" s="331" t="s">
        <v>1860</v>
      </c>
      <c r="E614" s="322" t="s">
        <v>724</v>
      </c>
      <c r="F614" s="323">
        <v>47605.279999999999</v>
      </c>
      <c r="G614" s="324" t="s">
        <v>1114</v>
      </c>
      <c r="H614" s="324">
        <v>2024</v>
      </c>
      <c r="I614" s="324"/>
      <c r="J614" s="324"/>
      <c r="K614" s="324"/>
      <c r="L614" s="324"/>
      <c r="M614" s="324"/>
      <c r="N614" s="324"/>
      <c r="O614" s="324"/>
      <c r="P614" s="324"/>
      <c r="Q614" s="324"/>
      <c r="R614" s="323">
        <v>47605.279999999999</v>
      </c>
      <c r="S614" s="324"/>
      <c r="T614" s="325">
        <f t="shared" si="9"/>
        <v>47605.279999999999</v>
      </c>
    </row>
    <row r="615" spans="1:20" ht="18.75" x14ac:dyDescent="0.3">
      <c r="A615" s="513" t="s">
        <v>253</v>
      </c>
      <c r="B615" s="513">
        <v>45421</v>
      </c>
      <c r="C615" s="514" t="s">
        <v>1758</v>
      </c>
      <c r="D615" s="321" t="s">
        <v>1861</v>
      </c>
      <c r="E615" s="322" t="s">
        <v>701</v>
      </c>
      <c r="F615" s="515">
        <v>2300</v>
      </c>
      <c r="G615" s="324" t="s">
        <v>1114</v>
      </c>
      <c r="H615" s="324">
        <v>2024</v>
      </c>
      <c r="I615" s="324"/>
      <c r="J615" s="324"/>
      <c r="K615" s="324"/>
      <c r="L615" s="324"/>
      <c r="M615" s="324"/>
      <c r="N615" s="324"/>
      <c r="O615" s="324"/>
      <c r="P615" s="324"/>
      <c r="Q615" s="324"/>
      <c r="R615" s="515">
        <v>2300</v>
      </c>
      <c r="S615" s="324"/>
      <c r="T615" s="325">
        <f t="shared" si="9"/>
        <v>2300</v>
      </c>
    </row>
    <row r="616" spans="1:20" ht="18.75" x14ac:dyDescent="0.3">
      <c r="A616" s="512" t="s">
        <v>288</v>
      </c>
      <c r="B616" s="513">
        <v>45421</v>
      </c>
      <c r="C616" s="514" t="s">
        <v>1862</v>
      </c>
      <c r="D616" s="321" t="s">
        <v>1863</v>
      </c>
      <c r="E616" s="322" t="s">
        <v>1069</v>
      </c>
      <c r="F616" s="515">
        <v>153360</v>
      </c>
      <c r="G616" s="324" t="s">
        <v>1114</v>
      </c>
      <c r="H616" s="324">
        <v>2024</v>
      </c>
      <c r="I616" s="324"/>
      <c r="J616" s="324"/>
      <c r="K616" s="324"/>
      <c r="L616" s="324"/>
      <c r="M616" s="324"/>
      <c r="N616" s="324"/>
      <c r="O616" s="324"/>
      <c r="P616" s="324"/>
      <c r="Q616" s="324"/>
      <c r="R616" s="515">
        <v>153360</v>
      </c>
      <c r="S616" s="324"/>
      <c r="T616" s="325">
        <f t="shared" si="9"/>
        <v>153360</v>
      </c>
    </row>
    <row r="617" spans="1:20" ht="18.75" x14ac:dyDescent="0.3">
      <c r="A617" s="512" t="s">
        <v>774</v>
      </c>
      <c r="B617" s="513">
        <v>45421</v>
      </c>
      <c r="C617" s="514" t="s">
        <v>1864</v>
      </c>
      <c r="D617" s="321" t="s">
        <v>1865</v>
      </c>
      <c r="E617" s="322" t="s">
        <v>775</v>
      </c>
      <c r="F617" s="515">
        <v>225000</v>
      </c>
      <c r="G617" s="324" t="s">
        <v>1114</v>
      </c>
      <c r="H617" s="324">
        <v>2024</v>
      </c>
      <c r="I617" s="324"/>
      <c r="J617" s="324"/>
      <c r="K617" s="324"/>
      <c r="L617" s="324"/>
      <c r="M617" s="324"/>
      <c r="N617" s="324"/>
      <c r="O617" s="324"/>
      <c r="P617" s="324"/>
      <c r="Q617" s="324"/>
      <c r="R617" s="515">
        <v>225000</v>
      </c>
      <c r="S617" s="324"/>
      <c r="T617" s="325">
        <f t="shared" si="9"/>
        <v>225000</v>
      </c>
    </row>
    <row r="618" spans="1:20" ht="18.75" x14ac:dyDescent="0.3">
      <c r="A618" s="513" t="s">
        <v>324</v>
      </c>
      <c r="B618" s="513">
        <v>45421</v>
      </c>
      <c r="C618" s="514"/>
      <c r="D618" s="321" t="s">
        <v>1866</v>
      </c>
      <c r="E618" s="322" t="s">
        <v>801</v>
      </c>
      <c r="F618" s="515">
        <v>15980</v>
      </c>
      <c r="G618" s="324" t="s">
        <v>1114</v>
      </c>
      <c r="H618" s="324">
        <v>2024</v>
      </c>
      <c r="I618" s="324"/>
      <c r="J618" s="324"/>
      <c r="K618" s="324"/>
      <c r="L618" s="324"/>
      <c r="M618" s="324"/>
      <c r="N618" s="324"/>
      <c r="O618" s="324"/>
      <c r="P618" s="324"/>
      <c r="Q618" s="324"/>
      <c r="R618" s="515">
        <v>15980</v>
      </c>
      <c r="S618" s="324"/>
      <c r="T618" s="325">
        <f t="shared" si="9"/>
        <v>15980</v>
      </c>
    </row>
    <row r="619" spans="1:20" ht="18.75" x14ac:dyDescent="0.3">
      <c r="A619" s="512" t="s">
        <v>679</v>
      </c>
      <c r="B619" s="513">
        <v>45421</v>
      </c>
      <c r="C619" s="514" t="s">
        <v>1867</v>
      </c>
      <c r="D619" s="321" t="s">
        <v>1868</v>
      </c>
      <c r="E619" s="322" t="s">
        <v>1132</v>
      </c>
      <c r="F619" s="515">
        <v>99550</v>
      </c>
      <c r="G619" s="324" t="s">
        <v>1114</v>
      </c>
      <c r="H619" s="324">
        <v>2024</v>
      </c>
      <c r="I619" s="324"/>
      <c r="J619" s="324"/>
      <c r="K619" s="324"/>
      <c r="L619" s="324"/>
      <c r="M619" s="324"/>
      <c r="N619" s="324"/>
      <c r="O619" s="324"/>
      <c r="P619" s="324"/>
      <c r="Q619" s="324"/>
      <c r="R619" s="515">
        <v>99550</v>
      </c>
      <c r="S619" s="324"/>
      <c r="T619" s="325">
        <f t="shared" si="9"/>
        <v>99550</v>
      </c>
    </row>
    <row r="620" spans="1:20" ht="18.75" x14ac:dyDescent="0.3">
      <c r="A620" s="518" t="s">
        <v>1735</v>
      </c>
      <c r="B620" s="513">
        <v>45421</v>
      </c>
      <c r="C620" s="514" t="s">
        <v>1869</v>
      </c>
      <c r="D620" s="321" t="s">
        <v>1870</v>
      </c>
      <c r="E620" s="322" t="s">
        <v>1283</v>
      </c>
      <c r="F620" s="515">
        <v>200850</v>
      </c>
      <c r="G620" s="324" t="s">
        <v>1114</v>
      </c>
      <c r="H620" s="324">
        <v>2024</v>
      </c>
      <c r="I620" s="324"/>
      <c r="J620" s="324"/>
      <c r="K620" s="324"/>
      <c r="L620" s="324"/>
      <c r="M620" s="324"/>
      <c r="N620" s="324"/>
      <c r="O620" s="324"/>
      <c r="P620" s="324"/>
      <c r="Q620" s="324"/>
      <c r="R620" s="515">
        <v>200850</v>
      </c>
      <c r="S620" s="324"/>
      <c r="T620" s="325">
        <f t="shared" si="9"/>
        <v>200850</v>
      </c>
    </row>
    <row r="621" spans="1:20" ht="18.75" x14ac:dyDescent="0.3">
      <c r="A621" s="512" t="s">
        <v>960</v>
      </c>
      <c r="B621" s="513">
        <v>45421</v>
      </c>
      <c r="C621" s="514"/>
      <c r="D621" s="321" t="s">
        <v>1030</v>
      </c>
      <c r="E621" s="322"/>
      <c r="F621" s="515">
        <v>98412</v>
      </c>
      <c r="G621" s="324" t="s">
        <v>1114</v>
      </c>
      <c r="H621" s="324">
        <v>2024</v>
      </c>
      <c r="I621" s="324"/>
      <c r="J621" s="324"/>
      <c r="K621" s="324"/>
      <c r="L621" s="324"/>
      <c r="M621" s="324"/>
      <c r="N621" s="324"/>
      <c r="O621" s="324"/>
      <c r="P621" s="324"/>
      <c r="Q621" s="324"/>
      <c r="R621" s="515">
        <v>98412</v>
      </c>
      <c r="S621" s="324"/>
      <c r="T621" s="325">
        <f t="shared" si="9"/>
        <v>98412</v>
      </c>
    </row>
    <row r="622" spans="1:20" ht="18.75" x14ac:dyDescent="0.3">
      <c r="A622" s="512" t="s">
        <v>960</v>
      </c>
      <c r="B622" s="513">
        <v>45421</v>
      </c>
      <c r="C622" s="514"/>
      <c r="D622" s="321" t="s">
        <v>1871</v>
      </c>
      <c r="E622" s="322"/>
      <c r="F622" s="515">
        <v>174451.20000000001</v>
      </c>
      <c r="G622" s="324" t="s">
        <v>1114</v>
      </c>
      <c r="H622" s="324">
        <v>2024</v>
      </c>
      <c r="I622" s="324"/>
      <c r="J622" s="324"/>
      <c r="K622" s="324"/>
      <c r="L622" s="324"/>
      <c r="M622" s="324"/>
      <c r="N622" s="324"/>
      <c r="O622" s="324"/>
      <c r="P622" s="324"/>
      <c r="Q622" s="324"/>
      <c r="R622" s="515">
        <v>174451.20000000001</v>
      </c>
      <c r="S622" s="324"/>
      <c r="T622" s="325">
        <f t="shared" si="9"/>
        <v>174451.20000000001</v>
      </c>
    </row>
    <row r="623" spans="1:20" ht="18.75" x14ac:dyDescent="0.3">
      <c r="A623" s="512" t="s">
        <v>1872</v>
      </c>
      <c r="B623" s="513">
        <v>45421</v>
      </c>
      <c r="C623" s="514"/>
      <c r="D623" s="321" t="s">
        <v>1873</v>
      </c>
      <c r="E623" s="322" t="s">
        <v>1874</v>
      </c>
      <c r="F623" s="515">
        <v>178770</v>
      </c>
      <c r="G623" s="324" t="s">
        <v>1114</v>
      </c>
      <c r="H623" s="324">
        <v>2024</v>
      </c>
      <c r="I623" s="324"/>
      <c r="J623" s="324"/>
      <c r="K623" s="324"/>
      <c r="L623" s="324"/>
      <c r="M623" s="324"/>
      <c r="N623" s="324"/>
      <c r="O623" s="324"/>
      <c r="P623" s="324"/>
      <c r="Q623" s="324"/>
      <c r="R623" s="515">
        <v>178770</v>
      </c>
      <c r="S623" s="324"/>
      <c r="T623" s="325">
        <f t="shared" si="9"/>
        <v>178770</v>
      </c>
    </row>
    <row r="624" spans="1:20" ht="18.75" x14ac:dyDescent="0.3">
      <c r="A624" s="512" t="s">
        <v>1872</v>
      </c>
      <c r="B624" s="513">
        <v>45421</v>
      </c>
      <c r="C624" s="514"/>
      <c r="D624" s="321" t="s">
        <v>1875</v>
      </c>
      <c r="E624" s="322" t="s">
        <v>1874</v>
      </c>
      <c r="F624" s="515">
        <v>76700</v>
      </c>
      <c r="G624" s="324" t="s">
        <v>1114</v>
      </c>
      <c r="H624" s="324">
        <v>2024</v>
      </c>
      <c r="I624" s="324"/>
      <c r="J624" s="324"/>
      <c r="K624" s="324"/>
      <c r="L624" s="324"/>
      <c r="M624" s="324"/>
      <c r="N624" s="324"/>
      <c r="O624" s="324"/>
      <c r="P624" s="324"/>
      <c r="Q624" s="324"/>
      <c r="R624" s="515">
        <v>76700</v>
      </c>
      <c r="S624" s="324"/>
      <c r="T624" s="325">
        <f t="shared" si="9"/>
        <v>76700</v>
      </c>
    </row>
    <row r="625" spans="1:20" ht="18.75" x14ac:dyDescent="0.3">
      <c r="A625" s="512" t="s">
        <v>1852</v>
      </c>
      <c r="B625" s="513">
        <v>45421</v>
      </c>
      <c r="C625" s="514" t="s">
        <v>1876</v>
      </c>
      <c r="D625" s="321" t="s">
        <v>1877</v>
      </c>
      <c r="E625" s="322" t="s">
        <v>1878</v>
      </c>
      <c r="F625" s="515">
        <v>186482.2</v>
      </c>
      <c r="G625" s="324" t="s">
        <v>1114</v>
      </c>
      <c r="H625" s="324">
        <v>2024</v>
      </c>
      <c r="I625" s="324"/>
      <c r="J625" s="324"/>
      <c r="K625" s="324"/>
      <c r="L625" s="324"/>
      <c r="M625" s="324"/>
      <c r="N625" s="324"/>
      <c r="O625" s="324"/>
      <c r="P625" s="324"/>
      <c r="Q625" s="324"/>
      <c r="R625" s="515">
        <v>186482.2</v>
      </c>
      <c r="S625" s="324"/>
      <c r="T625" s="325">
        <f t="shared" si="9"/>
        <v>186482.2</v>
      </c>
    </row>
    <row r="626" spans="1:20" ht="18.75" x14ac:dyDescent="0.3">
      <c r="A626" s="512" t="s">
        <v>387</v>
      </c>
      <c r="B626" s="527">
        <v>45421</v>
      </c>
      <c r="C626" s="531" t="s">
        <v>1539</v>
      </c>
      <c r="D626" s="342" t="s">
        <v>1879</v>
      </c>
      <c r="E626" s="343" t="s">
        <v>680</v>
      </c>
      <c r="F626" s="532">
        <v>141600</v>
      </c>
      <c r="G626" s="324" t="s">
        <v>1114</v>
      </c>
      <c r="H626" s="324">
        <v>2024</v>
      </c>
      <c r="I626" s="324"/>
      <c r="J626" s="324"/>
      <c r="K626" s="324"/>
      <c r="L626" s="324"/>
      <c r="M626" s="324"/>
      <c r="N626" s="324"/>
      <c r="O626" s="324"/>
      <c r="P626" s="324"/>
      <c r="Q626" s="324"/>
      <c r="R626" s="532">
        <v>141600</v>
      </c>
      <c r="S626" s="324"/>
      <c r="T626" s="325">
        <f t="shared" si="9"/>
        <v>141600</v>
      </c>
    </row>
    <row r="627" spans="1:20" ht="18.75" x14ac:dyDescent="0.3">
      <c r="A627" s="512" t="s">
        <v>237</v>
      </c>
      <c r="B627" s="527">
        <v>45422</v>
      </c>
      <c r="C627" s="531" t="s">
        <v>1880</v>
      </c>
      <c r="D627" s="346" t="s">
        <v>1881</v>
      </c>
      <c r="E627" s="344" t="s">
        <v>1882</v>
      </c>
      <c r="F627" s="532">
        <v>35400</v>
      </c>
      <c r="G627" s="324" t="s">
        <v>1114</v>
      </c>
      <c r="H627" s="324">
        <v>2024</v>
      </c>
      <c r="I627" s="324"/>
      <c r="J627" s="324"/>
      <c r="K627" s="324"/>
      <c r="L627" s="324"/>
      <c r="M627" s="324"/>
      <c r="N627" s="324"/>
      <c r="O627" s="324"/>
      <c r="P627" s="324"/>
      <c r="Q627" s="324"/>
      <c r="R627" s="532">
        <v>35400</v>
      </c>
      <c r="S627" s="324"/>
      <c r="T627" s="325">
        <f t="shared" si="9"/>
        <v>35400</v>
      </c>
    </row>
    <row r="628" spans="1:20" ht="18.75" x14ac:dyDescent="0.3">
      <c r="A628" s="512" t="s">
        <v>1045</v>
      </c>
      <c r="B628" s="513">
        <v>45422</v>
      </c>
      <c r="C628" s="541" t="s">
        <v>1883</v>
      </c>
      <c r="D628" s="321" t="s">
        <v>1884</v>
      </c>
      <c r="E628" s="541" t="s">
        <v>1885</v>
      </c>
      <c r="F628" s="515">
        <v>65442.8</v>
      </c>
      <c r="G628" s="324" t="s">
        <v>1114</v>
      </c>
      <c r="H628" s="324">
        <v>2024</v>
      </c>
      <c r="I628" s="324"/>
      <c r="J628" s="324"/>
      <c r="K628" s="324"/>
      <c r="L628" s="324"/>
      <c r="M628" s="324"/>
      <c r="N628" s="324"/>
      <c r="O628" s="324"/>
      <c r="P628" s="324"/>
      <c r="Q628" s="324"/>
      <c r="R628" s="515">
        <v>65442.8</v>
      </c>
      <c r="S628" s="324"/>
      <c r="T628" s="325">
        <f t="shared" si="9"/>
        <v>65442.8</v>
      </c>
    </row>
    <row r="629" spans="1:20" ht="18.75" x14ac:dyDescent="0.3">
      <c r="A629" s="512" t="s">
        <v>929</v>
      </c>
      <c r="B629" s="513">
        <v>45422</v>
      </c>
      <c r="C629" s="514" t="s">
        <v>1886</v>
      </c>
      <c r="D629" s="321" t="s">
        <v>1887</v>
      </c>
      <c r="E629" s="322" t="s">
        <v>1888</v>
      </c>
      <c r="F629" s="515">
        <v>220660</v>
      </c>
      <c r="G629" s="324" t="s">
        <v>1114</v>
      </c>
      <c r="H629" s="324">
        <v>2024</v>
      </c>
      <c r="I629" s="324"/>
      <c r="J629" s="324"/>
      <c r="K629" s="324"/>
      <c r="L629" s="324"/>
      <c r="M629" s="324"/>
      <c r="N629" s="324"/>
      <c r="O629" s="324"/>
      <c r="P629" s="324"/>
      <c r="Q629" s="324"/>
      <c r="R629" s="515">
        <v>220660</v>
      </c>
      <c r="S629" s="324"/>
      <c r="T629" s="325">
        <f t="shared" si="9"/>
        <v>220660</v>
      </c>
    </row>
    <row r="630" spans="1:20" ht="18.75" x14ac:dyDescent="0.3">
      <c r="A630" s="512" t="s">
        <v>1744</v>
      </c>
      <c r="B630" s="527">
        <v>45422</v>
      </c>
      <c r="C630" s="531" t="s">
        <v>1889</v>
      </c>
      <c r="D630" s="342" t="s">
        <v>1890</v>
      </c>
      <c r="E630" s="343" t="s">
        <v>977</v>
      </c>
      <c r="F630" s="532">
        <v>84960</v>
      </c>
      <c r="G630" s="324" t="s">
        <v>1114</v>
      </c>
      <c r="H630" s="324">
        <v>2024</v>
      </c>
      <c r="I630" s="324"/>
      <c r="J630" s="324"/>
      <c r="K630" s="324"/>
      <c r="L630" s="324"/>
      <c r="M630" s="324"/>
      <c r="N630" s="324"/>
      <c r="O630" s="324"/>
      <c r="P630" s="324"/>
      <c r="Q630" s="324"/>
      <c r="R630" s="532">
        <v>84960</v>
      </c>
      <c r="S630" s="324"/>
      <c r="T630" s="325">
        <f t="shared" si="9"/>
        <v>84960</v>
      </c>
    </row>
    <row r="631" spans="1:20" ht="18.75" x14ac:dyDescent="0.3">
      <c r="A631" s="513" t="s">
        <v>300</v>
      </c>
      <c r="B631" s="513">
        <v>45422</v>
      </c>
      <c r="C631" s="514" t="s">
        <v>1891</v>
      </c>
      <c r="D631" s="321" t="s">
        <v>1892</v>
      </c>
      <c r="E631" s="322" t="s">
        <v>1893</v>
      </c>
      <c r="F631" s="515">
        <v>221250</v>
      </c>
      <c r="G631" s="324" t="s">
        <v>1114</v>
      </c>
      <c r="H631" s="324">
        <v>2024</v>
      </c>
      <c r="I631" s="324"/>
      <c r="J631" s="324"/>
      <c r="K631" s="324"/>
      <c r="L631" s="324"/>
      <c r="M631" s="324"/>
      <c r="N631" s="324"/>
      <c r="O631" s="324"/>
      <c r="P631" s="324"/>
      <c r="Q631" s="324"/>
      <c r="R631" s="515">
        <v>221250</v>
      </c>
      <c r="S631" s="324"/>
      <c r="T631" s="325">
        <f t="shared" si="9"/>
        <v>221250</v>
      </c>
    </row>
    <row r="632" spans="1:20" ht="18.75" x14ac:dyDescent="0.3">
      <c r="A632" s="512" t="s">
        <v>1278</v>
      </c>
      <c r="B632" s="513">
        <v>45422</v>
      </c>
      <c r="C632" s="514" t="s">
        <v>1894</v>
      </c>
      <c r="D632" s="321" t="s">
        <v>1895</v>
      </c>
      <c r="E632" s="322" t="s">
        <v>1896</v>
      </c>
      <c r="F632" s="515">
        <v>153930</v>
      </c>
      <c r="G632" s="324" t="s">
        <v>1114</v>
      </c>
      <c r="H632" s="324">
        <v>2024</v>
      </c>
      <c r="I632" s="324"/>
      <c r="J632" s="324"/>
      <c r="K632" s="324"/>
      <c r="L632" s="324"/>
      <c r="M632" s="324"/>
      <c r="N632" s="324"/>
      <c r="O632" s="324"/>
      <c r="P632" s="324"/>
      <c r="Q632" s="324"/>
      <c r="R632" s="515">
        <v>153930</v>
      </c>
      <c r="S632" s="324"/>
      <c r="T632" s="325">
        <f t="shared" si="9"/>
        <v>153930</v>
      </c>
    </row>
    <row r="633" spans="1:20" ht="18.75" x14ac:dyDescent="0.3">
      <c r="A633" s="518" t="s">
        <v>1735</v>
      </c>
      <c r="B633" s="513">
        <v>45422</v>
      </c>
      <c r="C633" s="514" t="s">
        <v>1897</v>
      </c>
      <c r="D633" s="321" t="s">
        <v>1898</v>
      </c>
      <c r="E633" s="322" t="s">
        <v>1283</v>
      </c>
      <c r="F633" s="515">
        <v>159229.20000000001</v>
      </c>
      <c r="G633" s="324" t="s">
        <v>1114</v>
      </c>
      <c r="H633" s="324">
        <v>2024</v>
      </c>
      <c r="I633" s="324"/>
      <c r="J633" s="324"/>
      <c r="K633" s="324"/>
      <c r="L633" s="324"/>
      <c r="M633" s="324"/>
      <c r="N633" s="324"/>
      <c r="O633" s="324"/>
      <c r="P633" s="324"/>
      <c r="Q633" s="324"/>
      <c r="R633" s="515">
        <v>159229.20000000001</v>
      </c>
      <c r="S633" s="324"/>
      <c r="T633" s="325">
        <f t="shared" si="9"/>
        <v>159229.20000000001</v>
      </c>
    </row>
    <row r="634" spans="1:20" ht="18.75" x14ac:dyDescent="0.3">
      <c r="A634" s="319" t="s">
        <v>1156</v>
      </c>
      <c r="B634" s="513">
        <v>45425</v>
      </c>
      <c r="C634" s="514" t="s">
        <v>1812</v>
      </c>
      <c r="D634" s="321" t="s">
        <v>1899</v>
      </c>
      <c r="E634" s="322" t="s">
        <v>1900</v>
      </c>
      <c r="F634" s="515">
        <v>14000</v>
      </c>
      <c r="G634" s="324" t="s">
        <v>1114</v>
      </c>
      <c r="H634" s="324">
        <v>2024</v>
      </c>
      <c r="I634" s="324"/>
      <c r="J634" s="324"/>
      <c r="K634" s="324"/>
      <c r="L634" s="324"/>
      <c r="M634" s="324"/>
      <c r="N634" s="324"/>
      <c r="O634" s="324"/>
      <c r="P634" s="324"/>
      <c r="Q634" s="324"/>
      <c r="R634" s="515">
        <v>14000</v>
      </c>
      <c r="S634" s="324"/>
      <c r="T634" s="325">
        <f t="shared" si="9"/>
        <v>14000</v>
      </c>
    </row>
    <row r="635" spans="1:20" ht="18.75" x14ac:dyDescent="0.3">
      <c r="A635" s="537" t="s">
        <v>242</v>
      </c>
      <c r="B635" s="513">
        <v>45425</v>
      </c>
      <c r="C635" s="322"/>
      <c r="D635" s="331" t="s">
        <v>1901</v>
      </c>
      <c r="E635" s="322" t="s">
        <v>724</v>
      </c>
      <c r="F635" s="323">
        <v>53974.65</v>
      </c>
      <c r="G635" s="324" t="s">
        <v>1114</v>
      </c>
      <c r="H635" s="324">
        <v>2024</v>
      </c>
      <c r="I635" s="324"/>
      <c r="J635" s="324"/>
      <c r="K635" s="324"/>
      <c r="L635" s="324"/>
      <c r="M635" s="324"/>
      <c r="N635" s="324"/>
      <c r="O635" s="324"/>
      <c r="P635" s="324"/>
      <c r="Q635" s="324"/>
      <c r="R635" s="323">
        <v>53974.65</v>
      </c>
      <c r="S635" s="324"/>
      <c r="T635" s="325">
        <f t="shared" si="9"/>
        <v>53974.65</v>
      </c>
    </row>
    <row r="636" spans="1:20" ht="18.75" x14ac:dyDescent="0.3">
      <c r="A636" s="537" t="s">
        <v>242</v>
      </c>
      <c r="B636" s="513">
        <v>45425</v>
      </c>
      <c r="C636" s="322"/>
      <c r="D636" s="331" t="s">
        <v>1902</v>
      </c>
      <c r="E636" s="322" t="s">
        <v>724</v>
      </c>
      <c r="F636" s="323">
        <v>47605.26</v>
      </c>
      <c r="G636" s="324" t="s">
        <v>1114</v>
      </c>
      <c r="H636" s="324">
        <v>2024</v>
      </c>
      <c r="I636" s="324"/>
      <c r="J636" s="324"/>
      <c r="K636" s="324"/>
      <c r="L636" s="324"/>
      <c r="M636" s="324"/>
      <c r="N636" s="324"/>
      <c r="O636" s="324"/>
      <c r="P636" s="324"/>
      <c r="Q636" s="324"/>
      <c r="R636" s="323">
        <v>47605.26</v>
      </c>
      <c r="S636" s="324"/>
      <c r="T636" s="325">
        <f t="shared" si="9"/>
        <v>47605.26</v>
      </c>
    </row>
    <row r="637" spans="1:20" ht="18.75" x14ac:dyDescent="0.3">
      <c r="A637" s="537" t="s">
        <v>242</v>
      </c>
      <c r="B637" s="513">
        <v>45425</v>
      </c>
      <c r="C637" s="322"/>
      <c r="D637" s="331" t="s">
        <v>1903</v>
      </c>
      <c r="E637" s="322" t="s">
        <v>724</v>
      </c>
      <c r="F637" s="323">
        <v>99477.18</v>
      </c>
      <c r="G637" s="324" t="s">
        <v>1114</v>
      </c>
      <c r="H637" s="324">
        <v>2024</v>
      </c>
      <c r="I637" s="324"/>
      <c r="J637" s="324"/>
      <c r="K637" s="324"/>
      <c r="L637" s="324"/>
      <c r="M637" s="324"/>
      <c r="N637" s="324"/>
      <c r="O637" s="324"/>
      <c r="P637" s="324"/>
      <c r="Q637" s="324"/>
      <c r="R637" s="323">
        <v>99477.18</v>
      </c>
      <c r="S637" s="324"/>
      <c r="T637" s="325">
        <f t="shared" si="9"/>
        <v>99477.18</v>
      </c>
    </row>
    <row r="638" spans="1:20" ht="18.75" x14ac:dyDescent="0.3">
      <c r="A638" s="537" t="s">
        <v>242</v>
      </c>
      <c r="B638" s="513">
        <v>45426</v>
      </c>
      <c r="C638" s="322"/>
      <c r="D638" s="331" t="s">
        <v>1904</v>
      </c>
      <c r="E638" s="322" t="s">
        <v>724</v>
      </c>
      <c r="F638" s="323">
        <v>89864.29</v>
      </c>
      <c r="G638" s="324" t="s">
        <v>1114</v>
      </c>
      <c r="H638" s="324">
        <v>2024</v>
      </c>
      <c r="I638" s="324"/>
      <c r="J638" s="324"/>
      <c r="K638" s="324"/>
      <c r="L638" s="324"/>
      <c r="M638" s="324"/>
      <c r="N638" s="324"/>
      <c r="O638" s="324"/>
      <c r="P638" s="324"/>
      <c r="Q638" s="324"/>
      <c r="R638" s="323">
        <v>89864.29</v>
      </c>
      <c r="S638" s="324"/>
      <c r="T638" s="325">
        <f t="shared" si="9"/>
        <v>89864.29</v>
      </c>
    </row>
    <row r="639" spans="1:20" s="336" customFormat="1" ht="18.75" x14ac:dyDescent="0.3">
      <c r="A639" s="512" t="s">
        <v>766</v>
      </c>
      <c r="B639" s="513">
        <v>45426</v>
      </c>
      <c r="C639" s="514" t="s">
        <v>1905</v>
      </c>
      <c r="D639" s="321" t="s">
        <v>1906</v>
      </c>
      <c r="E639" s="322" t="s">
        <v>769</v>
      </c>
      <c r="F639" s="515">
        <v>235490</v>
      </c>
      <c r="G639" s="324" t="s">
        <v>1114</v>
      </c>
      <c r="H639" s="324">
        <v>2024</v>
      </c>
      <c r="I639" s="335"/>
      <c r="J639" s="335"/>
      <c r="K639" s="335"/>
      <c r="L639" s="335"/>
      <c r="M639" s="335"/>
      <c r="N639" s="335"/>
      <c r="O639" s="335"/>
      <c r="P639" s="335"/>
      <c r="Q639" s="335"/>
      <c r="R639" s="515">
        <v>235490</v>
      </c>
      <c r="S639" s="335"/>
      <c r="T639" s="325">
        <f t="shared" si="9"/>
        <v>235490</v>
      </c>
    </row>
    <row r="640" spans="1:20" s="336" customFormat="1" ht="18.75" x14ac:dyDescent="0.3">
      <c r="A640" s="512" t="s">
        <v>1164</v>
      </c>
      <c r="B640" s="513">
        <v>45426</v>
      </c>
      <c r="C640" s="514"/>
      <c r="D640" s="321" t="s">
        <v>1907</v>
      </c>
      <c r="E640" s="322" t="s">
        <v>1908</v>
      </c>
      <c r="F640" s="515">
        <v>52500</v>
      </c>
      <c r="G640" s="324" t="s">
        <v>1114</v>
      </c>
      <c r="H640" s="324">
        <v>2024</v>
      </c>
      <c r="I640" s="335"/>
      <c r="J640" s="335"/>
      <c r="K640" s="335"/>
      <c r="L640" s="335"/>
      <c r="M640" s="335"/>
      <c r="N640" s="335"/>
      <c r="O640" s="335"/>
      <c r="P640" s="335"/>
      <c r="Q640" s="335"/>
      <c r="R640" s="515">
        <v>52500</v>
      </c>
      <c r="S640" s="335"/>
      <c r="T640" s="325">
        <f t="shared" si="9"/>
        <v>52500</v>
      </c>
    </row>
    <row r="641" spans="1:20" s="336" customFormat="1" ht="18.75" x14ac:dyDescent="0.3">
      <c r="A641" s="512" t="s">
        <v>1164</v>
      </c>
      <c r="B641" s="513">
        <v>45426</v>
      </c>
      <c r="C641" s="514"/>
      <c r="D641" s="321" t="s">
        <v>1909</v>
      </c>
      <c r="E641" s="322" t="s">
        <v>1908</v>
      </c>
      <c r="F641" s="515">
        <v>51799.87</v>
      </c>
      <c r="G641" s="324" t="s">
        <v>1114</v>
      </c>
      <c r="H641" s="324">
        <v>2024</v>
      </c>
      <c r="I641" s="335"/>
      <c r="J641" s="335"/>
      <c r="K641" s="335"/>
      <c r="L641" s="335"/>
      <c r="M641" s="335"/>
      <c r="N641" s="335"/>
      <c r="O641" s="335"/>
      <c r="P641" s="335"/>
      <c r="Q641" s="335"/>
      <c r="R641" s="515">
        <v>51799.87</v>
      </c>
      <c r="S641" s="335"/>
      <c r="T641" s="325">
        <f t="shared" si="9"/>
        <v>51799.87</v>
      </c>
    </row>
    <row r="642" spans="1:20" ht="18.75" x14ac:dyDescent="0.3">
      <c r="A642" s="512" t="s">
        <v>754</v>
      </c>
      <c r="B642" s="513">
        <v>45426</v>
      </c>
      <c r="C642" s="514" t="s">
        <v>1910</v>
      </c>
      <c r="D642" s="321" t="s">
        <v>1911</v>
      </c>
      <c r="E642" s="322" t="s">
        <v>1136</v>
      </c>
      <c r="F642" s="515">
        <v>70680</v>
      </c>
      <c r="G642" s="324" t="s">
        <v>1114</v>
      </c>
      <c r="H642" s="324">
        <v>2024</v>
      </c>
      <c r="I642" s="324"/>
      <c r="J642" s="324"/>
      <c r="K642" s="324"/>
      <c r="L642" s="324"/>
      <c r="M642" s="324"/>
      <c r="N642" s="324"/>
      <c r="O642" s="324"/>
      <c r="P642" s="324"/>
      <c r="Q642" s="324"/>
      <c r="R642" s="515">
        <v>70680</v>
      </c>
      <c r="S642" s="324"/>
      <c r="T642" s="325">
        <f t="shared" si="9"/>
        <v>70680</v>
      </c>
    </row>
    <row r="643" spans="1:20" ht="18.75" x14ac:dyDescent="0.3">
      <c r="A643" s="513" t="s">
        <v>1840</v>
      </c>
      <c r="B643" s="513">
        <v>45426</v>
      </c>
      <c r="C643" s="546" t="s">
        <v>1912</v>
      </c>
      <c r="D643" s="329" t="s">
        <v>1913</v>
      </c>
      <c r="E643" s="547" t="s">
        <v>1914</v>
      </c>
      <c r="F643" s="515">
        <v>49080</v>
      </c>
      <c r="G643" s="324" t="s">
        <v>1114</v>
      </c>
      <c r="H643" s="324">
        <v>2024</v>
      </c>
      <c r="I643" s="324"/>
      <c r="J643" s="324"/>
      <c r="K643" s="324"/>
      <c r="L643" s="324"/>
      <c r="M643" s="324"/>
      <c r="N643" s="324"/>
      <c r="O643" s="324"/>
      <c r="P643" s="324"/>
      <c r="Q643" s="324"/>
      <c r="R643" s="515">
        <v>49080</v>
      </c>
      <c r="S643" s="324"/>
      <c r="T643" s="325">
        <f t="shared" si="9"/>
        <v>49080</v>
      </c>
    </row>
    <row r="644" spans="1:20" ht="18.75" x14ac:dyDescent="0.3">
      <c r="A644" s="537" t="s">
        <v>242</v>
      </c>
      <c r="B644" s="513">
        <v>45427</v>
      </c>
      <c r="C644" s="322"/>
      <c r="D644" s="331" t="s">
        <v>1915</v>
      </c>
      <c r="E644" s="322" t="s">
        <v>724</v>
      </c>
      <c r="F644" s="323">
        <v>52192.84</v>
      </c>
      <c r="G644" s="324" t="s">
        <v>1114</v>
      </c>
      <c r="H644" s="324">
        <v>2024</v>
      </c>
      <c r="I644" s="324"/>
      <c r="J644" s="324"/>
      <c r="K644" s="324"/>
      <c r="L644" s="324"/>
      <c r="M644" s="324"/>
      <c r="N644" s="324"/>
      <c r="O644" s="324"/>
      <c r="P644" s="324"/>
      <c r="Q644" s="324"/>
      <c r="R644" s="323">
        <v>52192.84</v>
      </c>
      <c r="S644" s="324"/>
      <c r="T644" s="325">
        <f t="shared" si="9"/>
        <v>52192.84</v>
      </c>
    </row>
    <row r="645" spans="1:20" ht="18.75" x14ac:dyDescent="0.3">
      <c r="A645" s="512" t="s">
        <v>1347</v>
      </c>
      <c r="B645" s="513">
        <v>45427</v>
      </c>
      <c r="C645" s="514" t="s">
        <v>1916</v>
      </c>
      <c r="D645" s="321" t="s">
        <v>632</v>
      </c>
      <c r="E645" s="322" t="s">
        <v>1917</v>
      </c>
      <c r="F645" s="515">
        <v>257800</v>
      </c>
      <c r="G645" s="324" t="s">
        <v>1114</v>
      </c>
      <c r="H645" s="324">
        <v>2024</v>
      </c>
      <c r="I645" s="324"/>
      <c r="J645" s="324"/>
      <c r="K645" s="324"/>
      <c r="L645" s="324"/>
      <c r="M645" s="324"/>
      <c r="N645" s="324"/>
      <c r="O645" s="324"/>
      <c r="P645" s="324"/>
      <c r="Q645" s="324"/>
      <c r="R645" s="515">
        <v>257800</v>
      </c>
      <c r="S645" s="324"/>
      <c r="T645" s="325">
        <f t="shared" si="9"/>
        <v>257800</v>
      </c>
    </row>
    <row r="646" spans="1:20" ht="18.75" x14ac:dyDescent="0.3">
      <c r="A646" s="512" t="s">
        <v>1744</v>
      </c>
      <c r="B646" s="527">
        <v>45427</v>
      </c>
      <c r="C646" s="531" t="s">
        <v>1625</v>
      </c>
      <c r="D646" s="342" t="s">
        <v>1918</v>
      </c>
      <c r="E646" s="322" t="s">
        <v>952</v>
      </c>
      <c r="F646" s="532">
        <v>991200</v>
      </c>
      <c r="G646" s="324" t="s">
        <v>1114</v>
      </c>
      <c r="H646" s="324">
        <v>2024</v>
      </c>
      <c r="I646" s="324"/>
      <c r="J646" s="324"/>
      <c r="K646" s="324"/>
      <c r="L646" s="324"/>
      <c r="M646" s="324"/>
      <c r="N646" s="324"/>
      <c r="O646" s="324"/>
      <c r="P646" s="324"/>
      <c r="Q646" s="324"/>
      <c r="R646" s="532">
        <v>991200</v>
      </c>
      <c r="S646" s="324"/>
      <c r="T646" s="325">
        <f t="shared" si="9"/>
        <v>991200</v>
      </c>
    </row>
    <row r="647" spans="1:20" ht="18.75" x14ac:dyDescent="0.3">
      <c r="A647" s="512" t="s">
        <v>1919</v>
      </c>
      <c r="B647" s="513">
        <v>45427</v>
      </c>
      <c r="C647" s="514"/>
      <c r="D647" s="321" t="s">
        <v>645</v>
      </c>
      <c r="E647" s="322" t="s">
        <v>1920</v>
      </c>
      <c r="F647" s="515">
        <v>202960</v>
      </c>
      <c r="G647" s="324" t="s">
        <v>1114</v>
      </c>
      <c r="H647" s="324">
        <v>2024</v>
      </c>
      <c r="I647" s="324"/>
      <c r="J647" s="324"/>
      <c r="K647" s="324"/>
      <c r="L647" s="324"/>
      <c r="M647" s="324"/>
      <c r="N647" s="324"/>
      <c r="O647" s="324"/>
      <c r="P647" s="324"/>
      <c r="Q647" s="324"/>
      <c r="R647" s="515">
        <v>202960</v>
      </c>
      <c r="S647" s="324"/>
      <c r="T647" s="325">
        <f t="shared" si="9"/>
        <v>202960</v>
      </c>
    </row>
    <row r="648" spans="1:20" ht="37.5" x14ac:dyDescent="0.3">
      <c r="A648" s="512" t="s">
        <v>672</v>
      </c>
      <c r="B648" s="513">
        <v>45427</v>
      </c>
      <c r="C648" s="514" t="s">
        <v>1921</v>
      </c>
      <c r="D648" s="321" t="s">
        <v>1922</v>
      </c>
      <c r="E648" s="322" t="s">
        <v>1923</v>
      </c>
      <c r="F648" s="515">
        <v>149494.20000000001</v>
      </c>
      <c r="G648" s="324" t="s">
        <v>1114</v>
      </c>
      <c r="H648" s="324">
        <v>2024</v>
      </c>
      <c r="I648" s="324"/>
      <c r="J648" s="324"/>
      <c r="K648" s="324"/>
      <c r="L648" s="324"/>
      <c r="M648" s="324"/>
      <c r="N648" s="324"/>
      <c r="O648" s="324"/>
      <c r="P648" s="324"/>
      <c r="Q648" s="324"/>
      <c r="R648" s="515">
        <v>149494.20000000001</v>
      </c>
      <c r="S648" s="324"/>
      <c r="T648" s="325">
        <f t="shared" si="9"/>
        <v>149494.20000000001</v>
      </c>
    </row>
    <row r="649" spans="1:20" ht="18.75" x14ac:dyDescent="0.3">
      <c r="A649" s="513" t="s">
        <v>926</v>
      </c>
      <c r="B649" s="512">
        <v>45427</v>
      </c>
      <c r="C649" s="521" t="s">
        <v>1924</v>
      </c>
      <c r="D649" s="339" t="s">
        <v>1925</v>
      </c>
      <c r="E649" s="322" t="s">
        <v>769</v>
      </c>
      <c r="F649" s="522">
        <v>321116.49</v>
      </c>
      <c r="G649" s="324" t="s">
        <v>1114</v>
      </c>
      <c r="H649" s="324">
        <v>2024</v>
      </c>
      <c r="I649" s="324"/>
      <c r="J649" s="324"/>
      <c r="K649" s="324"/>
      <c r="L649" s="324"/>
      <c r="M649" s="324"/>
      <c r="N649" s="324"/>
      <c r="O649" s="324"/>
      <c r="P649" s="324"/>
      <c r="Q649" s="324"/>
      <c r="R649" s="522">
        <v>321116.49</v>
      </c>
      <c r="S649" s="324"/>
      <c r="T649" s="325">
        <f t="shared" si="9"/>
        <v>321116.49</v>
      </c>
    </row>
    <row r="650" spans="1:20" ht="18.75" x14ac:dyDescent="0.3">
      <c r="A650" s="512" t="s">
        <v>1071</v>
      </c>
      <c r="B650" s="513">
        <v>45427</v>
      </c>
      <c r="C650" s="514" t="s">
        <v>1483</v>
      </c>
      <c r="D650" s="321" t="s">
        <v>1926</v>
      </c>
      <c r="E650" s="322" t="s">
        <v>1927</v>
      </c>
      <c r="F650" s="515">
        <v>229362.5</v>
      </c>
      <c r="G650" s="324" t="s">
        <v>1114</v>
      </c>
      <c r="H650" s="324">
        <v>2024</v>
      </c>
      <c r="I650" s="324"/>
      <c r="J650" s="324"/>
      <c r="K650" s="324"/>
      <c r="L650" s="324"/>
      <c r="M650" s="324"/>
      <c r="N650" s="324"/>
      <c r="O650" s="324"/>
      <c r="P650" s="324"/>
      <c r="Q650" s="324"/>
      <c r="R650" s="515">
        <v>229362.5</v>
      </c>
      <c r="S650" s="324"/>
      <c r="T650" s="325">
        <f t="shared" si="9"/>
        <v>229362.5</v>
      </c>
    </row>
    <row r="651" spans="1:20" s="336" customFormat="1" ht="18.75" x14ac:dyDescent="0.3">
      <c r="A651" s="527" t="s">
        <v>1928</v>
      </c>
      <c r="B651" s="528">
        <v>45427</v>
      </c>
      <c r="C651" s="529"/>
      <c r="D651" s="339" t="s">
        <v>1929</v>
      </c>
      <c r="E651" s="340" t="s">
        <v>1136</v>
      </c>
      <c r="F651" s="530">
        <v>29805.95</v>
      </c>
      <c r="G651" s="324" t="s">
        <v>1114</v>
      </c>
      <c r="H651" s="324">
        <v>2024</v>
      </c>
      <c r="I651" s="335"/>
      <c r="J651" s="335"/>
      <c r="K651" s="335"/>
      <c r="L651" s="335"/>
      <c r="M651" s="335"/>
      <c r="N651" s="335"/>
      <c r="O651" s="335"/>
      <c r="P651" s="335"/>
      <c r="Q651" s="335"/>
      <c r="R651" s="530">
        <v>29805.95</v>
      </c>
      <c r="S651" s="335"/>
      <c r="T651" s="325">
        <f t="shared" ref="T651:T714" si="10">SUM(I651:S651)</f>
        <v>29805.95</v>
      </c>
    </row>
    <row r="652" spans="1:20" ht="18.75" x14ac:dyDescent="0.3">
      <c r="A652" s="319" t="s">
        <v>1156</v>
      </c>
      <c r="B652" s="513">
        <v>45428</v>
      </c>
      <c r="C652" s="514" t="s">
        <v>1812</v>
      </c>
      <c r="D652" s="321" t="s">
        <v>1930</v>
      </c>
      <c r="E652" s="322" t="s">
        <v>1202</v>
      </c>
      <c r="F652" s="515">
        <v>8940</v>
      </c>
      <c r="G652" s="324" t="s">
        <v>1114</v>
      </c>
      <c r="H652" s="324">
        <v>2024</v>
      </c>
      <c r="I652" s="324"/>
      <c r="J652" s="324"/>
      <c r="K652" s="324"/>
      <c r="L652" s="324"/>
      <c r="M652" s="324"/>
      <c r="N652" s="324"/>
      <c r="O652" s="324"/>
      <c r="P652" s="324"/>
      <c r="Q652" s="324"/>
      <c r="R652" s="515">
        <v>8940</v>
      </c>
      <c r="S652" s="324"/>
      <c r="T652" s="325">
        <f t="shared" si="10"/>
        <v>8940</v>
      </c>
    </row>
    <row r="653" spans="1:20" ht="18.75" x14ac:dyDescent="0.3">
      <c r="A653" s="537" t="s">
        <v>242</v>
      </c>
      <c r="B653" s="513">
        <v>45428</v>
      </c>
      <c r="C653" s="322"/>
      <c r="D653" s="331" t="s">
        <v>1931</v>
      </c>
      <c r="E653" s="322" t="s">
        <v>724</v>
      </c>
      <c r="F653" s="323">
        <v>89864.29</v>
      </c>
      <c r="G653" s="324" t="s">
        <v>1114</v>
      </c>
      <c r="H653" s="324">
        <v>2024</v>
      </c>
      <c r="I653" s="324"/>
      <c r="J653" s="324"/>
      <c r="K653" s="324"/>
      <c r="L653" s="324"/>
      <c r="M653" s="324"/>
      <c r="N653" s="324"/>
      <c r="O653" s="324"/>
      <c r="P653" s="324"/>
      <c r="Q653" s="324"/>
      <c r="R653" s="323">
        <v>89864.29</v>
      </c>
      <c r="S653" s="324"/>
      <c r="T653" s="325">
        <f t="shared" si="10"/>
        <v>89864.29</v>
      </c>
    </row>
    <row r="654" spans="1:20" ht="18.75" x14ac:dyDescent="0.3">
      <c r="A654" s="537" t="s">
        <v>242</v>
      </c>
      <c r="B654" s="513">
        <v>45428</v>
      </c>
      <c r="C654" s="322"/>
      <c r="D654" s="331" t="s">
        <v>1932</v>
      </c>
      <c r="E654" s="322" t="s">
        <v>724</v>
      </c>
      <c r="F654" s="323">
        <v>16089.96</v>
      </c>
      <c r="G654" s="324" t="s">
        <v>1114</v>
      </c>
      <c r="H654" s="324">
        <v>2024</v>
      </c>
      <c r="I654" s="324"/>
      <c r="J654" s="324"/>
      <c r="K654" s="324"/>
      <c r="L654" s="324"/>
      <c r="M654" s="324"/>
      <c r="N654" s="324"/>
      <c r="O654" s="324"/>
      <c r="P654" s="324"/>
      <c r="Q654" s="324"/>
      <c r="R654" s="323">
        <v>16089.96</v>
      </c>
      <c r="S654" s="324"/>
      <c r="T654" s="325">
        <f t="shared" si="10"/>
        <v>16089.96</v>
      </c>
    </row>
    <row r="655" spans="1:20" ht="18.75" x14ac:dyDescent="0.3">
      <c r="A655" s="513" t="s">
        <v>253</v>
      </c>
      <c r="B655" s="513">
        <v>45428</v>
      </c>
      <c r="C655" s="514" t="s">
        <v>1758</v>
      </c>
      <c r="D655" s="321" t="s">
        <v>1933</v>
      </c>
      <c r="E655" s="322" t="s">
        <v>701</v>
      </c>
      <c r="F655" s="515">
        <v>1150</v>
      </c>
      <c r="G655" s="324" t="s">
        <v>1114</v>
      </c>
      <c r="H655" s="324">
        <v>2024</v>
      </c>
      <c r="I655" s="324"/>
      <c r="J655" s="324"/>
      <c r="K655" s="324"/>
      <c r="L655" s="324"/>
      <c r="M655" s="324"/>
      <c r="N655" s="324"/>
      <c r="O655" s="324"/>
      <c r="P655" s="324"/>
      <c r="Q655" s="324"/>
      <c r="R655" s="515">
        <v>1150</v>
      </c>
      <c r="S655" s="324"/>
      <c r="T655" s="325">
        <f t="shared" si="10"/>
        <v>1150</v>
      </c>
    </row>
    <row r="656" spans="1:20" ht="18.75" x14ac:dyDescent="0.3">
      <c r="A656" s="512" t="s">
        <v>1934</v>
      </c>
      <c r="B656" s="513">
        <v>45428</v>
      </c>
      <c r="C656" s="514"/>
      <c r="D656" s="321" t="s">
        <v>759</v>
      </c>
      <c r="E656" s="322" t="s">
        <v>1935</v>
      </c>
      <c r="F656" s="515">
        <v>207414.5</v>
      </c>
      <c r="G656" s="324" t="s">
        <v>1114</v>
      </c>
      <c r="H656" s="324">
        <v>2024</v>
      </c>
      <c r="I656" s="324"/>
      <c r="J656" s="324"/>
      <c r="K656" s="324"/>
      <c r="L656" s="324"/>
      <c r="M656" s="324"/>
      <c r="N656" s="324"/>
      <c r="O656" s="324"/>
      <c r="P656" s="324"/>
      <c r="Q656" s="324"/>
      <c r="R656" s="515">
        <v>207414.5</v>
      </c>
      <c r="S656" s="324"/>
      <c r="T656" s="325">
        <f t="shared" si="10"/>
        <v>207414.5</v>
      </c>
    </row>
    <row r="657" spans="1:20" ht="18.75" x14ac:dyDescent="0.3">
      <c r="A657" s="512" t="s">
        <v>681</v>
      </c>
      <c r="B657" s="513">
        <v>45428</v>
      </c>
      <c r="C657" s="514" t="s">
        <v>1936</v>
      </c>
      <c r="D657" s="321" t="s">
        <v>1937</v>
      </c>
      <c r="E657" s="322" t="s">
        <v>680</v>
      </c>
      <c r="F657" s="515">
        <v>109103.8</v>
      </c>
      <c r="G657" s="324" t="s">
        <v>1114</v>
      </c>
      <c r="H657" s="324">
        <v>2024</v>
      </c>
      <c r="I657" s="324"/>
      <c r="J657" s="324"/>
      <c r="K657" s="324"/>
      <c r="L657" s="324"/>
      <c r="M657" s="324"/>
      <c r="N657" s="324"/>
      <c r="O657" s="324"/>
      <c r="P657" s="324"/>
      <c r="Q657" s="324"/>
      <c r="R657" s="515">
        <v>109103.8</v>
      </c>
      <c r="S657" s="324"/>
      <c r="T657" s="325">
        <f t="shared" si="10"/>
        <v>109103.8</v>
      </c>
    </row>
    <row r="658" spans="1:20" ht="37.5" x14ac:dyDescent="0.3">
      <c r="A658" s="512" t="s">
        <v>664</v>
      </c>
      <c r="B658" s="513">
        <v>45428</v>
      </c>
      <c r="C658" s="514" t="s">
        <v>1569</v>
      </c>
      <c r="D658" s="321" t="s">
        <v>1938</v>
      </c>
      <c r="E658" s="322" t="s">
        <v>1939</v>
      </c>
      <c r="F658" s="515">
        <v>336300</v>
      </c>
      <c r="G658" s="324" t="s">
        <v>1114</v>
      </c>
      <c r="H658" s="324">
        <v>2024</v>
      </c>
      <c r="I658" s="324"/>
      <c r="J658" s="324"/>
      <c r="K658" s="324"/>
      <c r="L658" s="324"/>
      <c r="M658" s="324"/>
      <c r="N658" s="324"/>
      <c r="O658" s="324"/>
      <c r="P658" s="324"/>
      <c r="Q658" s="324"/>
      <c r="R658" s="515">
        <v>336300</v>
      </c>
      <c r="S658" s="324"/>
      <c r="T658" s="325">
        <f t="shared" si="10"/>
        <v>336300</v>
      </c>
    </row>
    <row r="659" spans="1:20" ht="18.75" x14ac:dyDescent="0.3">
      <c r="A659" s="512" t="s">
        <v>387</v>
      </c>
      <c r="B659" s="527">
        <v>45428</v>
      </c>
      <c r="C659" s="531" t="s">
        <v>1940</v>
      </c>
      <c r="D659" s="342" t="s">
        <v>1941</v>
      </c>
      <c r="E659" s="343" t="s">
        <v>1136</v>
      </c>
      <c r="F659" s="532">
        <v>210625.7</v>
      </c>
      <c r="G659" s="324" t="s">
        <v>1114</v>
      </c>
      <c r="H659" s="324">
        <v>2024</v>
      </c>
      <c r="I659" s="324"/>
      <c r="J659" s="324"/>
      <c r="K659" s="324"/>
      <c r="L659" s="324"/>
      <c r="M659" s="324"/>
      <c r="N659" s="324"/>
      <c r="O659" s="324"/>
      <c r="P659" s="324"/>
      <c r="Q659" s="324"/>
      <c r="R659" s="532">
        <v>210625.7</v>
      </c>
      <c r="S659" s="324"/>
      <c r="T659" s="325">
        <f t="shared" si="10"/>
        <v>210625.7</v>
      </c>
    </row>
    <row r="660" spans="1:20" ht="18.75" x14ac:dyDescent="0.3">
      <c r="A660" s="537" t="s">
        <v>242</v>
      </c>
      <c r="B660" s="513">
        <v>45429</v>
      </c>
      <c r="C660" s="322"/>
      <c r="D660" s="331" t="s">
        <v>1942</v>
      </c>
      <c r="E660" s="322" t="s">
        <v>724</v>
      </c>
      <c r="F660" s="323">
        <v>98940.14</v>
      </c>
      <c r="G660" s="324" t="s">
        <v>1114</v>
      </c>
      <c r="H660" s="324">
        <v>2024</v>
      </c>
      <c r="I660" s="324"/>
      <c r="J660" s="324"/>
      <c r="K660" s="324"/>
      <c r="L660" s="324"/>
      <c r="M660" s="324"/>
      <c r="N660" s="324"/>
      <c r="O660" s="324"/>
      <c r="P660" s="324"/>
      <c r="Q660" s="324"/>
      <c r="R660" s="323">
        <v>98940.14</v>
      </c>
      <c r="S660" s="324"/>
      <c r="T660" s="325">
        <f t="shared" si="10"/>
        <v>98940.14</v>
      </c>
    </row>
    <row r="661" spans="1:20" ht="18.75" x14ac:dyDescent="0.3">
      <c r="A661" s="512" t="s">
        <v>766</v>
      </c>
      <c r="B661" s="513">
        <v>45429</v>
      </c>
      <c r="C661" s="514" t="s">
        <v>1943</v>
      </c>
      <c r="D661" s="321" t="s">
        <v>1837</v>
      </c>
      <c r="E661" s="322" t="s">
        <v>769</v>
      </c>
      <c r="F661" s="515">
        <v>177464</v>
      </c>
      <c r="G661" s="324" t="s">
        <v>1114</v>
      </c>
      <c r="H661" s="324">
        <v>2024</v>
      </c>
      <c r="I661" s="324"/>
      <c r="J661" s="324"/>
      <c r="K661" s="324"/>
      <c r="L661" s="324"/>
      <c r="M661" s="324"/>
      <c r="N661" s="324"/>
      <c r="O661" s="324"/>
      <c r="P661" s="324"/>
      <c r="Q661" s="324"/>
      <c r="R661" s="515">
        <v>177464</v>
      </c>
      <c r="S661" s="324"/>
      <c r="T661" s="325">
        <f t="shared" si="10"/>
        <v>177464</v>
      </c>
    </row>
    <row r="662" spans="1:20" ht="18.75" x14ac:dyDescent="0.3">
      <c r="A662" s="512" t="s">
        <v>1254</v>
      </c>
      <c r="B662" s="513">
        <v>45429</v>
      </c>
      <c r="C662" s="514" t="s">
        <v>1944</v>
      </c>
      <c r="D662" s="321" t="s">
        <v>756</v>
      </c>
      <c r="E662" s="322" t="s">
        <v>755</v>
      </c>
      <c r="F662" s="515">
        <v>240000</v>
      </c>
      <c r="G662" s="324" t="s">
        <v>1114</v>
      </c>
      <c r="H662" s="324">
        <v>2024</v>
      </c>
      <c r="I662" s="324"/>
      <c r="J662" s="324"/>
      <c r="K662" s="324"/>
      <c r="L662" s="324"/>
      <c r="M662" s="324"/>
      <c r="N662" s="324"/>
      <c r="O662" s="324"/>
      <c r="P662" s="324"/>
      <c r="Q662" s="324"/>
      <c r="R662" s="515">
        <v>240000</v>
      </c>
      <c r="S662" s="324"/>
      <c r="T662" s="325">
        <f t="shared" si="10"/>
        <v>240000</v>
      </c>
    </row>
    <row r="663" spans="1:20" ht="18.75" x14ac:dyDescent="0.3">
      <c r="A663" s="512" t="s">
        <v>1817</v>
      </c>
      <c r="B663" s="513">
        <v>45429</v>
      </c>
      <c r="C663" s="514" t="s">
        <v>1945</v>
      </c>
      <c r="D663" s="321" t="s">
        <v>1041</v>
      </c>
      <c r="E663" s="322" t="s">
        <v>1946</v>
      </c>
      <c r="F663" s="515">
        <v>65608</v>
      </c>
      <c r="G663" s="324" t="s">
        <v>1114</v>
      </c>
      <c r="H663" s="324">
        <v>2024</v>
      </c>
      <c r="I663" s="324"/>
      <c r="J663" s="324"/>
      <c r="K663" s="324"/>
      <c r="L663" s="324"/>
      <c r="M663" s="324"/>
      <c r="N663" s="324"/>
      <c r="O663" s="324"/>
      <c r="P663" s="324"/>
      <c r="Q663" s="324"/>
      <c r="R663" s="515">
        <v>65608</v>
      </c>
      <c r="S663" s="324"/>
      <c r="T663" s="325">
        <f t="shared" si="10"/>
        <v>65608</v>
      </c>
    </row>
    <row r="664" spans="1:20" ht="18.75" x14ac:dyDescent="0.3">
      <c r="A664" s="512" t="s">
        <v>754</v>
      </c>
      <c r="B664" s="513">
        <v>45429</v>
      </c>
      <c r="C664" s="514" t="s">
        <v>1947</v>
      </c>
      <c r="D664" s="321" t="s">
        <v>1948</v>
      </c>
      <c r="E664" s="322" t="s">
        <v>1136</v>
      </c>
      <c r="F664" s="515">
        <v>112500</v>
      </c>
      <c r="G664" s="324" t="s">
        <v>1114</v>
      </c>
      <c r="H664" s="324">
        <v>2024</v>
      </c>
      <c r="I664" s="324"/>
      <c r="J664" s="324"/>
      <c r="K664" s="324"/>
      <c r="L664" s="324"/>
      <c r="M664" s="324"/>
      <c r="N664" s="324"/>
      <c r="O664" s="324"/>
      <c r="P664" s="324"/>
      <c r="Q664" s="324"/>
      <c r="R664" s="515">
        <v>112500</v>
      </c>
      <c r="S664" s="324"/>
      <c r="T664" s="325">
        <f t="shared" si="10"/>
        <v>112500</v>
      </c>
    </row>
    <row r="665" spans="1:20" ht="18.75" x14ac:dyDescent="0.3">
      <c r="A665" s="512" t="s">
        <v>1317</v>
      </c>
      <c r="B665" s="513">
        <v>45429</v>
      </c>
      <c r="C665" s="514" t="s">
        <v>1949</v>
      </c>
      <c r="D665" s="321" t="s">
        <v>1104</v>
      </c>
      <c r="E665" s="322" t="s">
        <v>1950</v>
      </c>
      <c r="F665" s="515">
        <v>258000.27</v>
      </c>
      <c r="G665" s="324" t="s">
        <v>1114</v>
      </c>
      <c r="H665" s="324">
        <v>2024</v>
      </c>
      <c r="I665" s="324"/>
      <c r="J665" s="324"/>
      <c r="K665" s="324"/>
      <c r="L665" s="324"/>
      <c r="M665" s="324"/>
      <c r="N665" s="324"/>
      <c r="O665" s="324"/>
      <c r="P665" s="324"/>
      <c r="Q665" s="324"/>
      <c r="R665" s="515">
        <v>258000.27</v>
      </c>
      <c r="S665" s="324"/>
      <c r="T665" s="325">
        <f t="shared" si="10"/>
        <v>258000.27</v>
      </c>
    </row>
    <row r="666" spans="1:20" ht="18.75" x14ac:dyDescent="0.3">
      <c r="A666" s="537" t="s">
        <v>242</v>
      </c>
      <c r="B666" s="513">
        <v>45430</v>
      </c>
      <c r="C666" s="322"/>
      <c r="D666" s="331" t="s">
        <v>1951</v>
      </c>
      <c r="E666" s="322" t="s">
        <v>724</v>
      </c>
      <c r="F666" s="323">
        <v>91679.47</v>
      </c>
      <c r="G666" s="324" t="s">
        <v>1114</v>
      </c>
      <c r="H666" s="324">
        <v>2024</v>
      </c>
      <c r="I666" s="324"/>
      <c r="J666" s="324"/>
      <c r="K666" s="324"/>
      <c r="L666" s="324"/>
      <c r="M666" s="324"/>
      <c r="N666" s="324"/>
      <c r="O666" s="324"/>
      <c r="P666" s="324"/>
      <c r="Q666" s="324"/>
      <c r="R666" s="323">
        <v>91679.47</v>
      </c>
      <c r="S666" s="324"/>
      <c r="T666" s="325">
        <f t="shared" si="10"/>
        <v>91679.47</v>
      </c>
    </row>
    <row r="667" spans="1:20" ht="18.75" x14ac:dyDescent="0.3">
      <c r="A667" s="537" t="s">
        <v>242</v>
      </c>
      <c r="B667" s="513">
        <v>45430</v>
      </c>
      <c r="C667" s="322"/>
      <c r="D667" s="331" t="s">
        <v>1952</v>
      </c>
      <c r="E667" s="322" t="s">
        <v>724</v>
      </c>
      <c r="F667" s="323">
        <v>91679.47</v>
      </c>
      <c r="G667" s="324" t="s">
        <v>1114</v>
      </c>
      <c r="H667" s="324">
        <v>2024</v>
      </c>
      <c r="I667" s="324"/>
      <c r="J667" s="324"/>
      <c r="K667" s="324"/>
      <c r="L667" s="324"/>
      <c r="M667" s="324"/>
      <c r="N667" s="324"/>
      <c r="O667" s="324"/>
      <c r="P667" s="324"/>
      <c r="Q667" s="324"/>
      <c r="R667" s="323">
        <v>91679.47</v>
      </c>
      <c r="S667" s="324"/>
      <c r="T667" s="325">
        <f t="shared" si="10"/>
        <v>91679.47</v>
      </c>
    </row>
    <row r="668" spans="1:20" ht="18.75" x14ac:dyDescent="0.3">
      <c r="A668" s="512" t="s">
        <v>852</v>
      </c>
      <c r="B668" s="513">
        <v>45432</v>
      </c>
      <c r="C668" s="514" t="s">
        <v>1953</v>
      </c>
      <c r="D668" s="321" t="s">
        <v>1028</v>
      </c>
      <c r="E668" s="322" t="s">
        <v>1232</v>
      </c>
      <c r="F668" s="515">
        <v>140800</v>
      </c>
      <c r="G668" s="324" t="s">
        <v>1114</v>
      </c>
      <c r="H668" s="324">
        <v>2024</v>
      </c>
      <c r="I668" s="324"/>
      <c r="J668" s="324"/>
      <c r="K668" s="324"/>
      <c r="L668" s="324"/>
      <c r="M668" s="324"/>
      <c r="N668" s="324"/>
      <c r="O668" s="324"/>
      <c r="P668" s="324"/>
      <c r="Q668" s="324"/>
      <c r="R668" s="515">
        <v>140800</v>
      </c>
      <c r="S668" s="324"/>
      <c r="T668" s="325">
        <f t="shared" si="10"/>
        <v>140800</v>
      </c>
    </row>
    <row r="669" spans="1:20" ht="18.75" x14ac:dyDescent="0.3">
      <c r="A669" s="518" t="s">
        <v>1735</v>
      </c>
      <c r="B669" s="513">
        <v>45432</v>
      </c>
      <c r="C669" s="514" t="s">
        <v>1954</v>
      </c>
      <c r="D669" s="321" t="s">
        <v>1955</v>
      </c>
      <c r="E669" s="322" t="s">
        <v>680</v>
      </c>
      <c r="F669" s="515">
        <v>216749.48</v>
      </c>
      <c r="G669" s="324" t="s">
        <v>1114</v>
      </c>
      <c r="H669" s="324">
        <v>2024</v>
      </c>
      <c r="I669" s="324"/>
      <c r="J669" s="324"/>
      <c r="K669" s="324"/>
      <c r="L669" s="324"/>
      <c r="M669" s="324"/>
      <c r="N669" s="324"/>
      <c r="O669" s="324"/>
      <c r="P669" s="324"/>
      <c r="Q669" s="324"/>
      <c r="R669" s="515">
        <v>216749.48</v>
      </c>
      <c r="S669" s="324"/>
      <c r="T669" s="325">
        <f t="shared" si="10"/>
        <v>216749.48</v>
      </c>
    </row>
    <row r="670" spans="1:20" ht="18.75" x14ac:dyDescent="0.3">
      <c r="A670" s="512" t="s">
        <v>368</v>
      </c>
      <c r="B670" s="513">
        <v>45432</v>
      </c>
      <c r="C670" s="514" t="s">
        <v>1956</v>
      </c>
      <c r="D670" s="321" t="s">
        <v>851</v>
      </c>
      <c r="E670" s="322" t="s">
        <v>1957</v>
      </c>
      <c r="F670" s="515">
        <v>43000</v>
      </c>
      <c r="G670" s="324" t="s">
        <v>1114</v>
      </c>
      <c r="H670" s="324">
        <v>2024</v>
      </c>
      <c r="I670" s="324"/>
      <c r="J670" s="324"/>
      <c r="K670" s="324"/>
      <c r="L670" s="324"/>
      <c r="M670" s="324"/>
      <c r="N670" s="324"/>
      <c r="O670" s="324"/>
      <c r="P670" s="324"/>
      <c r="Q670" s="324"/>
      <c r="R670" s="515">
        <v>43000</v>
      </c>
      <c r="S670" s="324"/>
      <c r="T670" s="325">
        <f t="shared" si="10"/>
        <v>43000</v>
      </c>
    </row>
    <row r="671" spans="1:20" ht="18.75" x14ac:dyDescent="0.3">
      <c r="A671" s="513" t="s">
        <v>347</v>
      </c>
      <c r="B671" s="513">
        <v>45433</v>
      </c>
      <c r="C671" s="514" t="s">
        <v>1958</v>
      </c>
      <c r="D671" s="320" t="s">
        <v>1959</v>
      </c>
      <c r="E671" s="322" t="s">
        <v>867</v>
      </c>
      <c r="F671" s="515">
        <v>244977.6</v>
      </c>
      <c r="G671" s="324" t="s">
        <v>1114</v>
      </c>
      <c r="H671" s="324">
        <v>2024</v>
      </c>
      <c r="I671" s="324"/>
      <c r="J671" s="324"/>
      <c r="K671" s="324"/>
      <c r="L671" s="324"/>
      <c r="M671" s="324"/>
      <c r="N671" s="324"/>
      <c r="O671" s="324"/>
      <c r="P671" s="324"/>
      <c r="Q671" s="324"/>
      <c r="R671" s="515">
        <v>244977.6</v>
      </c>
      <c r="S671" s="324"/>
      <c r="T671" s="325">
        <f t="shared" si="10"/>
        <v>244977.6</v>
      </c>
    </row>
    <row r="672" spans="1:20" ht="18.75" x14ac:dyDescent="0.3">
      <c r="A672" s="527" t="s">
        <v>443</v>
      </c>
      <c r="B672" s="528">
        <v>45433</v>
      </c>
      <c r="C672" s="529" t="s">
        <v>1640</v>
      </c>
      <c r="D672" s="339" t="s">
        <v>1115</v>
      </c>
      <c r="E672" s="340" t="s">
        <v>1960</v>
      </c>
      <c r="F672" s="530">
        <v>80363.899999999994</v>
      </c>
      <c r="G672" s="324" t="s">
        <v>1114</v>
      </c>
      <c r="H672" s="324">
        <v>2024</v>
      </c>
      <c r="I672" s="324"/>
      <c r="J672" s="324"/>
      <c r="K672" s="324"/>
      <c r="L672" s="324"/>
      <c r="M672" s="324"/>
      <c r="N672" s="324"/>
      <c r="O672" s="324"/>
      <c r="P672" s="324"/>
      <c r="Q672" s="324"/>
      <c r="R672" s="530">
        <v>80363.899999999994</v>
      </c>
      <c r="S672" s="324"/>
      <c r="T672" s="325">
        <f t="shared" si="10"/>
        <v>80363.899999999994</v>
      </c>
    </row>
    <row r="673" spans="1:20" ht="18.75" x14ac:dyDescent="0.3">
      <c r="A673" s="513" t="s">
        <v>240</v>
      </c>
      <c r="B673" s="513">
        <v>45434</v>
      </c>
      <c r="C673" s="514" t="s">
        <v>1961</v>
      </c>
      <c r="D673" s="346" t="s">
        <v>1081</v>
      </c>
      <c r="E673" s="322" t="s">
        <v>1962</v>
      </c>
      <c r="F673" s="515">
        <v>194700</v>
      </c>
      <c r="G673" s="324" t="s">
        <v>1114</v>
      </c>
      <c r="H673" s="324">
        <v>2024</v>
      </c>
      <c r="I673" s="324"/>
      <c r="J673" s="324"/>
      <c r="K673" s="324"/>
      <c r="L673" s="324"/>
      <c r="M673" s="324"/>
      <c r="N673" s="324"/>
      <c r="O673" s="324"/>
      <c r="P673" s="324"/>
      <c r="Q673" s="324"/>
      <c r="R673" s="515">
        <v>194700</v>
      </c>
      <c r="S673" s="324"/>
      <c r="T673" s="325">
        <f t="shared" si="10"/>
        <v>194700</v>
      </c>
    </row>
    <row r="674" spans="1:20" ht="37.5" x14ac:dyDescent="0.3">
      <c r="A674" s="513" t="s">
        <v>240</v>
      </c>
      <c r="B674" s="513">
        <v>45434</v>
      </c>
      <c r="C674" s="514" t="s">
        <v>1963</v>
      </c>
      <c r="D674" s="346" t="s">
        <v>1083</v>
      </c>
      <c r="E674" s="322" t="s">
        <v>1964</v>
      </c>
      <c r="F674" s="515">
        <v>12390</v>
      </c>
      <c r="G674" s="324" t="s">
        <v>1114</v>
      </c>
      <c r="H674" s="324">
        <v>2024</v>
      </c>
      <c r="I674" s="324"/>
      <c r="J674" s="324"/>
      <c r="K674" s="324"/>
      <c r="L674" s="324"/>
      <c r="M674" s="324"/>
      <c r="N674" s="324"/>
      <c r="O674" s="324"/>
      <c r="P674" s="324"/>
      <c r="Q674" s="324"/>
      <c r="R674" s="515">
        <v>12390</v>
      </c>
      <c r="S674" s="324"/>
      <c r="T674" s="325">
        <f t="shared" si="10"/>
        <v>12390</v>
      </c>
    </row>
    <row r="675" spans="1:20" ht="18.75" x14ac:dyDescent="0.3">
      <c r="A675" s="513" t="s">
        <v>240</v>
      </c>
      <c r="B675" s="513">
        <v>45434</v>
      </c>
      <c r="C675" s="514" t="s">
        <v>1965</v>
      </c>
      <c r="D675" s="346" t="s">
        <v>723</v>
      </c>
      <c r="E675" s="322" t="s">
        <v>1321</v>
      </c>
      <c r="F675" s="515">
        <v>139830</v>
      </c>
      <c r="G675" s="324" t="s">
        <v>1114</v>
      </c>
      <c r="H675" s="324">
        <v>2024</v>
      </c>
      <c r="I675" s="324"/>
      <c r="J675" s="324"/>
      <c r="K675" s="324"/>
      <c r="L675" s="324"/>
      <c r="M675" s="324"/>
      <c r="N675" s="324"/>
      <c r="O675" s="324"/>
      <c r="P675" s="324"/>
      <c r="Q675" s="324"/>
      <c r="R675" s="515">
        <v>139830</v>
      </c>
      <c r="S675" s="324"/>
      <c r="T675" s="325">
        <f t="shared" si="10"/>
        <v>139830</v>
      </c>
    </row>
    <row r="676" spans="1:20" ht="18.75" x14ac:dyDescent="0.3">
      <c r="A676" s="537" t="s">
        <v>242</v>
      </c>
      <c r="B676" s="513">
        <v>45434</v>
      </c>
      <c r="C676" s="322"/>
      <c r="D676" s="331" t="s">
        <v>1966</v>
      </c>
      <c r="E676" s="322" t="s">
        <v>724</v>
      </c>
      <c r="F676" s="323">
        <v>93068.68</v>
      </c>
      <c r="G676" s="324" t="s">
        <v>1114</v>
      </c>
      <c r="H676" s="324">
        <v>2024</v>
      </c>
      <c r="I676" s="324"/>
      <c r="J676" s="324"/>
      <c r="K676" s="324"/>
      <c r="L676" s="324"/>
      <c r="M676" s="324"/>
      <c r="N676" s="324"/>
      <c r="O676" s="324"/>
      <c r="P676" s="324"/>
      <c r="Q676" s="324"/>
      <c r="R676" s="323">
        <v>93068.68</v>
      </c>
      <c r="S676" s="324"/>
      <c r="T676" s="325">
        <f t="shared" si="10"/>
        <v>93068.68</v>
      </c>
    </row>
    <row r="677" spans="1:20" ht="18.75" x14ac:dyDescent="0.3">
      <c r="A677" s="537" t="s">
        <v>242</v>
      </c>
      <c r="B677" s="513">
        <v>45434</v>
      </c>
      <c r="C677" s="322"/>
      <c r="D677" s="331" t="s">
        <v>1967</v>
      </c>
      <c r="E677" s="322" t="s">
        <v>724</v>
      </c>
      <c r="F677" s="323">
        <v>46747.32</v>
      </c>
      <c r="G677" s="324" t="s">
        <v>1114</v>
      </c>
      <c r="H677" s="324">
        <v>2024</v>
      </c>
      <c r="I677" s="324"/>
      <c r="J677" s="324"/>
      <c r="K677" s="324"/>
      <c r="L677" s="324"/>
      <c r="M677" s="324"/>
      <c r="N677" s="324"/>
      <c r="O677" s="324"/>
      <c r="P677" s="324"/>
      <c r="Q677" s="324"/>
      <c r="R677" s="323">
        <v>46747.32</v>
      </c>
      <c r="S677" s="324"/>
      <c r="T677" s="325">
        <f t="shared" si="10"/>
        <v>46747.32</v>
      </c>
    </row>
    <row r="678" spans="1:20" ht="18.75" x14ac:dyDescent="0.3">
      <c r="A678" s="513" t="s">
        <v>347</v>
      </c>
      <c r="B678" s="513">
        <v>45434</v>
      </c>
      <c r="C678" s="514" t="s">
        <v>1968</v>
      </c>
      <c r="D678" s="320" t="s">
        <v>1969</v>
      </c>
      <c r="E678" s="322" t="s">
        <v>1073</v>
      </c>
      <c r="F678" s="515">
        <v>110448</v>
      </c>
      <c r="G678" s="324" t="s">
        <v>1114</v>
      </c>
      <c r="H678" s="324">
        <v>2024</v>
      </c>
      <c r="I678" s="324"/>
      <c r="J678" s="324"/>
      <c r="K678" s="324"/>
      <c r="L678" s="324"/>
      <c r="M678" s="324"/>
      <c r="N678" s="324"/>
      <c r="O678" s="324"/>
      <c r="P678" s="324"/>
      <c r="Q678" s="324"/>
      <c r="R678" s="515">
        <v>110448</v>
      </c>
      <c r="S678" s="324"/>
      <c r="T678" s="325">
        <f t="shared" si="10"/>
        <v>110448</v>
      </c>
    </row>
    <row r="679" spans="1:20" ht="18.75" x14ac:dyDescent="0.3">
      <c r="A679" s="512" t="s">
        <v>1317</v>
      </c>
      <c r="B679" s="513">
        <v>45434</v>
      </c>
      <c r="C679" s="514" t="s">
        <v>1970</v>
      </c>
      <c r="D679" s="321" t="s">
        <v>642</v>
      </c>
      <c r="E679" s="322" t="s">
        <v>1950</v>
      </c>
      <c r="F679" s="515">
        <v>86161.24</v>
      </c>
      <c r="G679" s="324" t="s">
        <v>1114</v>
      </c>
      <c r="H679" s="324">
        <v>2024</v>
      </c>
      <c r="I679" s="324"/>
      <c r="J679" s="324"/>
      <c r="K679" s="324"/>
      <c r="L679" s="324"/>
      <c r="M679" s="324"/>
      <c r="N679" s="324"/>
      <c r="O679" s="324"/>
      <c r="P679" s="324"/>
      <c r="Q679" s="324"/>
      <c r="R679" s="515">
        <v>86161.24</v>
      </c>
      <c r="S679" s="324"/>
      <c r="T679" s="325">
        <f t="shared" si="10"/>
        <v>86161.24</v>
      </c>
    </row>
    <row r="680" spans="1:20" ht="18.75" x14ac:dyDescent="0.3">
      <c r="A680" s="537" t="s">
        <v>242</v>
      </c>
      <c r="B680" s="513">
        <v>45435</v>
      </c>
      <c r="C680" s="322"/>
      <c r="D680" s="331" t="s">
        <v>1971</v>
      </c>
      <c r="E680" s="322" t="s">
        <v>724</v>
      </c>
      <c r="F680" s="323">
        <v>54008.01</v>
      </c>
      <c r="G680" s="324" t="s">
        <v>1114</v>
      </c>
      <c r="H680" s="324">
        <v>2024</v>
      </c>
      <c r="I680" s="324"/>
      <c r="J680" s="324"/>
      <c r="K680" s="324"/>
      <c r="L680" s="324"/>
      <c r="M680" s="324"/>
      <c r="N680" s="324"/>
      <c r="O680" s="324"/>
      <c r="P680" s="324"/>
      <c r="Q680" s="324"/>
      <c r="R680" s="323">
        <v>54008.01</v>
      </c>
      <c r="S680" s="324"/>
      <c r="T680" s="325">
        <f t="shared" si="10"/>
        <v>54008.01</v>
      </c>
    </row>
    <row r="681" spans="1:20" ht="18.75" x14ac:dyDescent="0.3">
      <c r="A681" s="513" t="s">
        <v>253</v>
      </c>
      <c r="B681" s="513">
        <v>45435</v>
      </c>
      <c r="C681" s="514" t="s">
        <v>1758</v>
      </c>
      <c r="D681" s="321" t="s">
        <v>1972</v>
      </c>
      <c r="E681" s="322" t="s">
        <v>701</v>
      </c>
      <c r="F681" s="515">
        <v>1725</v>
      </c>
      <c r="G681" s="324" t="s">
        <v>1114</v>
      </c>
      <c r="H681" s="324">
        <v>2024</v>
      </c>
      <c r="I681" s="324"/>
      <c r="J681" s="324"/>
      <c r="K681" s="324"/>
      <c r="L681" s="324"/>
      <c r="M681" s="324"/>
      <c r="N681" s="324"/>
      <c r="O681" s="324"/>
      <c r="P681" s="324"/>
      <c r="Q681" s="324"/>
      <c r="R681" s="515">
        <v>1725</v>
      </c>
      <c r="S681" s="324"/>
      <c r="T681" s="325">
        <f t="shared" si="10"/>
        <v>1725</v>
      </c>
    </row>
    <row r="682" spans="1:20" ht="18.75" x14ac:dyDescent="0.3">
      <c r="A682" s="512" t="s">
        <v>397</v>
      </c>
      <c r="B682" s="513">
        <v>45435</v>
      </c>
      <c r="C682" s="514" t="s">
        <v>1973</v>
      </c>
      <c r="D682" s="321" t="s">
        <v>1974</v>
      </c>
      <c r="E682" s="322" t="s">
        <v>1975</v>
      </c>
      <c r="F682" s="515">
        <v>159300</v>
      </c>
      <c r="G682" s="324" t="s">
        <v>1114</v>
      </c>
      <c r="H682" s="324">
        <v>2024</v>
      </c>
      <c r="I682" s="324"/>
      <c r="J682" s="324"/>
      <c r="K682" s="324"/>
      <c r="L682" s="324"/>
      <c r="M682" s="324"/>
      <c r="N682" s="324"/>
      <c r="O682" s="324"/>
      <c r="P682" s="324"/>
      <c r="Q682" s="324"/>
      <c r="R682" s="515">
        <v>159300</v>
      </c>
      <c r="S682" s="324"/>
      <c r="T682" s="325">
        <f t="shared" si="10"/>
        <v>159300</v>
      </c>
    </row>
    <row r="683" spans="1:20" ht="18.75" x14ac:dyDescent="0.3">
      <c r="A683" s="512" t="s">
        <v>922</v>
      </c>
      <c r="B683" s="513">
        <v>45435</v>
      </c>
      <c r="C683" s="514" t="s">
        <v>1976</v>
      </c>
      <c r="D683" s="321" t="s">
        <v>1977</v>
      </c>
      <c r="E683" s="328" t="s">
        <v>680</v>
      </c>
      <c r="F683" s="515">
        <v>9923.7999999999993</v>
      </c>
      <c r="G683" s="324" t="s">
        <v>1114</v>
      </c>
      <c r="H683" s="324">
        <v>2024</v>
      </c>
      <c r="I683" s="324"/>
      <c r="J683" s="324"/>
      <c r="K683" s="324"/>
      <c r="L683" s="324"/>
      <c r="M683" s="324"/>
      <c r="N683" s="324"/>
      <c r="O683" s="324"/>
      <c r="P683" s="324"/>
      <c r="Q683" s="324"/>
      <c r="R683" s="515">
        <v>9923.7999999999993</v>
      </c>
      <c r="S683" s="324"/>
      <c r="T683" s="325">
        <f t="shared" si="10"/>
        <v>9923.7999999999993</v>
      </c>
    </row>
    <row r="684" spans="1:20" ht="37.5" x14ac:dyDescent="0.3">
      <c r="A684" s="319" t="s">
        <v>1978</v>
      </c>
      <c r="B684" s="513">
        <v>45435</v>
      </c>
      <c r="C684" s="514" t="s">
        <v>1979</v>
      </c>
      <c r="D684" s="321" t="s">
        <v>1980</v>
      </c>
      <c r="E684" s="322" t="s">
        <v>1981</v>
      </c>
      <c r="F684" s="515">
        <v>169088.1</v>
      </c>
      <c r="G684" s="324" t="s">
        <v>1114</v>
      </c>
      <c r="H684" s="324">
        <v>2024</v>
      </c>
      <c r="I684" s="324"/>
      <c r="J684" s="324"/>
      <c r="K684" s="324"/>
      <c r="L684" s="324"/>
      <c r="M684" s="324"/>
      <c r="N684" s="324"/>
      <c r="O684" s="324"/>
      <c r="P684" s="324"/>
      <c r="Q684" s="324"/>
      <c r="R684" s="515">
        <v>169088.1</v>
      </c>
      <c r="S684" s="324"/>
      <c r="T684" s="325">
        <f t="shared" si="10"/>
        <v>169088.1</v>
      </c>
    </row>
    <row r="685" spans="1:20" s="336" customFormat="1" ht="18.75" x14ac:dyDescent="0.3">
      <c r="A685" s="513" t="s">
        <v>358</v>
      </c>
      <c r="B685" s="513">
        <v>45435</v>
      </c>
      <c r="C685" s="514" t="s">
        <v>1982</v>
      </c>
      <c r="D685" s="321" t="s">
        <v>1983</v>
      </c>
      <c r="E685" s="322" t="s">
        <v>506</v>
      </c>
      <c r="F685" s="515">
        <v>210000</v>
      </c>
      <c r="G685" s="324" t="s">
        <v>1114</v>
      </c>
      <c r="H685" s="324">
        <v>2024</v>
      </c>
      <c r="I685" s="335"/>
      <c r="J685" s="335"/>
      <c r="K685" s="335"/>
      <c r="L685" s="335"/>
      <c r="M685" s="335"/>
      <c r="N685" s="335"/>
      <c r="O685" s="335"/>
      <c r="P685" s="335"/>
      <c r="Q685" s="335"/>
      <c r="R685" s="515">
        <v>210000</v>
      </c>
      <c r="S685" s="335"/>
      <c r="T685" s="325">
        <f t="shared" si="10"/>
        <v>210000</v>
      </c>
    </row>
    <row r="686" spans="1:20" ht="18.75" x14ac:dyDescent="0.3">
      <c r="A686" s="319" t="s">
        <v>1156</v>
      </c>
      <c r="B686" s="513">
        <v>45436</v>
      </c>
      <c r="C686" s="514" t="s">
        <v>1812</v>
      </c>
      <c r="D686" s="321" t="s">
        <v>1984</v>
      </c>
      <c r="E686" s="322" t="s">
        <v>1202</v>
      </c>
      <c r="F686" s="515">
        <v>8520</v>
      </c>
      <c r="G686" s="324" t="s">
        <v>1114</v>
      </c>
      <c r="H686" s="324">
        <v>2024</v>
      </c>
      <c r="I686" s="324"/>
      <c r="J686" s="324"/>
      <c r="K686" s="324"/>
      <c r="L686" s="324"/>
      <c r="M686" s="324"/>
      <c r="N686" s="324"/>
      <c r="O686" s="324"/>
      <c r="P686" s="324"/>
      <c r="Q686" s="324"/>
      <c r="R686" s="515">
        <v>8520</v>
      </c>
      <c r="S686" s="324"/>
      <c r="T686" s="325">
        <f t="shared" si="10"/>
        <v>8520</v>
      </c>
    </row>
    <row r="687" spans="1:20" ht="18.75" x14ac:dyDescent="0.3">
      <c r="A687" s="512" t="s">
        <v>1164</v>
      </c>
      <c r="B687" s="513">
        <v>45436</v>
      </c>
      <c r="C687" s="514"/>
      <c r="D687" s="321" t="s">
        <v>1289</v>
      </c>
      <c r="E687" s="322" t="s">
        <v>1908</v>
      </c>
      <c r="F687" s="515">
        <v>115749.54</v>
      </c>
      <c r="G687" s="324" t="s">
        <v>1114</v>
      </c>
      <c r="H687" s="324">
        <v>2024</v>
      </c>
      <c r="I687" s="324"/>
      <c r="J687" s="324"/>
      <c r="K687" s="324"/>
      <c r="L687" s="324"/>
      <c r="M687" s="324"/>
      <c r="N687" s="324"/>
      <c r="O687" s="324"/>
      <c r="P687" s="324"/>
      <c r="Q687" s="324"/>
      <c r="R687" s="515">
        <v>115749.54</v>
      </c>
      <c r="S687" s="324"/>
      <c r="T687" s="325">
        <f t="shared" si="10"/>
        <v>115749.54</v>
      </c>
    </row>
    <row r="688" spans="1:20" ht="18.75" x14ac:dyDescent="0.3">
      <c r="A688" s="513" t="s">
        <v>1634</v>
      </c>
      <c r="B688" s="513">
        <v>45436</v>
      </c>
      <c r="C688" s="514" t="s">
        <v>1985</v>
      </c>
      <c r="D688" s="321" t="s">
        <v>1774</v>
      </c>
      <c r="E688" s="514" t="s">
        <v>1986</v>
      </c>
      <c r="F688" s="544">
        <v>1653099.76</v>
      </c>
      <c r="G688" s="324" t="s">
        <v>1114</v>
      </c>
      <c r="H688" s="324">
        <v>2024</v>
      </c>
      <c r="I688" s="324"/>
      <c r="J688" s="324"/>
      <c r="K688" s="324"/>
      <c r="L688" s="324"/>
      <c r="M688" s="324"/>
      <c r="N688" s="324"/>
      <c r="O688" s="324"/>
      <c r="P688" s="324"/>
      <c r="Q688" s="324"/>
      <c r="R688" s="544">
        <v>1653099.76</v>
      </c>
      <c r="S688" s="324"/>
      <c r="T688" s="325">
        <f t="shared" si="10"/>
        <v>1653099.76</v>
      </c>
    </row>
    <row r="689" spans="1:20" ht="18.75" x14ac:dyDescent="0.3">
      <c r="A689" s="513" t="s">
        <v>1634</v>
      </c>
      <c r="B689" s="513">
        <v>45436</v>
      </c>
      <c r="C689" s="514" t="s">
        <v>1632</v>
      </c>
      <c r="D689" s="321" t="s">
        <v>1089</v>
      </c>
      <c r="E689" s="514"/>
      <c r="F689" s="544">
        <v>1818082.24</v>
      </c>
      <c r="G689" s="324" t="s">
        <v>1114</v>
      </c>
      <c r="H689" s="324">
        <v>2024</v>
      </c>
      <c r="I689" s="324"/>
      <c r="J689" s="324"/>
      <c r="K689" s="324"/>
      <c r="L689" s="324"/>
      <c r="M689" s="324"/>
      <c r="N689" s="324"/>
      <c r="O689" s="324"/>
      <c r="P689" s="324"/>
      <c r="Q689" s="324"/>
      <c r="R689" s="544">
        <v>1818082.24</v>
      </c>
      <c r="S689" s="324"/>
      <c r="T689" s="325">
        <f t="shared" si="10"/>
        <v>1818082.24</v>
      </c>
    </row>
    <row r="690" spans="1:20" ht="18.75" x14ac:dyDescent="0.3">
      <c r="A690" s="512" t="s">
        <v>922</v>
      </c>
      <c r="B690" s="513">
        <v>45439</v>
      </c>
      <c r="C690" s="514" t="s">
        <v>1987</v>
      </c>
      <c r="D690" s="321" t="s">
        <v>1176</v>
      </c>
      <c r="E690" s="328" t="s">
        <v>680</v>
      </c>
      <c r="F690" s="515">
        <v>14042</v>
      </c>
      <c r="G690" s="324" t="s">
        <v>1114</v>
      </c>
      <c r="H690" s="324">
        <v>2024</v>
      </c>
      <c r="I690" s="324"/>
      <c r="J690" s="324"/>
      <c r="K690" s="324"/>
      <c r="L690" s="324"/>
      <c r="M690" s="324"/>
      <c r="N690" s="324"/>
      <c r="O690" s="324"/>
      <c r="P690" s="324"/>
      <c r="Q690" s="324"/>
      <c r="R690" s="515">
        <v>14042</v>
      </c>
      <c r="S690" s="324"/>
      <c r="T690" s="325">
        <f t="shared" si="10"/>
        <v>14042</v>
      </c>
    </row>
    <row r="691" spans="1:20" ht="18.75" x14ac:dyDescent="0.3">
      <c r="A691" s="512" t="s">
        <v>1119</v>
      </c>
      <c r="B691" s="513">
        <v>45439</v>
      </c>
      <c r="C691" s="514" t="s">
        <v>1988</v>
      </c>
      <c r="D691" s="321" t="s">
        <v>1989</v>
      </c>
      <c r="E691" s="322" t="s">
        <v>1238</v>
      </c>
      <c r="F691" s="515">
        <v>585823.68000000005</v>
      </c>
      <c r="G691" s="324" t="s">
        <v>1114</v>
      </c>
      <c r="H691" s="324">
        <v>2024</v>
      </c>
      <c r="I691" s="324"/>
      <c r="J691" s="324"/>
      <c r="K691" s="324"/>
      <c r="L691" s="324"/>
      <c r="M691" s="324"/>
      <c r="N691" s="324"/>
      <c r="O691" s="324"/>
      <c r="P691" s="324"/>
      <c r="Q691" s="324"/>
      <c r="R691" s="515">
        <v>585823.68000000005</v>
      </c>
      <c r="S691" s="324"/>
      <c r="T691" s="325">
        <f t="shared" si="10"/>
        <v>585823.68000000005</v>
      </c>
    </row>
    <row r="692" spans="1:20" s="336" customFormat="1" ht="18.75" x14ac:dyDescent="0.3">
      <c r="A692" s="537" t="s">
        <v>242</v>
      </c>
      <c r="B692" s="513">
        <v>45440</v>
      </c>
      <c r="C692" s="322"/>
      <c r="D692" s="331" t="s">
        <v>1990</v>
      </c>
      <c r="E692" s="322" t="s">
        <v>724</v>
      </c>
      <c r="F692" s="323">
        <v>26532.37</v>
      </c>
      <c r="G692" s="324" t="s">
        <v>1114</v>
      </c>
      <c r="H692" s="324">
        <v>2024</v>
      </c>
      <c r="I692" s="335"/>
      <c r="J692" s="335"/>
      <c r="K692" s="335"/>
      <c r="L692" s="335"/>
      <c r="M692" s="335"/>
      <c r="N692" s="335"/>
      <c r="O692" s="335"/>
      <c r="P692" s="335"/>
      <c r="Q692" s="335"/>
      <c r="R692" s="323">
        <v>26532.37</v>
      </c>
      <c r="S692" s="335"/>
      <c r="T692" s="325">
        <f t="shared" si="10"/>
        <v>26532.37</v>
      </c>
    </row>
    <row r="693" spans="1:20" ht="18.75" x14ac:dyDescent="0.3">
      <c r="A693" s="548" t="s">
        <v>1991</v>
      </c>
      <c r="B693" s="513">
        <v>45440</v>
      </c>
      <c r="C693" s="549" t="s">
        <v>1992</v>
      </c>
      <c r="D693" s="320" t="s">
        <v>621</v>
      </c>
      <c r="E693" s="322" t="s">
        <v>755</v>
      </c>
      <c r="F693" s="515">
        <v>18750</v>
      </c>
      <c r="G693" s="324" t="s">
        <v>1114</v>
      </c>
      <c r="H693" s="324">
        <v>2024</v>
      </c>
      <c r="I693" s="324"/>
      <c r="J693" s="324"/>
      <c r="K693" s="324"/>
      <c r="L693" s="324"/>
      <c r="M693" s="324"/>
      <c r="N693" s="324"/>
      <c r="O693" s="324"/>
      <c r="P693" s="324"/>
      <c r="Q693" s="324"/>
      <c r="R693" s="515">
        <v>18750</v>
      </c>
      <c r="S693" s="324"/>
      <c r="T693" s="325">
        <f t="shared" si="10"/>
        <v>18750</v>
      </c>
    </row>
    <row r="694" spans="1:20" ht="18.75" x14ac:dyDescent="0.3">
      <c r="A694" s="512" t="s">
        <v>922</v>
      </c>
      <c r="B694" s="513">
        <v>45440</v>
      </c>
      <c r="C694" s="514" t="s">
        <v>1993</v>
      </c>
      <c r="D694" s="321" t="s">
        <v>1994</v>
      </c>
      <c r="E694" s="328" t="s">
        <v>680</v>
      </c>
      <c r="F694" s="515">
        <v>229775</v>
      </c>
      <c r="G694" s="324" t="s">
        <v>1114</v>
      </c>
      <c r="H694" s="324">
        <v>2024</v>
      </c>
      <c r="I694" s="324"/>
      <c r="J694" s="324"/>
      <c r="K694" s="324"/>
      <c r="L694" s="324"/>
      <c r="M694" s="324"/>
      <c r="N694" s="324"/>
      <c r="O694" s="324"/>
      <c r="P694" s="324"/>
      <c r="Q694" s="324"/>
      <c r="R694" s="515">
        <v>229775</v>
      </c>
      <c r="S694" s="324"/>
      <c r="T694" s="325">
        <f t="shared" si="10"/>
        <v>229775</v>
      </c>
    </row>
    <row r="695" spans="1:20" ht="18.75" x14ac:dyDescent="0.3">
      <c r="A695" s="512" t="s">
        <v>659</v>
      </c>
      <c r="B695" s="527">
        <v>45440</v>
      </c>
      <c r="C695" s="531" t="s">
        <v>1995</v>
      </c>
      <c r="D695" s="341" t="s">
        <v>1996</v>
      </c>
      <c r="E695" s="344" t="s">
        <v>932</v>
      </c>
      <c r="F695" s="532">
        <v>150000</v>
      </c>
      <c r="G695" s="324" t="s">
        <v>1114</v>
      </c>
      <c r="H695" s="324">
        <v>2024</v>
      </c>
      <c r="I695" s="324"/>
      <c r="J695" s="324"/>
      <c r="K695" s="324"/>
      <c r="L695" s="324"/>
      <c r="M695" s="324"/>
      <c r="N695" s="324"/>
      <c r="O695" s="324"/>
      <c r="P695" s="324"/>
      <c r="Q695" s="324"/>
      <c r="R695" s="532">
        <v>150000</v>
      </c>
      <c r="S695" s="324"/>
      <c r="T695" s="325">
        <f t="shared" si="10"/>
        <v>150000</v>
      </c>
    </row>
    <row r="696" spans="1:20" ht="18.75" x14ac:dyDescent="0.3">
      <c r="A696" s="513" t="s">
        <v>943</v>
      </c>
      <c r="B696" s="513">
        <v>45440</v>
      </c>
      <c r="C696" s="514"/>
      <c r="D696" s="321" t="s">
        <v>1997</v>
      </c>
      <c r="E696" s="322" t="s">
        <v>1100</v>
      </c>
      <c r="F696" s="515">
        <v>23205</v>
      </c>
      <c r="G696" s="324" t="s">
        <v>1114</v>
      </c>
      <c r="H696" s="324">
        <v>2024</v>
      </c>
      <c r="I696" s="324"/>
      <c r="J696" s="324"/>
      <c r="K696" s="324"/>
      <c r="L696" s="324"/>
      <c r="M696" s="324"/>
      <c r="N696" s="324"/>
      <c r="O696" s="324"/>
      <c r="P696" s="324"/>
      <c r="Q696" s="324"/>
      <c r="R696" s="515">
        <v>23205</v>
      </c>
      <c r="S696" s="324"/>
      <c r="T696" s="325">
        <f t="shared" si="10"/>
        <v>23205</v>
      </c>
    </row>
    <row r="697" spans="1:20" ht="18.75" x14ac:dyDescent="0.3">
      <c r="A697" s="512" t="s">
        <v>866</v>
      </c>
      <c r="B697" s="513">
        <v>45441</v>
      </c>
      <c r="C697" s="514" t="s">
        <v>1998</v>
      </c>
      <c r="D697" s="321" t="s">
        <v>1999</v>
      </c>
      <c r="E697" s="322" t="s">
        <v>1256</v>
      </c>
      <c r="F697" s="515">
        <v>196502.97</v>
      </c>
      <c r="G697" s="324" t="s">
        <v>1114</v>
      </c>
      <c r="H697" s="324">
        <v>2024</v>
      </c>
      <c r="I697" s="324"/>
      <c r="J697" s="324"/>
      <c r="K697" s="324"/>
      <c r="L697" s="324"/>
      <c r="M697" s="324"/>
      <c r="N697" s="324"/>
      <c r="O697" s="324"/>
      <c r="P697" s="324"/>
      <c r="Q697" s="324"/>
      <c r="R697" s="515">
        <v>196502.97</v>
      </c>
      <c r="S697" s="324"/>
      <c r="T697" s="325">
        <f t="shared" si="10"/>
        <v>196502.97</v>
      </c>
    </row>
    <row r="698" spans="1:20" ht="18.75" x14ac:dyDescent="0.3">
      <c r="A698" s="512" t="s">
        <v>271</v>
      </c>
      <c r="B698" s="512">
        <v>45441</v>
      </c>
      <c r="C698" s="521" t="s">
        <v>2000</v>
      </c>
      <c r="D698" s="321" t="s">
        <v>2001</v>
      </c>
      <c r="E698" s="328" t="s">
        <v>680</v>
      </c>
      <c r="F698" s="522">
        <v>159123</v>
      </c>
      <c r="G698" s="324" t="s">
        <v>1114</v>
      </c>
      <c r="H698" s="324">
        <v>2024</v>
      </c>
      <c r="I698" s="324"/>
      <c r="J698" s="324"/>
      <c r="K698" s="324"/>
      <c r="L698" s="324"/>
      <c r="M698" s="324"/>
      <c r="N698" s="324"/>
      <c r="O698" s="324"/>
      <c r="P698" s="324"/>
      <c r="Q698" s="324"/>
      <c r="R698" s="522">
        <v>159123</v>
      </c>
      <c r="S698" s="324"/>
      <c r="T698" s="325">
        <f t="shared" si="10"/>
        <v>159123</v>
      </c>
    </row>
    <row r="699" spans="1:20" ht="18.75" x14ac:dyDescent="0.3">
      <c r="A699" s="512" t="s">
        <v>2002</v>
      </c>
      <c r="B699" s="512">
        <v>45441</v>
      </c>
      <c r="C699" s="550" t="s">
        <v>2003</v>
      </c>
      <c r="D699" s="326" t="s">
        <v>2004</v>
      </c>
      <c r="E699" s="551" t="s">
        <v>1908</v>
      </c>
      <c r="F699" s="522">
        <v>84000</v>
      </c>
      <c r="G699" s="324" t="s">
        <v>1114</v>
      </c>
      <c r="H699" s="324">
        <v>2024</v>
      </c>
      <c r="I699" s="324"/>
      <c r="J699" s="324"/>
      <c r="K699" s="324"/>
      <c r="L699" s="324"/>
      <c r="M699" s="324"/>
      <c r="N699" s="324"/>
      <c r="O699" s="324"/>
      <c r="P699" s="324"/>
      <c r="Q699" s="324"/>
      <c r="R699" s="522">
        <v>84000</v>
      </c>
      <c r="S699" s="324"/>
      <c r="T699" s="325">
        <f t="shared" si="10"/>
        <v>84000</v>
      </c>
    </row>
    <row r="700" spans="1:20" ht="18.75" x14ac:dyDescent="0.3">
      <c r="A700" s="512" t="s">
        <v>681</v>
      </c>
      <c r="B700" s="513">
        <v>45441</v>
      </c>
      <c r="C700" s="514" t="s">
        <v>2005</v>
      </c>
      <c r="D700" s="321" t="s">
        <v>2006</v>
      </c>
      <c r="E700" s="322" t="s">
        <v>755</v>
      </c>
      <c r="F700" s="515">
        <v>160000</v>
      </c>
      <c r="G700" s="324" t="s">
        <v>1114</v>
      </c>
      <c r="H700" s="324">
        <v>2024</v>
      </c>
      <c r="I700" s="324"/>
      <c r="J700" s="324"/>
      <c r="K700" s="324"/>
      <c r="L700" s="324"/>
      <c r="M700" s="324"/>
      <c r="N700" s="324"/>
      <c r="O700" s="324"/>
      <c r="P700" s="324"/>
      <c r="Q700" s="324"/>
      <c r="R700" s="515">
        <v>160000</v>
      </c>
      <c r="S700" s="324"/>
      <c r="T700" s="325">
        <f t="shared" si="10"/>
        <v>160000</v>
      </c>
    </row>
    <row r="701" spans="1:20" ht="18.75" x14ac:dyDescent="0.3">
      <c r="A701" s="513" t="s">
        <v>447</v>
      </c>
      <c r="B701" s="512">
        <v>45441</v>
      </c>
      <c r="C701" s="524" t="s">
        <v>2007</v>
      </c>
      <c r="D701" s="330" t="s">
        <v>1336</v>
      </c>
      <c r="E701" s="328" t="s">
        <v>680</v>
      </c>
      <c r="F701" s="538">
        <v>155760</v>
      </c>
      <c r="G701" s="324" t="s">
        <v>1114</v>
      </c>
      <c r="H701" s="324">
        <v>2024</v>
      </c>
      <c r="I701" s="324"/>
      <c r="J701" s="324"/>
      <c r="K701" s="324"/>
      <c r="L701" s="324"/>
      <c r="M701" s="324"/>
      <c r="N701" s="324"/>
      <c r="O701" s="324"/>
      <c r="P701" s="324"/>
      <c r="Q701" s="324"/>
      <c r="R701" s="538">
        <v>155760</v>
      </c>
      <c r="S701" s="324"/>
      <c r="T701" s="325">
        <f t="shared" si="10"/>
        <v>155760</v>
      </c>
    </row>
    <row r="702" spans="1:20" ht="18.75" x14ac:dyDescent="0.3">
      <c r="A702" s="518" t="s">
        <v>857</v>
      </c>
      <c r="B702" s="512">
        <v>45441</v>
      </c>
      <c r="C702" s="521"/>
      <c r="D702" s="331" t="s">
        <v>2008</v>
      </c>
      <c r="E702" s="328" t="s">
        <v>1792</v>
      </c>
      <c r="F702" s="523">
        <v>266664.27</v>
      </c>
      <c r="G702" s="324" t="s">
        <v>1114</v>
      </c>
      <c r="H702" s="324">
        <v>2024</v>
      </c>
      <c r="I702" s="324"/>
      <c r="J702" s="324"/>
      <c r="K702" s="324"/>
      <c r="L702" s="324"/>
      <c r="M702" s="324"/>
      <c r="N702" s="324"/>
      <c r="O702" s="324"/>
      <c r="P702" s="324"/>
      <c r="Q702" s="324"/>
      <c r="R702" s="523">
        <v>266664.27</v>
      </c>
      <c r="S702" s="324"/>
      <c r="T702" s="325">
        <f t="shared" si="10"/>
        <v>266664.27</v>
      </c>
    </row>
    <row r="703" spans="1:20" ht="18.75" x14ac:dyDescent="0.3">
      <c r="A703" s="319" t="s">
        <v>1156</v>
      </c>
      <c r="B703" s="513">
        <v>45442</v>
      </c>
      <c r="C703" s="514" t="s">
        <v>1812</v>
      </c>
      <c r="D703" s="321" t="s">
        <v>2009</v>
      </c>
      <c r="E703" s="322" t="s">
        <v>1202</v>
      </c>
      <c r="F703" s="515">
        <v>7200</v>
      </c>
      <c r="G703" s="324" t="s">
        <v>1114</v>
      </c>
      <c r="H703" s="324">
        <v>2024</v>
      </c>
      <c r="I703" s="324"/>
      <c r="J703" s="324"/>
      <c r="K703" s="324"/>
      <c r="L703" s="324"/>
      <c r="M703" s="324"/>
      <c r="N703" s="324"/>
      <c r="O703" s="324"/>
      <c r="P703" s="324"/>
      <c r="Q703" s="324"/>
      <c r="R703" s="515">
        <v>7200</v>
      </c>
      <c r="S703" s="324"/>
      <c r="T703" s="325">
        <f t="shared" si="10"/>
        <v>7200</v>
      </c>
    </row>
    <row r="704" spans="1:20" ht="18.75" x14ac:dyDescent="0.3">
      <c r="A704" s="548" t="s">
        <v>1991</v>
      </c>
      <c r="B704" s="513">
        <v>45443</v>
      </c>
      <c r="C704" s="549" t="s">
        <v>2010</v>
      </c>
      <c r="D704" s="320" t="s">
        <v>2011</v>
      </c>
      <c r="E704" s="322" t="s">
        <v>755</v>
      </c>
      <c r="F704" s="515">
        <v>153500</v>
      </c>
      <c r="G704" s="324" t="s">
        <v>1114</v>
      </c>
      <c r="H704" s="324">
        <v>2024</v>
      </c>
      <c r="I704" s="324"/>
      <c r="J704" s="324"/>
      <c r="K704" s="324"/>
      <c r="L704" s="324"/>
      <c r="M704" s="324"/>
      <c r="N704" s="324"/>
      <c r="O704" s="324"/>
      <c r="P704" s="324"/>
      <c r="Q704" s="324"/>
      <c r="R704" s="515">
        <v>153500</v>
      </c>
      <c r="S704" s="324"/>
      <c r="T704" s="325">
        <f t="shared" si="10"/>
        <v>153500</v>
      </c>
    </row>
    <row r="705" spans="1:20" ht="18.75" x14ac:dyDescent="0.3">
      <c r="A705" s="512" t="s">
        <v>1153</v>
      </c>
      <c r="B705" s="513">
        <v>45443</v>
      </c>
      <c r="C705" s="514"/>
      <c r="D705" s="321" t="s">
        <v>1188</v>
      </c>
      <c r="E705" s="322" t="s">
        <v>1155</v>
      </c>
      <c r="F705" s="515">
        <v>6900</v>
      </c>
      <c r="G705" s="324" t="s">
        <v>1114</v>
      </c>
      <c r="H705" s="324">
        <v>2024</v>
      </c>
      <c r="I705" s="324"/>
      <c r="J705" s="324"/>
      <c r="K705" s="324"/>
      <c r="L705" s="324"/>
      <c r="M705" s="324"/>
      <c r="N705" s="324"/>
      <c r="O705" s="324"/>
      <c r="P705" s="324"/>
      <c r="Q705" s="324"/>
      <c r="R705" s="515">
        <v>6900</v>
      </c>
      <c r="S705" s="324"/>
      <c r="T705" s="325">
        <f t="shared" si="10"/>
        <v>6900</v>
      </c>
    </row>
    <row r="706" spans="1:20" ht="18.75" x14ac:dyDescent="0.3">
      <c r="A706" s="512" t="s">
        <v>904</v>
      </c>
      <c r="B706" s="513">
        <v>45443</v>
      </c>
      <c r="C706" s="514"/>
      <c r="D706" s="321" t="s">
        <v>1240</v>
      </c>
      <c r="E706" s="322" t="s">
        <v>905</v>
      </c>
      <c r="F706" s="515">
        <v>21000</v>
      </c>
      <c r="G706" s="324" t="s">
        <v>1114</v>
      </c>
      <c r="H706" s="324">
        <v>2024</v>
      </c>
      <c r="I706" s="324"/>
      <c r="J706" s="324"/>
      <c r="K706" s="324"/>
      <c r="L706" s="324"/>
      <c r="M706" s="324"/>
      <c r="N706" s="324"/>
      <c r="O706" s="324"/>
      <c r="P706" s="324"/>
      <c r="Q706" s="324"/>
      <c r="R706" s="515">
        <v>21000</v>
      </c>
      <c r="S706" s="324"/>
      <c r="T706" s="325">
        <f t="shared" si="10"/>
        <v>21000</v>
      </c>
    </row>
    <row r="707" spans="1:20" ht="18.75" x14ac:dyDescent="0.3">
      <c r="A707" s="512" t="s">
        <v>1744</v>
      </c>
      <c r="B707" s="527">
        <v>45443</v>
      </c>
      <c r="C707" s="531" t="s">
        <v>2012</v>
      </c>
      <c r="D707" s="342" t="s">
        <v>2013</v>
      </c>
      <c r="E707" s="343" t="s">
        <v>903</v>
      </c>
      <c r="F707" s="532">
        <v>235200</v>
      </c>
      <c r="G707" s="324" t="s">
        <v>1114</v>
      </c>
      <c r="H707" s="324">
        <v>2024</v>
      </c>
      <c r="I707" s="324"/>
      <c r="J707" s="324"/>
      <c r="K707" s="324"/>
      <c r="L707" s="324"/>
      <c r="M707" s="324"/>
      <c r="N707" s="324"/>
      <c r="O707" s="324"/>
      <c r="P707" s="324"/>
      <c r="Q707" s="324"/>
      <c r="R707" s="532">
        <v>235200</v>
      </c>
      <c r="S707" s="324"/>
      <c r="T707" s="325">
        <f t="shared" si="10"/>
        <v>235200</v>
      </c>
    </row>
    <row r="708" spans="1:20" ht="37.5" x14ac:dyDescent="0.3">
      <c r="A708" s="512" t="s">
        <v>396</v>
      </c>
      <c r="B708" s="513">
        <v>45443</v>
      </c>
      <c r="C708" s="514"/>
      <c r="D708" s="321" t="s">
        <v>2014</v>
      </c>
      <c r="E708" s="322" t="s">
        <v>2015</v>
      </c>
      <c r="F708" s="515">
        <v>98675</v>
      </c>
      <c r="G708" s="324" t="s">
        <v>1114</v>
      </c>
      <c r="H708" s="324">
        <v>2024</v>
      </c>
      <c r="I708" s="324"/>
      <c r="J708" s="324"/>
      <c r="K708" s="324"/>
      <c r="L708" s="324"/>
      <c r="M708" s="324"/>
      <c r="N708" s="324"/>
      <c r="O708" s="324"/>
      <c r="P708" s="324"/>
      <c r="Q708" s="324"/>
      <c r="R708" s="515">
        <v>98675</v>
      </c>
      <c r="S708" s="324"/>
      <c r="T708" s="325">
        <f t="shared" si="10"/>
        <v>98675</v>
      </c>
    </row>
    <row r="709" spans="1:20" ht="18.75" x14ac:dyDescent="0.3">
      <c r="A709" s="512" t="s">
        <v>1059</v>
      </c>
      <c r="B709" s="513">
        <v>45443</v>
      </c>
      <c r="C709" s="514" t="s">
        <v>2016</v>
      </c>
      <c r="D709" s="321" t="s">
        <v>876</v>
      </c>
      <c r="E709" s="322" t="s">
        <v>755</v>
      </c>
      <c r="F709" s="515">
        <v>160000</v>
      </c>
      <c r="G709" s="324" t="s">
        <v>1114</v>
      </c>
      <c r="H709" s="324">
        <v>2024</v>
      </c>
      <c r="I709" s="324"/>
      <c r="J709" s="324"/>
      <c r="K709" s="324"/>
      <c r="L709" s="324"/>
      <c r="M709" s="324"/>
      <c r="N709" s="324"/>
      <c r="O709" s="324"/>
      <c r="P709" s="324"/>
      <c r="Q709" s="324"/>
      <c r="R709" s="515">
        <v>160000</v>
      </c>
      <c r="S709" s="324"/>
      <c r="T709" s="325">
        <f t="shared" si="10"/>
        <v>160000</v>
      </c>
    </row>
    <row r="710" spans="1:20" ht="18.75" x14ac:dyDescent="0.3">
      <c r="A710" s="513" t="s">
        <v>358</v>
      </c>
      <c r="B710" s="513">
        <v>45443</v>
      </c>
      <c r="C710" s="514" t="s">
        <v>2017</v>
      </c>
      <c r="D710" s="321" t="s">
        <v>2018</v>
      </c>
      <c r="E710" s="322" t="s">
        <v>506</v>
      </c>
      <c r="F710" s="515">
        <v>169250</v>
      </c>
      <c r="G710" s="324" t="s">
        <v>1114</v>
      </c>
      <c r="H710" s="324">
        <v>2024</v>
      </c>
      <c r="I710" s="324"/>
      <c r="J710" s="324"/>
      <c r="K710" s="324"/>
      <c r="L710" s="324"/>
      <c r="M710" s="324"/>
      <c r="N710" s="324"/>
      <c r="O710" s="324"/>
      <c r="P710" s="324"/>
      <c r="Q710" s="324"/>
      <c r="R710" s="515">
        <v>169250</v>
      </c>
      <c r="S710" s="324"/>
      <c r="T710" s="325">
        <f t="shared" si="10"/>
        <v>169250</v>
      </c>
    </row>
    <row r="711" spans="1:20" ht="18.75" x14ac:dyDescent="0.3">
      <c r="A711" s="512" t="s">
        <v>849</v>
      </c>
      <c r="B711" s="513">
        <v>45446</v>
      </c>
      <c r="C711" s="514" t="s">
        <v>2019</v>
      </c>
      <c r="D711" s="321" t="s">
        <v>746</v>
      </c>
      <c r="E711" s="322" t="s">
        <v>2020</v>
      </c>
      <c r="F711" s="515">
        <v>300970.8</v>
      </c>
      <c r="G711" s="324" t="s">
        <v>1114</v>
      </c>
      <c r="H711" s="324">
        <v>2024</v>
      </c>
      <c r="I711" s="324"/>
      <c r="J711" s="324"/>
      <c r="K711" s="324"/>
      <c r="L711" s="324"/>
      <c r="M711" s="324"/>
      <c r="N711" s="324"/>
      <c r="O711" s="324"/>
      <c r="P711" s="324"/>
      <c r="Q711" s="324"/>
      <c r="R711" s="324"/>
      <c r="S711" s="515">
        <v>300970.8</v>
      </c>
      <c r="T711" s="325">
        <f t="shared" si="10"/>
        <v>300970.8</v>
      </c>
    </row>
    <row r="712" spans="1:20" ht="18.75" x14ac:dyDescent="0.3">
      <c r="A712" s="512" t="s">
        <v>1164</v>
      </c>
      <c r="B712" s="513">
        <v>45446</v>
      </c>
      <c r="C712" s="514"/>
      <c r="D712" s="321" t="s">
        <v>2021</v>
      </c>
      <c r="E712" s="322" t="s">
        <v>1908</v>
      </c>
      <c r="F712" s="515">
        <v>138748.5</v>
      </c>
      <c r="G712" s="324" t="s">
        <v>1114</v>
      </c>
      <c r="H712" s="324">
        <v>2024</v>
      </c>
      <c r="I712" s="324"/>
      <c r="J712" s="324"/>
      <c r="K712" s="324"/>
      <c r="L712" s="324"/>
      <c r="M712" s="324"/>
      <c r="N712" s="324"/>
      <c r="O712" s="324"/>
      <c r="P712" s="324"/>
      <c r="Q712" s="324"/>
      <c r="R712" s="324"/>
      <c r="S712" s="515">
        <v>138748.5</v>
      </c>
      <c r="T712" s="325">
        <f t="shared" si="10"/>
        <v>138748.5</v>
      </c>
    </row>
    <row r="713" spans="1:20" ht="18.75" x14ac:dyDescent="0.3">
      <c r="A713" s="512" t="s">
        <v>664</v>
      </c>
      <c r="B713" s="513">
        <v>45446</v>
      </c>
      <c r="C713" s="514" t="s">
        <v>2022</v>
      </c>
      <c r="D713" s="321" t="s">
        <v>1064</v>
      </c>
      <c r="E713" s="322" t="s">
        <v>2023</v>
      </c>
      <c r="F713" s="515">
        <v>184080</v>
      </c>
      <c r="G713" s="324" t="s">
        <v>1114</v>
      </c>
      <c r="H713" s="324">
        <v>2024</v>
      </c>
      <c r="I713" s="324"/>
      <c r="J713" s="324"/>
      <c r="K713" s="324"/>
      <c r="L713" s="324"/>
      <c r="M713" s="324"/>
      <c r="N713" s="324"/>
      <c r="O713" s="324"/>
      <c r="P713" s="324"/>
      <c r="Q713" s="324"/>
      <c r="R713" s="324"/>
      <c r="S713" s="515">
        <v>184080</v>
      </c>
      <c r="T713" s="325">
        <f t="shared" si="10"/>
        <v>184080</v>
      </c>
    </row>
    <row r="714" spans="1:20" ht="18.75" x14ac:dyDescent="0.3">
      <c r="A714" s="512" t="s">
        <v>960</v>
      </c>
      <c r="B714" s="513">
        <v>45446</v>
      </c>
      <c r="C714" s="514"/>
      <c r="D714" s="321" t="s">
        <v>1410</v>
      </c>
      <c r="E714" s="322" t="s">
        <v>2024</v>
      </c>
      <c r="F714" s="515">
        <v>240720</v>
      </c>
      <c r="G714" s="324" t="s">
        <v>1114</v>
      </c>
      <c r="H714" s="324">
        <v>2024</v>
      </c>
      <c r="I714" s="324"/>
      <c r="J714" s="324"/>
      <c r="K714" s="324"/>
      <c r="L714" s="324"/>
      <c r="M714" s="324"/>
      <c r="N714" s="324"/>
      <c r="O714" s="324"/>
      <c r="P714" s="324"/>
      <c r="Q714" s="324"/>
      <c r="R714" s="324"/>
      <c r="S714" s="515">
        <v>240720</v>
      </c>
      <c r="T714" s="325">
        <f t="shared" si="10"/>
        <v>240720</v>
      </c>
    </row>
    <row r="715" spans="1:20" ht="18.75" x14ac:dyDescent="0.3">
      <c r="A715" s="513" t="s">
        <v>240</v>
      </c>
      <c r="B715" s="513">
        <v>45447</v>
      </c>
      <c r="C715" s="514" t="s">
        <v>2025</v>
      </c>
      <c r="D715" s="346" t="s">
        <v>834</v>
      </c>
      <c r="E715" s="322" t="s">
        <v>1321</v>
      </c>
      <c r="F715" s="515">
        <v>106200</v>
      </c>
      <c r="G715" s="324" t="s">
        <v>1114</v>
      </c>
      <c r="H715" s="324">
        <v>2024</v>
      </c>
      <c r="I715" s="324"/>
      <c r="J715" s="324"/>
      <c r="K715" s="324"/>
      <c r="L715" s="324"/>
      <c r="M715" s="324"/>
      <c r="N715" s="324"/>
      <c r="O715" s="324"/>
      <c r="P715" s="324"/>
      <c r="Q715" s="324"/>
      <c r="R715" s="324"/>
      <c r="S715" s="515">
        <v>106200</v>
      </c>
      <c r="T715" s="325">
        <f t="shared" ref="T715:T778" si="11">SUM(I715:S715)</f>
        <v>106200</v>
      </c>
    </row>
    <row r="716" spans="1:20" ht="18.75" x14ac:dyDescent="0.3">
      <c r="A716" s="518" t="s">
        <v>708</v>
      </c>
      <c r="B716" s="513">
        <v>45447</v>
      </c>
      <c r="C716" s="514" t="s">
        <v>2026</v>
      </c>
      <c r="D716" s="321" t="s">
        <v>2027</v>
      </c>
      <c r="E716" s="322" t="s">
        <v>2028</v>
      </c>
      <c r="F716" s="515">
        <v>1333400</v>
      </c>
      <c r="G716" s="324" t="s">
        <v>1114</v>
      </c>
      <c r="H716" s="324">
        <v>2024</v>
      </c>
      <c r="I716" s="324"/>
      <c r="J716" s="324"/>
      <c r="K716" s="324"/>
      <c r="L716" s="324"/>
      <c r="M716" s="324"/>
      <c r="N716" s="324"/>
      <c r="O716" s="324"/>
      <c r="P716" s="324"/>
      <c r="Q716" s="324"/>
      <c r="R716" s="324"/>
      <c r="S716" s="515">
        <v>1333400</v>
      </c>
      <c r="T716" s="325">
        <f t="shared" si="11"/>
        <v>1333400</v>
      </c>
    </row>
    <row r="717" spans="1:20" ht="18.75" x14ac:dyDescent="0.3">
      <c r="A717" s="518" t="s">
        <v>708</v>
      </c>
      <c r="B717" s="513">
        <v>45447</v>
      </c>
      <c r="C717" s="514" t="s">
        <v>2029</v>
      </c>
      <c r="D717" s="321" t="s">
        <v>2030</v>
      </c>
      <c r="E717" s="322" t="s">
        <v>2031</v>
      </c>
      <c r="F717" s="515">
        <v>1899988.8</v>
      </c>
      <c r="G717" s="324" t="s">
        <v>1114</v>
      </c>
      <c r="H717" s="324">
        <v>2024</v>
      </c>
      <c r="I717" s="324"/>
      <c r="J717" s="324"/>
      <c r="K717" s="324"/>
      <c r="L717" s="324"/>
      <c r="M717" s="324"/>
      <c r="N717" s="324"/>
      <c r="O717" s="324"/>
      <c r="P717" s="324"/>
      <c r="Q717" s="324"/>
      <c r="R717" s="324"/>
      <c r="S717" s="515">
        <v>1899988.8</v>
      </c>
      <c r="T717" s="325">
        <f t="shared" si="11"/>
        <v>1899988.8</v>
      </c>
    </row>
    <row r="718" spans="1:20" s="336" customFormat="1" ht="18.75" x14ac:dyDescent="0.3">
      <c r="A718" s="512" t="s">
        <v>2032</v>
      </c>
      <c r="B718" s="513">
        <v>45447</v>
      </c>
      <c r="C718" s="514"/>
      <c r="D718" s="321" t="s">
        <v>1087</v>
      </c>
      <c r="E718" s="322" t="s">
        <v>2033</v>
      </c>
      <c r="F718" s="515">
        <v>105315</v>
      </c>
      <c r="G718" s="324" t="s">
        <v>1114</v>
      </c>
      <c r="H718" s="324">
        <v>2024</v>
      </c>
      <c r="I718" s="335"/>
      <c r="J718" s="335"/>
      <c r="K718" s="335"/>
      <c r="L718" s="335"/>
      <c r="M718" s="335"/>
      <c r="N718" s="335"/>
      <c r="O718" s="335"/>
      <c r="P718" s="335"/>
      <c r="Q718" s="335"/>
      <c r="R718" s="335"/>
      <c r="S718" s="515">
        <v>105315</v>
      </c>
      <c r="T718" s="325">
        <f t="shared" si="11"/>
        <v>105315</v>
      </c>
    </row>
    <row r="719" spans="1:20" s="336" customFormat="1" ht="18.75" x14ac:dyDescent="0.3">
      <c r="A719" s="512" t="s">
        <v>397</v>
      </c>
      <c r="B719" s="513">
        <v>45448</v>
      </c>
      <c r="C719" s="514" t="s">
        <v>2034</v>
      </c>
      <c r="D719" s="321" t="s">
        <v>2035</v>
      </c>
      <c r="E719" s="322" t="s">
        <v>1975</v>
      </c>
      <c r="F719" s="515">
        <v>159300</v>
      </c>
      <c r="G719" s="324" t="s">
        <v>1114</v>
      </c>
      <c r="H719" s="324">
        <v>2024</v>
      </c>
      <c r="I719" s="335"/>
      <c r="J719" s="335"/>
      <c r="K719" s="335"/>
      <c r="L719" s="335"/>
      <c r="M719" s="335"/>
      <c r="N719" s="335"/>
      <c r="O719" s="335"/>
      <c r="P719" s="335"/>
      <c r="Q719" s="335"/>
      <c r="R719" s="335"/>
      <c r="S719" s="515">
        <v>159300</v>
      </c>
      <c r="T719" s="325">
        <f t="shared" si="11"/>
        <v>159300</v>
      </c>
    </row>
    <row r="720" spans="1:20" s="336" customFormat="1" ht="18.75" x14ac:dyDescent="0.3">
      <c r="A720" s="512" t="s">
        <v>659</v>
      </c>
      <c r="B720" s="527">
        <v>45448</v>
      </c>
      <c r="C720" s="531" t="s">
        <v>2036</v>
      </c>
      <c r="D720" s="341" t="s">
        <v>2037</v>
      </c>
      <c r="E720" s="344" t="s">
        <v>932</v>
      </c>
      <c r="F720" s="532">
        <v>150000</v>
      </c>
      <c r="G720" s="324" t="s">
        <v>1114</v>
      </c>
      <c r="H720" s="324">
        <v>2024</v>
      </c>
      <c r="I720" s="335"/>
      <c r="J720" s="335"/>
      <c r="K720" s="335"/>
      <c r="L720" s="335"/>
      <c r="M720" s="335"/>
      <c r="N720" s="335"/>
      <c r="O720" s="335"/>
      <c r="P720" s="335"/>
      <c r="Q720" s="335"/>
      <c r="R720" s="335"/>
      <c r="S720" s="532">
        <v>150000</v>
      </c>
      <c r="T720" s="325">
        <f t="shared" si="11"/>
        <v>150000</v>
      </c>
    </row>
    <row r="721" spans="1:20" s="336" customFormat="1" ht="18.75" x14ac:dyDescent="0.3">
      <c r="A721" s="512" t="s">
        <v>387</v>
      </c>
      <c r="B721" s="527">
        <v>45448</v>
      </c>
      <c r="C721" s="531" t="s">
        <v>2038</v>
      </c>
      <c r="D721" s="342" t="s">
        <v>2039</v>
      </c>
      <c r="E721" s="343" t="s">
        <v>680</v>
      </c>
      <c r="F721" s="532">
        <v>105385.8</v>
      </c>
      <c r="G721" s="324" t="s">
        <v>1114</v>
      </c>
      <c r="H721" s="324">
        <v>2024</v>
      </c>
      <c r="I721" s="335"/>
      <c r="J721" s="335"/>
      <c r="K721" s="335"/>
      <c r="L721" s="335"/>
      <c r="M721" s="335"/>
      <c r="N721" s="335"/>
      <c r="O721" s="335"/>
      <c r="P721" s="335"/>
      <c r="Q721" s="335"/>
      <c r="R721" s="335"/>
      <c r="S721" s="532">
        <v>105385.8</v>
      </c>
      <c r="T721" s="325">
        <f t="shared" si="11"/>
        <v>105385.8</v>
      </c>
    </row>
    <row r="722" spans="1:20" ht="18.75" x14ac:dyDescent="0.3">
      <c r="A722" s="512" t="s">
        <v>849</v>
      </c>
      <c r="B722" s="513">
        <v>45449</v>
      </c>
      <c r="C722" s="514" t="s">
        <v>2040</v>
      </c>
      <c r="D722" s="321" t="s">
        <v>2041</v>
      </c>
      <c r="E722" s="322" t="s">
        <v>2042</v>
      </c>
      <c r="F722" s="515">
        <v>162250</v>
      </c>
      <c r="G722" s="324" t="s">
        <v>1114</v>
      </c>
      <c r="H722" s="324">
        <v>2024</v>
      </c>
      <c r="I722" s="324"/>
      <c r="J722" s="324"/>
      <c r="K722" s="324"/>
      <c r="L722" s="324"/>
      <c r="M722" s="324"/>
      <c r="N722" s="324"/>
      <c r="O722" s="324"/>
      <c r="P722" s="324"/>
      <c r="Q722" s="324"/>
      <c r="R722" s="324"/>
      <c r="S722" s="515">
        <v>162250</v>
      </c>
      <c r="T722" s="325">
        <f t="shared" si="11"/>
        <v>162250</v>
      </c>
    </row>
    <row r="723" spans="1:20" s="336" customFormat="1" ht="18.75" x14ac:dyDescent="0.3">
      <c r="A723" s="537" t="s">
        <v>242</v>
      </c>
      <c r="B723" s="513">
        <v>45449</v>
      </c>
      <c r="C723" s="322"/>
      <c r="D723" s="331" t="s">
        <v>2043</v>
      </c>
      <c r="E723" s="322"/>
      <c r="F723" s="323">
        <v>24712.55</v>
      </c>
      <c r="G723" s="324" t="s">
        <v>1114</v>
      </c>
      <c r="H723" s="324">
        <v>2024</v>
      </c>
      <c r="I723" s="335"/>
      <c r="J723" s="335"/>
      <c r="K723" s="335"/>
      <c r="L723" s="335"/>
      <c r="M723" s="335"/>
      <c r="N723" s="335"/>
      <c r="O723" s="335"/>
      <c r="P723" s="335"/>
      <c r="Q723" s="335"/>
      <c r="R723" s="335"/>
      <c r="S723" s="323">
        <v>24712.55</v>
      </c>
      <c r="T723" s="325">
        <f t="shared" si="11"/>
        <v>24712.55</v>
      </c>
    </row>
    <row r="724" spans="1:20" s="336" customFormat="1" ht="18.75" x14ac:dyDescent="0.3">
      <c r="A724" s="537" t="s">
        <v>242</v>
      </c>
      <c r="B724" s="513">
        <v>45449</v>
      </c>
      <c r="C724" s="322"/>
      <c r="D724" s="331" t="s">
        <v>2044</v>
      </c>
      <c r="E724" s="322"/>
      <c r="F724" s="323">
        <v>48237.09</v>
      </c>
      <c r="G724" s="324" t="s">
        <v>1114</v>
      </c>
      <c r="H724" s="324">
        <v>2024</v>
      </c>
      <c r="I724" s="335"/>
      <c r="J724" s="335"/>
      <c r="K724" s="335"/>
      <c r="L724" s="335"/>
      <c r="M724" s="335"/>
      <c r="N724" s="335"/>
      <c r="O724" s="335"/>
      <c r="P724" s="335"/>
      <c r="Q724" s="335"/>
      <c r="R724" s="335"/>
      <c r="S724" s="323">
        <v>48237.09</v>
      </c>
      <c r="T724" s="325">
        <f t="shared" si="11"/>
        <v>48237.09</v>
      </c>
    </row>
    <row r="725" spans="1:20" s="336" customFormat="1" ht="18.75" x14ac:dyDescent="0.3">
      <c r="A725" s="537" t="s">
        <v>242</v>
      </c>
      <c r="B725" s="513">
        <v>45449</v>
      </c>
      <c r="C725" s="322"/>
      <c r="D725" s="331" t="s">
        <v>2045</v>
      </c>
      <c r="E725" s="322"/>
      <c r="F725" s="323">
        <v>50551.65</v>
      </c>
      <c r="G725" s="324" t="s">
        <v>1114</v>
      </c>
      <c r="H725" s="324">
        <v>2024</v>
      </c>
      <c r="I725" s="335"/>
      <c r="J725" s="335"/>
      <c r="K725" s="335"/>
      <c r="L725" s="335"/>
      <c r="M725" s="335"/>
      <c r="N725" s="335"/>
      <c r="O725" s="335"/>
      <c r="P725" s="335"/>
      <c r="Q725" s="335"/>
      <c r="R725" s="335"/>
      <c r="S725" s="323">
        <v>50551.65</v>
      </c>
      <c r="T725" s="325">
        <f t="shared" si="11"/>
        <v>50551.65</v>
      </c>
    </row>
    <row r="726" spans="1:20" s="336" customFormat="1" ht="18.75" x14ac:dyDescent="0.3">
      <c r="A726" s="537" t="s">
        <v>242</v>
      </c>
      <c r="B726" s="513">
        <v>45449</v>
      </c>
      <c r="C726" s="322"/>
      <c r="D726" s="331" t="s">
        <v>2046</v>
      </c>
      <c r="E726" s="322"/>
      <c r="F726" s="323">
        <v>47605.279999999999</v>
      </c>
      <c r="G726" s="324" t="s">
        <v>1114</v>
      </c>
      <c r="H726" s="324">
        <v>2024</v>
      </c>
      <c r="I726" s="335"/>
      <c r="J726" s="335"/>
      <c r="K726" s="335"/>
      <c r="L726" s="335"/>
      <c r="M726" s="335"/>
      <c r="N726" s="335"/>
      <c r="O726" s="335"/>
      <c r="P726" s="335"/>
      <c r="Q726" s="335"/>
      <c r="R726" s="335"/>
      <c r="S726" s="323">
        <v>47605.279999999999</v>
      </c>
      <c r="T726" s="325">
        <f t="shared" si="11"/>
        <v>47605.279999999999</v>
      </c>
    </row>
    <row r="727" spans="1:20" s="336" customFormat="1" ht="18.75" x14ac:dyDescent="0.3">
      <c r="A727" s="513" t="s">
        <v>253</v>
      </c>
      <c r="B727" s="513">
        <v>45449</v>
      </c>
      <c r="C727" s="514" t="s">
        <v>1758</v>
      </c>
      <c r="D727" s="321" t="s">
        <v>2047</v>
      </c>
      <c r="E727" s="322" t="s">
        <v>701</v>
      </c>
      <c r="F727" s="515">
        <v>2300</v>
      </c>
      <c r="G727" s="324" t="s">
        <v>1114</v>
      </c>
      <c r="H727" s="324">
        <v>2024</v>
      </c>
      <c r="I727" s="335"/>
      <c r="J727" s="335"/>
      <c r="K727" s="335"/>
      <c r="L727" s="335"/>
      <c r="M727" s="335"/>
      <c r="N727" s="335"/>
      <c r="O727" s="335"/>
      <c r="P727" s="335"/>
      <c r="Q727" s="335"/>
      <c r="R727" s="335"/>
      <c r="S727" s="515">
        <v>2300</v>
      </c>
      <c r="T727" s="325">
        <f t="shared" si="11"/>
        <v>2300</v>
      </c>
    </row>
    <row r="728" spans="1:20" s="336" customFormat="1" ht="18.75" x14ac:dyDescent="0.3">
      <c r="A728" s="512" t="s">
        <v>1744</v>
      </c>
      <c r="B728" s="527">
        <v>45449</v>
      </c>
      <c r="C728" s="531" t="s">
        <v>2048</v>
      </c>
      <c r="D728" s="342" t="s">
        <v>2049</v>
      </c>
      <c r="E728" s="322" t="s">
        <v>680</v>
      </c>
      <c r="F728" s="532">
        <v>162840</v>
      </c>
      <c r="G728" s="324" t="s">
        <v>1114</v>
      </c>
      <c r="H728" s="324">
        <v>2024</v>
      </c>
      <c r="I728" s="335"/>
      <c r="J728" s="335"/>
      <c r="K728" s="335"/>
      <c r="L728" s="335"/>
      <c r="M728" s="335"/>
      <c r="N728" s="335"/>
      <c r="O728" s="335"/>
      <c r="P728" s="335"/>
      <c r="Q728" s="335"/>
      <c r="R728" s="335"/>
      <c r="S728" s="532">
        <v>162840</v>
      </c>
      <c r="T728" s="325">
        <f t="shared" si="11"/>
        <v>162840</v>
      </c>
    </row>
    <row r="729" spans="1:20" s="336" customFormat="1" ht="18.75" x14ac:dyDescent="0.3">
      <c r="A729" s="512" t="s">
        <v>1744</v>
      </c>
      <c r="B729" s="527">
        <v>45449</v>
      </c>
      <c r="C729" s="531" t="s">
        <v>2050</v>
      </c>
      <c r="D729" s="342" t="s">
        <v>2051</v>
      </c>
      <c r="E729" s="322" t="s">
        <v>680</v>
      </c>
      <c r="F729" s="532">
        <v>163200</v>
      </c>
      <c r="G729" s="324" t="s">
        <v>1114</v>
      </c>
      <c r="H729" s="324">
        <v>2024</v>
      </c>
      <c r="I729" s="335"/>
      <c r="J729" s="335"/>
      <c r="K729" s="335"/>
      <c r="L729" s="335"/>
      <c r="M729" s="335"/>
      <c r="N729" s="335"/>
      <c r="O729" s="335"/>
      <c r="P729" s="335"/>
      <c r="Q729" s="335"/>
      <c r="R729" s="335"/>
      <c r="S729" s="532">
        <v>163200</v>
      </c>
      <c r="T729" s="325">
        <f t="shared" si="11"/>
        <v>163200</v>
      </c>
    </row>
    <row r="730" spans="1:20" ht="18.75" x14ac:dyDescent="0.3">
      <c r="A730" s="512" t="s">
        <v>1744</v>
      </c>
      <c r="B730" s="527">
        <v>45449</v>
      </c>
      <c r="C730" s="531" t="s">
        <v>2052</v>
      </c>
      <c r="D730" s="342" t="s">
        <v>2053</v>
      </c>
      <c r="E730" s="322" t="s">
        <v>680</v>
      </c>
      <c r="F730" s="532">
        <v>52510</v>
      </c>
      <c r="G730" s="324" t="s">
        <v>1114</v>
      </c>
      <c r="H730" s="324">
        <v>2024</v>
      </c>
      <c r="I730" s="324"/>
      <c r="J730" s="324"/>
      <c r="K730" s="324"/>
      <c r="L730" s="324"/>
      <c r="M730" s="324"/>
      <c r="N730" s="324"/>
      <c r="O730" s="324"/>
      <c r="P730" s="324"/>
      <c r="Q730" s="324"/>
      <c r="R730" s="324"/>
      <c r="S730" s="532">
        <v>52510</v>
      </c>
      <c r="T730" s="325">
        <f t="shared" si="11"/>
        <v>52510</v>
      </c>
    </row>
    <row r="731" spans="1:20" ht="18.75" x14ac:dyDescent="0.3">
      <c r="A731" s="512" t="s">
        <v>1744</v>
      </c>
      <c r="B731" s="527">
        <v>45449</v>
      </c>
      <c r="C731" s="531" t="s">
        <v>2054</v>
      </c>
      <c r="D731" s="342" t="s">
        <v>2055</v>
      </c>
      <c r="E731" s="322" t="s">
        <v>680</v>
      </c>
      <c r="F731" s="532">
        <v>190656</v>
      </c>
      <c r="G731" s="324" t="s">
        <v>1114</v>
      </c>
      <c r="H731" s="324">
        <v>2024</v>
      </c>
      <c r="I731" s="324"/>
      <c r="J731" s="324"/>
      <c r="K731" s="324"/>
      <c r="L731" s="324"/>
      <c r="M731" s="324"/>
      <c r="N731" s="324"/>
      <c r="O731" s="324"/>
      <c r="P731" s="324"/>
      <c r="Q731" s="324"/>
      <c r="R731" s="324"/>
      <c r="S731" s="532">
        <v>190656</v>
      </c>
      <c r="T731" s="325">
        <f t="shared" si="11"/>
        <v>190656</v>
      </c>
    </row>
    <row r="732" spans="1:20" ht="37.5" x14ac:dyDescent="0.3">
      <c r="A732" s="512" t="s">
        <v>763</v>
      </c>
      <c r="B732" s="513">
        <v>45449</v>
      </c>
      <c r="C732" s="514" t="s">
        <v>2056</v>
      </c>
      <c r="D732" s="326" t="s">
        <v>2057</v>
      </c>
      <c r="E732" s="322" t="s">
        <v>2058</v>
      </c>
      <c r="F732" s="515">
        <v>34220</v>
      </c>
      <c r="G732" s="324" t="s">
        <v>1114</v>
      </c>
      <c r="H732" s="324">
        <v>2024</v>
      </c>
      <c r="I732" s="324"/>
      <c r="J732" s="324"/>
      <c r="K732" s="324"/>
      <c r="L732" s="324"/>
      <c r="M732" s="324"/>
      <c r="N732" s="324"/>
      <c r="O732" s="324"/>
      <c r="P732" s="324"/>
      <c r="Q732" s="324"/>
      <c r="R732" s="324"/>
      <c r="S732" s="515">
        <v>34220</v>
      </c>
      <c r="T732" s="325">
        <f t="shared" si="11"/>
        <v>34220</v>
      </c>
    </row>
    <row r="733" spans="1:20" ht="18.75" x14ac:dyDescent="0.3">
      <c r="A733" s="513" t="s">
        <v>2059</v>
      </c>
      <c r="B733" s="513">
        <v>45449</v>
      </c>
      <c r="C733" s="514" t="s">
        <v>2060</v>
      </c>
      <c r="D733" s="321" t="s">
        <v>2061</v>
      </c>
      <c r="E733" s="322" t="s">
        <v>2062</v>
      </c>
      <c r="F733" s="515">
        <v>717440</v>
      </c>
      <c r="G733" s="324" t="s">
        <v>1114</v>
      </c>
      <c r="H733" s="324">
        <v>2024</v>
      </c>
      <c r="I733" s="324"/>
      <c r="J733" s="324"/>
      <c r="K733" s="324"/>
      <c r="L733" s="324"/>
      <c r="M733" s="324"/>
      <c r="N733" s="324"/>
      <c r="O733" s="324"/>
      <c r="P733" s="324"/>
      <c r="Q733" s="324"/>
      <c r="R733" s="324"/>
      <c r="S733" s="515">
        <v>717440</v>
      </c>
      <c r="T733" s="325">
        <f t="shared" si="11"/>
        <v>717440</v>
      </c>
    </row>
    <row r="734" spans="1:20" ht="18.75" x14ac:dyDescent="0.3">
      <c r="A734" s="513" t="s">
        <v>358</v>
      </c>
      <c r="B734" s="513">
        <v>45449</v>
      </c>
      <c r="C734" s="514" t="s">
        <v>2063</v>
      </c>
      <c r="D734" s="321" t="s">
        <v>2064</v>
      </c>
      <c r="E734" s="322" t="s">
        <v>506</v>
      </c>
      <c r="F734" s="515">
        <v>210000</v>
      </c>
      <c r="G734" s="324" t="s">
        <v>1114</v>
      </c>
      <c r="H734" s="324">
        <v>2024</v>
      </c>
      <c r="I734" s="324"/>
      <c r="J734" s="324"/>
      <c r="K734" s="324"/>
      <c r="L734" s="324"/>
      <c r="M734" s="324"/>
      <c r="N734" s="324"/>
      <c r="O734" s="324"/>
      <c r="P734" s="324"/>
      <c r="Q734" s="324"/>
      <c r="R734" s="324"/>
      <c r="S734" s="515">
        <v>210000</v>
      </c>
      <c r="T734" s="325">
        <f t="shared" si="11"/>
        <v>210000</v>
      </c>
    </row>
    <row r="735" spans="1:20" ht="18.75" x14ac:dyDescent="0.3">
      <c r="A735" s="512" t="s">
        <v>866</v>
      </c>
      <c r="B735" s="513">
        <v>45450</v>
      </c>
      <c r="C735" s="514" t="s">
        <v>2065</v>
      </c>
      <c r="D735" s="321" t="s">
        <v>2066</v>
      </c>
      <c r="E735" s="322" t="s">
        <v>2067</v>
      </c>
      <c r="F735" s="515">
        <v>219892.32</v>
      </c>
      <c r="G735" s="324" t="s">
        <v>1114</v>
      </c>
      <c r="H735" s="324">
        <v>2024</v>
      </c>
      <c r="I735" s="324"/>
      <c r="J735" s="324"/>
      <c r="K735" s="324"/>
      <c r="L735" s="324"/>
      <c r="M735" s="324"/>
      <c r="N735" s="324"/>
      <c r="O735" s="324"/>
      <c r="P735" s="324"/>
      <c r="Q735" s="324"/>
      <c r="R735" s="324"/>
      <c r="S735" s="515">
        <v>219892.32</v>
      </c>
      <c r="T735" s="325">
        <f t="shared" si="11"/>
        <v>219892.32</v>
      </c>
    </row>
    <row r="736" spans="1:20" ht="56.25" x14ac:dyDescent="0.3">
      <c r="A736" s="512" t="s">
        <v>866</v>
      </c>
      <c r="B736" s="513">
        <v>45450</v>
      </c>
      <c r="C736" s="514" t="s">
        <v>2068</v>
      </c>
      <c r="D736" s="321" t="s">
        <v>2069</v>
      </c>
      <c r="E736" s="322" t="s">
        <v>1218</v>
      </c>
      <c r="F736" s="515">
        <v>91875.64</v>
      </c>
      <c r="G736" s="324" t="s">
        <v>1114</v>
      </c>
      <c r="H736" s="324">
        <v>2024</v>
      </c>
      <c r="I736" s="324"/>
      <c r="J736" s="324"/>
      <c r="K736" s="324"/>
      <c r="L736" s="324"/>
      <c r="M736" s="324"/>
      <c r="N736" s="324"/>
      <c r="O736" s="324"/>
      <c r="P736" s="324"/>
      <c r="Q736" s="324"/>
      <c r="R736" s="324"/>
      <c r="S736" s="515">
        <v>91875.64</v>
      </c>
      <c r="T736" s="325">
        <f t="shared" si="11"/>
        <v>91875.64</v>
      </c>
    </row>
    <row r="737" spans="1:20" ht="18.75" x14ac:dyDescent="0.3">
      <c r="A737" s="537" t="s">
        <v>242</v>
      </c>
      <c r="B737" s="513">
        <v>45450</v>
      </c>
      <c r="C737" s="322"/>
      <c r="D737" s="331" t="s">
        <v>2070</v>
      </c>
      <c r="E737" s="322"/>
      <c r="F737" s="323">
        <v>29262.1</v>
      </c>
      <c r="G737" s="324" t="s">
        <v>1114</v>
      </c>
      <c r="H737" s="324">
        <v>2024</v>
      </c>
      <c r="I737" s="324"/>
      <c r="J737" s="324"/>
      <c r="K737" s="324"/>
      <c r="L737" s="324"/>
      <c r="M737" s="324"/>
      <c r="N737" s="324"/>
      <c r="O737" s="324"/>
      <c r="P737" s="324"/>
      <c r="Q737" s="324"/>
      <c r="R737" s="324"/>
      <c r="S737" s="323">
        <v>29262.1</v>
      </c>
      <c r="T737" s="325">
        <f t="shared" si="11"/>
        <v>29262.1</v>
      </c>
    </row>
    <row r="738" spans="1:20" ht="18.75" x14ac:dyDescent="0.3">
      <c r="A738" s="513" t="s">
        <v>324</v>
      </c>
      <c r="B738" s="513">
        <v>45450</v>
      </c>
      <c r="C738" s="514"/>
      <c r="D738" s="321" t="s">
        <v>1272</v>
      </c>
      <c r="E738" s="322" t="s">
        <v>801</v>
      </c>
      <c r="F738" s="515">
        <v>1895</v>
      </c>
      <c r="G738" s="324" t="s">
        <v>1114</v>
      </c>
      <c r="H738" s="324">
        <v>2024</v>
      </c>
      <c r="I738" s="324"/>
      <c r="J738" s="324"/>
      <c r="K738" s="324"/>
      <c r="L738" s="324"/>
      <c r="M738" s="324"/>
      <c r="N738" s="324"/>
      <c r="O738" s="324"/>
      <c r="P738" s="324"/>
      <c r="Q738" s="324"/>
      <c r="R738" s="324"/>
      <c r="S738" s="515">
        <v>1895</v>
      </c>
      <c r="T738" s="325">
        <f t="shared" si="11"/>
        <v>1895</v>
      </c>
    </row>
    <row r="739" spans="1:20" ht="18.75" x14ac:dyDescent="0.3">
      <c r="A739" s="537" t="s">
        <v>242</v>
      </c>
      <c r="B739" s="513">
        <v>45453</v>
      </c>
      <c r="C739" s="322"/>
      <c r="D739" s="331" t="s">
        <v>2071</v>
      </c>
      <c r="E739" s="322"/>
      <c r="F739" s="323">
        <v>49425.1</v>
      </c>
      <c r="G739" s="324" t="s">
        <v>1114</v>
      </c>
      <c r="H739" s="324">
        <v>2024</v>
      </c>
      <c r="I739" s="324"/>
      <c r="J739" s="324"/>
      <c r="K739" s="324"/>
      <c r="L739" s="324"/>
      <c r="M739" s="324"/>
      <c r="N739" s="324"/>
      <c r="O739" s="324"/>
      <c r="P739" s="324"/>
      <c r="Q739" s="324"/>
      <c r="R739" s="324"/>
      <c r="S739" s="323">
        <v>49425.1</v>
      </c>
      <c r="T739" s="325">
        <f t="shared" si="11"/>
        <v>49425.1</v>
      </c>
    </row>
    <row r="740" spans="1:20" s="520" customFormat="1" ht="18.75" x14ac:dyDescent="0.3">
      <c r="A740" s="537" t="s">
        <v>242</v>
      </c>
      <c r="B740" s="513">
        <v>45453</v>
      </c>
      <c r="C740" s="322"/>
      <c r="D740" s="331" t="s">
        <v>2072</v>
      </c>
      <c r="E740" s="322"/>
      <c r="F740" s="323">
        <v>47605.279999999999</v>
      </c>
      <c r="G740" s="324" t="s">
        <v>1114</v>
      </c>
      <c r="H740" s="324">
        <v>2024</v>
      </c>
      <c r="I740" s="519"/>
      <c r="J740" s="519"/>
      <c r="K740" s="519"/>
      <c r="L740" s="519"/>
      <c r="M740" s="519"/>
      <c r="N740" s="519"/>
      <c r="O740" s="519"/>
      <c r="P740" s="519"/>
      <c r="Q740" s="519"/>
      <c r="R740" s="519"/>
      <c r="S740" s="323">
        <v>47605.279999999999</v>
      </c>
      <c r="T740" s="325">
        <f t="shared" si="11"/>
        <v>47605.279999999999</v>
      </c>
    </row>
    <row r="741" spans="1:20" ht="18.75" x14ac:dyDescent="0.3">
      <c r="A741" s="513" t="s">
        <v>883</v>
      </c>
      <c r="B741" s="513">
        <v>45453</v>
      </c>
      <c r="C741" s="514" t="s">
        <v>2073</v>
      </c>
      <c r="D741" s="321" t="s">
        <v>2074</v>
      </c>
      <c r="E741" s="322" t="s">
        <v>2075</v>
      </c>
      <c r="F741" s="515">
        <v>60227.199999999997</v>
      </c>
      <c r="G741" s="324" t="s">
        <v>1114</v>
      </c>
      <c r="H741" s="324">
        <v>2024</v>
      </c>
      <c r="I741" s="324"/>
      <c r="J741" s="324"/>
      <c r="K741" s="324"/>
      <c r="L741" s="324"/>
      <c r="M741" s="324"/>
      <c r="N741" s="324"/>
      <c r="O741" s="324"/>
      <c r="P741" s="324"/>
      <c r="Q741" s="324"/>
      <c r="R741" s="324"/>
      <c r="S741" s="515">
        <v>60227.199999999997</v>
      </c>
      <c r="T741" s="325">
        <f t="shared" si="11"/>
        <v>60227.199999999997</v>
      </c>
    </row>
    <row r="742" spans="1:20" ht="18.75" x14ac:dyDescent="0.3">
      <c r="A742" s="512" t="s">
        <v>922</v>
      </c>
      <c r="B742" s="513">
        <v>45453</v>
      </c>
      <c r="C742" s="514" t="s">
        <v>2076</v>
      </c>
      <c r="D742" s="321" t="s">
        <v>2077</v>
      </c>
      <c r="E742" s="328" t="s">
        <v>680</v>
      </c>
      <c r="F742" s="515">
        <v>152220</v>
      </c>
      <c r="G742" s="324" t="s">
        <v>1114</v>
      </c>
      <c r="H742" s="324">
        <v>2024</v>
      </c>
      <c r="I742" s="324"/>
      <c r="J742" s="324"/>
      <c r="K742" s="324"/>
      <c r="L742" s="324"/>
      <c r="M742" s="324"/>
      <c r="N742" s="324"/>
      <c r="O742" s="324"/>
      <c r="P742" s="324"/>
      <c r="Q742" s="324"/>
      <c r="R742" s="324"/>
      <c r="S742" s="515">
        <v>152220</v>
      </c>
      <c r="T742" s="325">
        <f t="shared" si="11"/>
        <v>152220</v>
      </c>
    </row>
    <row r="743" spans="1:20" ht="18.75" x14ac:dyDescent="0.3">
      <c r="A743" s="512" t="s">
        <v>1059</v>
      </c>
      <c r="B743" s="513">
        <v>45453</v>
      </c>
      <c r="C743" s="514" t="s">
        <v>2078</v>
      </c>
      <c r="D743" s="321" t="s">
        <v>2079</v>
      </c>
      <c r="E743" s="322" t="s">
        <v>755</v>
      </c>
      <c r="F743" s="515">
        <v>250000</v>
      </c>
      <c r="G743" s="324" t="s">
        <v>1114</v>
      </c>
      <c r="H743" s="324">
        <v>2024</v>
      </c>
      <c r="I743" s="324"/>
      <c r="J743" s="324"/>
      <c r="K743" s="324"/>
      <c r="L743" s="324"/>
      <c r="M743" s="324"/>
      <c r="N743" s="324"/>
      <c r="O743" s="324"/>
      <c r="P743" s="324"/>
      <c r="Q743" s="324"/>
      <c r="R743" s="324"/>
      <c r="S743" s="515">
        <v>250000</v>
      </c>
      <c r="T743" s="325">
        <f t="shared" si="11"/>
        <v>250000</v>
      </c>
    </row>
    <row r="744" spans="1:20" ht="18.75" x14ac:dyDescent="0.3">
      <c r="A744" s="537" t="s">
        <v>242</v>
      </c>
      <c r="B744" s="513">
        <v>45454</v>
      </c>
      <c r="C744" s="322"/>
      <c r="D744" s="331" t="s">
        <v>2080</v>
      </c>
      <c r="E744" s="322"/>
      <c r="F744" s="323">
        <v>23802.639999999999</v>
      </c>
      <c r="G744" s="324" t="s">
        <v>1114</v>
      </c>
      <c r="H744" s="324">
        <v>2024</v>
      </c>
      <c r="I744" s="324"/>
      <c r="J744" s="324"/>
      <c r="K744" s="324"/>
      <c r="L744" s="324"/>
      <c r="M744" s="324"/>
      <c r="N744" s="324"/>
      <c r="O744" s="324"/>
      <c r="P744" s="324"/>
      <c r="Q744" s="324"/>
      <c r="R744" s="324"/>
      <c r="S744" s="323">
        <v>23802.639999999999</v>
      </c>
      <c r="T744" s="325">
        <f t="shared" si="11"/>
        <v>23802.639999999999</v>
      </c>
    </row>
    <row r="745" spans="1:20" ht="18.75" x14ac:dyDescent="0.3">
      <c r="A745" s="537" t="s">
        <v>242</v>
      </c>
      <c r="B745" s="513">
        <v>45454</v>
      </c>
      <c r="C745" s="322"/>
      <c r="D745" s="331" t="s">
        <v>2081</v>
      </c>
      <c r="E745" s="322"/>
      <c r="F745" s="323">
        <v>29767.200000000001</v>
      </c>
      <c r="G745" s="324" t="s">
        <v>1114</v>
      </c>
      <c r="H745" s="324">
        <v>2024</v>
      </c>
      <c r="I745" s="324"/>
      <c r="J745" s="324"/>
      <c r="K745" s="324"/>
      <c r="L745" s="324"/>
      <c r="M745" s="324"/>
      <c r="N745" s="324"/>
      <c r="O745" s="324"/>
      <c r="P745" s="324"/>
      <c r="Q745" s="324"/>
      <c r="R745" s="324"/>
      <c r="S745" s="323">
        <v>29767.200000000001</v>
      </c>
      <c r="T745" s="325">
        <f t="shared" si="11"/>
        <v>29767.200000000001</v>
      </c>
    </row>
    <row r="746" spans="1:20" ht="18.75" x14ac:dyDescent="0.3">
      <c r="A746" s="513" t="s">
        <v>264</v>
      </c>
      <c r="B746" s="527">
        <v>45454</v>
      </c>
      <c r="C746" s="531" t="s">
        <v>2082</v>
      </c>
      <c r="D746" s="342" t="s">
        <v>2083</v>
      </c>
      <c r="E746" s="344" t="s">
        <v>678</v>
      </c>
      <c r="F746" s="532">
        <v>503973.58</v>
      </c>
      <c r="G746" s="324" t="s">
        <v>1114</v>
      </c>
      <c r="H746" s="324">
        <v>2024</v>
      </c>
      <c r="I746" s="324"/>
      <c r="J746" s="324"/>
      <c r="K746" s="324"/>
      <c r="L746" s="324"/>
      <c r="M746" s="324"/>
      <c r="N746" s="324"/>
      <c r="O746" s="324"/>
      <c r="P746" s="324"/>
      <c r="Q746" s="324"/>
      <c r="R746" s="324"/>
      <c r="S746" s="532">
        <v>503973.58</v>
      </c>
      <c r="T746" s="325">
        <f t="shared" si="11"/>
        <v>503973.58</v>
      </c>
    </row>
    <row r="747" spans="1:20" ht="18.75" x14ac:dyDescent="0.3">
      <c r="A747" s="513" t="s">
        <v>1070</v>
      </c>
      <c r="B747" s="513">
        <v>45454</v>
      </c>
      <c r="C747" s="514" t="s">
        <v>2084</v>
      </c>
      <c r="D747" s="321" t="s">
        <v>2085</v>
      </c>
      <c r="E747" s="322"/>
      <c r="F747" s="515">
        <v>212400</v>
      </c>
      <c r="G747" s="324" t="s">
        <v>1114</v>
      </c>
      <c r="H747" s="324">
        <v>2024</v>
      </c>
      <c r="I747" s="324"/>
      <c r="J747" s="324"/>
      <c r="K747" s="324"/>
      <c r="L747" s="324"/>
      <c r="M747" s="324"/>
      <c r="N747" s="324"/>
      <c r="O747" s="324"/>
      <c r="P747" s="324"/>
      <c r="Q747" s="324"/>
      <c r="R747" s="324"/>
      <c r="S747" s="515">
        <v>212400</v>
      </c>
      <c r="T747" s="325">
        <f t="shared" si="11"/>
        <v>212400</v>
      </c>
    </row>
    <row r="748" spans="1:20" ht="18.75" x14ac:dyDescent="0.3">
      <c r="A748" s="512" t="s">
        <v>395</v>
      </c>
      <c r="B748" s="513">
        <v>45454</v>
      </c>
      <c r="C748" s="514" t="s">
        <v>2086</v>
      </c>
      <c r="D748" s="321" t="s">
        <v>2087</v>
      </c>
      <c r="E748" s="322" t="s">
        <v>2088</v>
      </c>
      <c r="F748" s="515">
        <v>56876</v>
      </c>
      <c r="G748" s="324" t="s">
        <v>1114</v>
      </c>
      <c r="H748" s="324">
        <v>2024</v>
      </c>
      <c r="I748" s="324"/>
      <c r="J748" s="324"/>
      <c r="K748" s="324"/>
      <c r="L748" s="324"/>
      <c r="M748" s="324"/>
      <c r="N748" s="324"/>
      <c r="O748" s="324"/>
      <c r="P748" s="324"/>
      <c r="Q748" s="324"/>
      <c r="R748" s="324"/>
      <c r="S748" s="515">
        <v>56876</v>
      </c>
      <c r="T748" s="325">
        <f t="shared" si="11"/>
        <v>56876</v>
      </c>
    </row>
    <row r="749" spans="1:20" ht="18.75" x14ac:dyDescent="0.3">
      <c r="A749" s="512" t="s">
        <v>2089</v>
      </c>
      <c r="B749" s="513">
        <v>45454</v>
      </c>
      <c r="C749" s="514" t="s">
        <v>2090</v>
      </c>
      <c r="D749" s="321" t="s">
        <v>1173</v>
      </c>
      <c r="E749" s="322" t="s">
        <v>2091</v>
      </c>
      <c r="F749" s="515">
        <v>181425</v>
      </c>
      <c r="G749" s="324" t="s">
        <v>1114</v>
      </c>
      <c r="H749" s="324">
        <v>2024</v>
      </c>
      <c r="I749" s="324"/>
      <c r="J749" s="324"/>
      <c r="K749" s="324"/>
      <c r="L749" s="324"/>
      <c r="M749" s="324"/>
      <c r="N749" s="324"/>
      <c r="O749" s="324"/>
      <c r="P749" s="324"/>
      <c r="Q749" s="324"/>
      <c r="R749" s="324"/>
      <c r="S749" s="515">
        <v>181425</v>
      </c>
      <c r="T749" s="325">
        <f t="shared" si="11"/>
        <v>181425</v>
      </c>
    </row>
    <row r="750" spans="1:20" ht="18.75" x14ac:dyDescent="0.3">
      <c r="A750" s="512" t="s">
        <v>1164</v>
      </c>
      <c r="B750" s="513">
        <v>45454</v>
      </c>
      <c r="C750" s="514"/>
      <c r="D750" s="321" t="s">
        <v>1025</v>
      </c>
      <c r="E750" s="322" t="s">
        <v>1908</v>
      </c>
      <c r="F750" s="515">
        <v>172899.44</v>
      </c>
      <c r="G750" s="324" t="s">
        <v>1114</v>
      </c>
      <c r="H750" s="324">
        <v>2024</v>
      </c>
      <c r="I750" s="324"/>
      <c r="J750" s="324"/>
      <c r="K750" s="324"/>
      <c r="L750" s="324"/>
      <c r="M750" s="324"/>
      <c r="N750" s="324"/>
      <c r="O750" s="324"/>
      <c r="P750" s="324"/>
      <c r="Q750" s="324"/>
      <c r="R750" s="324"/>
      <c r="S750" s="515">
        <v>172899.44</v>
      </c>
      <c r="T750" s="325">
        <f t="shared" si="11"/>
        <v>172899.44</v>
      </c>
    </row>
    <row r="751" spans="1:20" ht="18.75" x14ac:dyDescent="0.3">
      <c r="A751" s="324" t="s">
        <v>2092</v>
      </c>
      <c r="B751" s="513">
        <v>45454</v>
      </c>
      <c r="C751" s="514" t="s">
        <v>1643</v>
      </c>
      <c r="D751" s="321" t="s">
        <v>846</v>
      </c>
      <c r="E751" s="322" t="s">
        <v>2093</v>
      </c>
      <c r="F751" s="515">
        <v>1726924.1</v>
      </c>
      <c r="G751" s="324" t="s">
        <v>1114</v>
      </c>
      <c r="H751" s="324">
        <v>2024</v>
      </c>
      <c r="I751" s="324"/>
      <c r="J751" s="324"/>
      <c r="K751" s="324"/>
      <c r="L751" s="324"/>
      <c r="M751" s="324"/>
      <c r="N751" s="324"/>
      <c r="O751" s="324"/>
      <c r="P751" s="324"/>
      <c r="Q751" s="324"/>
      <c r="R751" s="324"/>
      <c r="S751" s="515">
        <v>1726924.1</v>
      </c>
      <c r="T751" s="325">
        <f t="shared" si="11"/>
        <v>1726924.1</v>
      </c>
    </row>
    <row r="752" spans="1:20" ht="18.75" x14ac:dyDescent="0.3">
      <c r="A752" s="537" t="s">
        <v>242</v>
      </c>
      <c r="B752" s="513">
        <v>45455</v>
      </c>
      <c r="C752" s="322"/>
      <c r="D752" s="331" t="s">
        <v>2094</v>
      </c>
      <c r="E752" s="322"/>
      <c r="F752" s="323">
        <v>26532.37</v>
      </c>
      <c r="G752" s="324" t="s">
        <v>1114</v>
      </c>
      <c r="H752" s="324">
        <v>2024</v>
      </c>
      <c r="I752" s="324"/>
      <c r="J752" s="324"/>
      <c r="K752" s="324"/>
      <c r="L752" s="324"/>
      <c r="M752" s="324"/>
      <c r="N752" s="324"/>
      <c r="O752" s="324"/>
      <c r="P752" s="324"/>
      <c r="Q752" s="324"/>
      <c r="R752" s="324"/>
      <c r="S752" s="323">
        <v>26532.37</v>
      </c>
      <c r="T752" s="325">
        <f t="shared" si="11"/>
        <v>26532.37</v>
      </c>
    </row>
    <row r="753" spans="1:20" ht="18.75" x14ac:dyDescent="0.3">
      <c r="A753" s="513" t="s">
        <v>926</v>
      </c>
      <c r="B753" s="512">
        <v>45455</v>
      </c>
      <c r="C753" s="521" t="s">
        <v>2095</v>
      </c>
      <c r="D753" s="339" t="s">
        <v>930</v>
      </c>
      <c r="E753" s="322" t="s">
        <v>769</v>
      </c>
      <c r="F753" s="522">
        <v>618319</v>
      </c>
      <c r="G753" s="324" t="s">
        <v>1114</v>
      </c>
      <c r="H753" s="324">
        <v>2024</v>
      </c>
      <c r="I753" s="324"/>
      <c r="J753" s="324"/>
      <c r="K753" s="324"/>
      <c r="L753" s="324"/>
      <c r="M753" s="324"/>
      <c r="N753" s="324"/>
      <c r="O753" s="324"/>
      <c r="P753" s="324"/>
      <c r="Q753" s="324"/>
      <c r="R753" s="324"/>
      <c r="S753" s="522">
        <v>618319</v>
      </c>
      <c r="T753" s="325">
        <f t="shared" si="11"/>
        <v>618319</v>
      </c>
    </row>
    <row r="754" spans="1:20" ht="18.75" x14ac:dyDescent="0.3">
      <c r="A754" s="518" t="s">
        <v>1735</v>
      </c>
      <c r="B754" s="513">
        <v>45455</v>
      </c>
      <c r="C754" s="514" t="s">
        <v>2096</v>
      </c>
      <c r="D754" s="321" t="s">
        <v>1269</v>
      </c>
      <c r="E754" s="322" t="s">
        <v>2097</v>
      </c>
      <c r="F754" s="515">
        <v>185850</v>
      </c>
      <c r="G754" s="324" t="s">
        <v>1114</v>
      </c>
      <c r="H754" s="324">
        <v>2024</v>
      </c>
      <c r="I754" s="324"/>
      <c r="J754" s="324"/>
      <c r="K754" s="324"/>
      <c r="L754" s="324"/>
      <c r="M754" s="324"/>
      <c r="N754" s="324"/>
      <c r="O754" s="324"/>
      <c r="P754" s="324"/>
      <c r="Q754" s="324"/>
      <c r="R754" s="324"/>
      <c r="S754" s="515">
        <v>185850</v>
      </c>
      <c r="T754" s="325">
        <f t="shared" si="11"/>
        <v>185850</v>
      </c>
    </row>
    <row r="755" spans="1:20" ht="18.75" x14ac:dyDescent="0.3">
      <c r="A755" s="512" t="s">
        <v>1766</v>
      </c>
      <c r="B755" s="513">
        <v>45455</v>
      </c>
      <c r="C755" s="514" t="s">
        <v>2098</v>
      </c>
      <c r="D755" s="321" t="s">
        <v>2099</v>
      </c>
      <c r="E755" s="322" t="s">
        <v>1136</v>
      </c>
      <c r="F755" s="515">
        <v>116500</v>
      </c>
      <c r="G755" s="324" t="s">
        <v>1114</v>
      </c>
      <c r="H755" s="324">
        <v>2024</v>
      </c>
      <c r="I755" s="324"/>
      <c r="J755" s="324"/>
      <c r="K755" s="324"/>
      <c r="L755" s="324"/>
      <c r="M755" s="324"/>
      <c r="N755" s="324"/>
      <c r="O755" s="324"/>
      <c r="P755" s="324"/>
      <c r="Q755" s="324"/>
      <c r="R755" s="324"/>
      <c r="S755" s="515">
        <v>116500</v>
      </c>
      <c r="T755" s="325">
        <f t="shared" si="11"/>
        <v>116500</v>
      </c>
    </row>
    <row r="756" spans="1:20" ht="18.75" x14ac:dyDescent="0.3">
      <c r="A756" s="513" t="s">
        <v>253</v>
      </c>
      <c r="B756" s="513">
        <v>45456</v>
      </c>
      <c r="C756" s="514" t="s">
        <v>1758</v>
      </c>
      <c r="D756" s="321" t="s">
        <v>2100</v>
      </c>
      <c r="E756" s="322" t="s">
        <v>701</v>
      </c>
      <c r="F756" s="515">
        <v>2300</v>
      </c>
      <c r="G756" s="324" t="s">
        <v>1114</v>
      </c>
      <c r="H756" s="324">
        <v>2024</v>
      </c>
      <c r="I756" s="324"/>
      <c r="J756" s="324"/>
      <c r="K756" s="324"/>
      <c r="L756" s="324"/>
      <c r="M756" s="324"/>
      <c r="N756" s="324"/>
      <c r="O756" s="324"/>
      <c r="P756" s="324"/>
      <c r="Q756" s="324"/>
      <c r="R756" s="324"/>
      <c r="S756" s="515">
        <v>2300</v>
      </c>
      <c r="T756" s="325">
        <f t="shared" si="11"/>
        <v>2300</v>
      </c>
    </row>
    <row r="757" spans="1:20" ht="18.75" x14ac:dyDescent="0.3">
      <c r="A757" s="512" t="s">
        <v>397</v>
      </c>
      <c r="B757" s="513">
        <v>45456</v>
      </c>
      <c r="C757" s="514" t="s">
        <v>2101</v>
      </c>
      <c r="D757" s="321" t="s">
        <v>1752</v>
      </c>
      <c r="E757" s="322" t="s">
        <v>1975</v>
      </c>
      <c r="F757" s="515">
        <v>159300</v>
      </c>
      <c r="G757" s="324" t="s">
        <v>1114</v>
      </c>
      <c r="H757" s="324">
        <v>2024</v>
      </c>
      <c r="I757" s="324"/>
      <c r="J757" s="324"/>
      <c r="K757" s="324"/>
      <c r="L757" s="324"/>
      <c r="M757" s="324"/>
      <c r="N757" s="324"/>
      <c r="O757" s="324"/>
      <c r="P757" s="324"/>
      <c r="Q757" s="324"/>
      <c r="R757" s="324"/>
      <c r="S757" s="515">
        <v>159300</v>
      </c>
      <c r="T757" s="325">
        <f t="shared" si="11"/>
        <v>159300</v>
      </c>
    </row>
    <row r="758" spans="1:20" ht="18.75" x14ac:dyDescent="0.3">
      <c r="A758" s="512" t="s">
        <v>1744</v>
      </c>
      <c r="B758" s="527">
        <v>45456</v>
      </c>
      <c r="C758" s="531" t="s">
        <v>2102</v>
      </c>
      <c r="D758" s="342" t="s">
        <v>2103</v>
      </c>
      <c r="E758" s="322" t="s">
        <v>680</v>
      </c>
      <c r="F758" s="532">
        <v>221250</v>
      </c>
      <c r="G758" s="324" t="s">
        <v>1114</v>
      </c>
      <c r="H758" s="324">
        <v>2024</v>
      </c>
      <c r="I758" s="324"/>
      <c r="J758" s="324"/>
      <c r="K758" s="324"/>
      <c r="L758" s="324"/>
      <c r="M758" s="324"/>
      <c r="N758" s="324"/>
      <c r="O758" s="324"/>
      <c r="P758" s="324"/>
      <c r="Q758" s="324"/>
      <c r="R758" s="324"/>
      <c r="S758" s="532">
        <v>221250</v>
      </c>
      <c r="T758" s="325">
        <f t="shared" si="11"/>
        <v>221250</v>
      </c>
    </row>
    <row r="759" spans="1:20" ht="18.75" x14ac:dyDescent="0.3">
      <c r="A759" s="512" t="s">
        <v>1744</v>
      </c>
      <c r="B759" s="527">
        <v>45456</v>
      </c>
      <c r="C759" s="531" t="s">
        <v>2104</v>
      </c>
      <c r="D759" s="342" t="s">
        <v>2105</v>
      </c>
      <c r="E759" s="322" t="s">
        <v>680</v>
      </c>
      <c r="F759" s="532">
        <v>233680</v>
      </c>
      <c r="G759" s="324" t="s">
        <v>1114</v>
      </c>
      <c r="H759" s="324">
        <v>2024</v>
      </c>
      <c r="I759" s="324"/>
      <c r="J759" s="324"/>
      <c r="K759" s="324"/>
      <c r="L759" s="324"/>
      <c r="M759" s="324"/>
      <c r="N759" s="324"/>
      <c r="O759" s="324"/>
      <c r="P759" s="324"/>
      <c r="Q759" s="324"/>
      <c r="R759" s="324"/>
      <c r="S759" s="532">
        <v>233680</v>
      </c>
      <c r="T759" s="325">
        <f t="shared" si="11"/>
        <v>233680</v>
      </c>
    </row>
    <row r="760" spans="1:20" ht="18.75" x14ac:dyDescent="0.3">
      <c r="A760" s="512" t="s">
        <v>2106</v>
      </c>
      <c r="B760" s="513">
        <v>45456</v>
      </c>
      <c r="C760" s="514" t="s">
        <v>2107</v>
      </c>
      <c r="D760" s="321" t="s">
        <v>2108</v>
      </c>
      <c r="E760" s="322" t="s">
        <v>2109</v>
      </c>
      <c r="F760" s="515">
        <v>197532</v>
      </c>
      <c r="G760" s="324" t="s">
        <v>1114</v>
      </c>
      <c r="H760" s="324">
        <v>2024</v>
      </c>
      <c r="I760" s="324"/>
      <c r="J760" s="324"/>
      <c r="K760" s="324"/>
      <c r="L760" s="324"/>
      <c r="M760" s="324"/>
      <c r="N760" s="324"/>
      <c r="O760" s="324"/>
      <c r="P760" s="324"/>
      <c r="Q760" s="324"/>
      <c r="R760" s="324"/>
      <c r="S760" s="515">
        <v>197532</v>
      </c>
      <c r="T760" s="325">
        <f t="shared" si="11"/>
        <v>197532</v>
      </c>
    </row>
    <row r="761" spans="1:20" ht="18.75" x14ac:dyDescent="0.3">
      <c r="A761" s="512" t="s">
        <v>2106</v>
      </c>
      <c r="B761" s="513">
        <v>45456</v>
      </c>
      <c r="C761" s="514" t="s">
        <v>2110</v>
      </c>
      <c r="D761" s="321" t="s">
        <v>655</v>
      </c>
      <c r="E761" s="322" t="s">
        <v>2109</v>
      </c>
      <c r="F761" s="515">
        <v>164610</v>
      </c>
      <c r="G761" s="324" t="s">
        <v>1114</v>
      </c>
      <c r="H761" s="324">
        <v>2024</v>
      </c>
      <c r="I761" s="324"/>
      <c r="J761" s="324"/>
      <c r="K761" s="324"/>
      <c r="L761" s="324"/>
      <c r="M761" s="324"/>
      <c r="N761" s="324"/>
      <c r="O761" s="324"/>
      <c r="P761" s="324"/>
      <c r="Q761" s="324"/>
      <c r="R761" s="324"/>
      <c r="S761" s="515">
        <v>164610</v>
      </c>
      <c r="T761" s="325">
        <f t="shared" si="11"/>
        <v>164610</v>
      </c>
    </row>
    <row r="762" spans="1:20" ht="18.75" x14ac:dyDescent="0.3">
      <c r="A762" s="512" t="s">
        <v>2111</v>
      </c>
      <c r="B762" s="513">
        <v>45456</v>
      </c>
      <c r="C762" s="514" t="s">
        <v>2112</v>
      </c>
      <c r="D762" s="321" t="s">
        <v>1336</v>
      </c>
      <c r="E762" s="322" t="s">
        <v>680</v>
      </c>
      <c r="F762" s="515">
        <v>132750</v>
      </c>
      <c r="G762" s="324" t="s">
        <v>1114</v>
      </c>
      <c r="H762" s="324">
        <v>2024</v>
      </c>
      <c r="I762" s="324"/>
      <c r="J762" s="324"/>
      <c r="K762" s="324"/>
      <c r="L762" s="324"/>
      <c r="M762" s="324"/>
      <c r="N762" s="324"/>
      <c r="O762" s="324"/>
      <c r="P762" s="324"/>
      <c r="Q762" s="324"/>
      <c r="R762" s="324"/>
      <c r="S762" s="515">
        <v>132750</v>
      </c>
      <c r="T762" s="325">
        <f t="shared" si="11"/>
        <v>132750</v>
      </c>
    </row>
    <row r="763" spans="1:20" ht="18.75" x14ac:dyDescent="0.3">
      <c r="A763" s="512" t="s">
        <v>866</v>
      </c>
      <c r="B763" s="513">
        <v>45457</v>
      </c>
      <c r="C763" s="514" t="s">
        <v>2113</v>
      </c>
      <c r="D763" s="321" t="s">
        <v>2114</v>
      </c>
      <c r="E763" s="322" t="s">
        <v>2115</v>
      </c>
      <c r="F763" s="515">
        <v>216376.29</v>
      </c>
      <c r="G763" s="324" t="s">
        <v>1114</v>
      </c>
      <c r="H763" s="324">
        <v>2024</v>
      </c>
      <c r="I763" s="324"/>
      <c r="J763" s="324"/>
      <c r="K763" s="324"/>
      <c r="L763" s="324"/>
      <c r="M763" s="324"/>
      <c r="N763" s="324"/>
      <c r="O763" s="324"/>
      <c r="P763" s="324"/>
      <c r="Q763" s="324"/>
      <c r="R763" s="324"/>
      <c r="S763" s="515">
        <v>216376.29</v>
      </c>
      <c r="T763" s="325">
        <f t="shared" si="11"/>
        <v>216376.29</v>
      </c>
    </row>
    <row r="764" spans="1:20" ht="18.75" x14ac:dyDescent="0.3">
      <c r="A764" s="512" t="s">
        <v>1045</v>
      </c>
      <c r="B764" s="527">
        <v>45457</v>
      </c>
      <c r="C764" s="545" t="s">
        <v>2116</v>
      </c>
      <c r="D764" s="342" t="s">
        <v>1911</v>
      </c>
      <c r="E764" s="541" t="s">
        <v>506</v>
      </c>
      <c r="F764" s="532">
        <v>234000</v>
      </c>
      <c r="G764" s="324" t="s">
        <v>1114</v>
      </c>
      <c r="H764" s="324">
        <v>2024</v>
      </c>
      <c r="I764" s="324"/>
      <c r="J764" s="324"/>
      <c r="K764" s="324"/>
      <c r="L764" s="324"/>
      <c r="M764" s="324"/>
      <c r="N764" s="324"/>
      <c r="O764" s="324"/>
      <c r="P764" s="324"/>
      <c r="Q764" s="324"/>
      <c r="R764" s="324"/>
      <c r="S764" s="532">
        <v>234000</v>
      </c>
      <c r="T764" s="325">
        <f t="shared" si="11"/>
        <v>234000</v>
      </c>
    </row>
    <row r="765" spans="1:20" ht="18.75" x14ac:dyDescent="0.3">
      <c r="A765" s="518" t="s">
        <v>251</v>
      </c>
      <c r="B765" s="512">
        <v>45457</v>
      </c>
      <c r="C765" s="521" t="s">
        <v>2117</v>
      </c>
      <c r="D765" s="331" t="s">
        <v>2118</v>
      </c>
      <c r="E765" s="328" t="s">
        <v>1257</v>
      </c>
      <c r="F765" s="522">
        <v>13117</v>
      </c>
      <c r="G765" s="324" t="s">
        <v>1114</v>
      </c>
      <c r="H765" s="324">
        <v>2024</v>
      </c>
      <c r="I765" s="324"/>
      <c r="J765" s="324"/>
      <c r="K765" s="324"/>
      <c r="L765" s="324"/>
      <c r="M765" s="324"/>
      <c r="N765" s="324"/>
      <c r="O765" s="324"/>
      <c r="P765" s="324"/>
      <c r="Q765" s="324"/>
      <c r="R765" s="324"/>
      <c r="S765" s="522">
        <v>13117</v>
      </c>
      <c r="T765" s="325">
        <f t="shared" si="11"/>
        <v>13117</v>
      </c>
    </row>
    <row r="766" spans="1:20" ht="18.75" x14ac:dyDescent="0.3">
      <c r="A766" s="512" t="s">
        <v>395</v>
      </c>
      <c r="B766" s="513">
        <v>45457</v>
      </c>
      <c r="C766" s="514" t="s">
        <v>2086</v>
      </c>
      <c r="D766" s="321" t="s">
        <v>1397</v>
      </c>
      <c r="E766" s="322" t="s">
        <v>2088</v>
      </c>
      <c r="F766" s="515">
        <v>12272</v>
      </c>
      <c r="G766" s="324" t="s">
        <v>1114</v>
      </c>
      <c r="H766" s="324">
        <v>2024</v>
      </c>
      <c r="I766" s="324"/>
      <c r="J766" s="324"/>
      <c r="K766" s="324"/>
      <c r="L766" s="324"/>
      <c r="M766" s="324"/>
      <c r="N766" s="324"/>
      <c r="O766" s="324"/>
      <c r="P766" s="324"/>
      <c r="Q766" s="324"/>
      <c r="R766" s="324"/>
      <c r="S766" s="515">
        <v>12272</v>
      </c>
      <c r="T766" s="325">
        <f t="shared" si="11"/>
        <v>12272</v>
      </c>
    </row>
    <row r="767" spans="1:20" ht="18.75" x14ac:dyDescent="0.3">
      <c r="A767" s="512" t="s">
        <v>833</v>
      </c>
      <c r="B767" s="513">
        <v>45457</v>
      </c>
      <c r="C767" s="514" t="s">
        <v>2119</v>
      </c>
      <c r="D767" s="321" t="s">
        <v>2120</v>
      </c>
      <c r="E767" s="322" t="s">
        <v>2121</v>
      </c>
      <c r="F767" s="515">
        <v>216441.5</v>
      </c>
      <c r="G767" s="324" t="s">
        <v>1114</v>
      </c>
      <c r="H767" s="324">
        <v>2024</v>
      </c>
      <c r="I767" s="324"/>
      <c r="J767" s="324"/>
      <c r="K767" s="324"/>
      <c r="L767" s="324"/>
      <c r="M767" s="324"/>
      <c r="N767" s="324"/>
      <c r="O767" s="324"/>
      <c r="P767" s="324"/>
      <c r="Q767" s="324"/>
      <c r="R767" s="324"/>
      <c r="S767" s="515">
        <v>216441.5</v>
      </c>
      <c r="T767" s="325">
        <f t="shared" si="11"/>
        <v>216441.5</v>
      </c>
    </row>
    <row r="768" spans="1:20" ht="18.75" x14ac:dyDescent="0.3">
      <c r="A768" s="512" t="s">
        <v>681</v>
      </c>
      <c r="B768" s="513">
        <v>45457</v>
      </c>
      <c r="C768" s="514" t="s">
        <v>2122</v>
      </c>
      <c r="D768" s="321" t="s">
        <v>2123</v>
      </c>
      <c r="E768" s="322" t="s">
        <v>755</v>
      </c>
      <c r="F768" s="515">
        <v>220575</v>
      </c>
      <c r="G768" s="324" t="s">
        <v>1114</v>
      </c>
      <c r="H768" s="324">
        <v>2024</v>
      </c>
      <c r="I768" s="324"/>
      <c r="J768" s="324"/>
      <c r="K768" s="324"/>
      <c r="L768" s="324"/>
      <c r="M768" s="324"/>
      <c r="N768" s="324"/>
      <c r="O768" s="324"/>
      <c r="P768" s="324"/>
      <c r="Q768" s="324"/>
      <c r="R768" s="324"/>
      <c r="S768" s="515">
        <v>220575</v>
      </c>
      <c r="T768" s="325">
        <f t="shared" si="11"/>
        <v>220575</v>
      </c>
    </row>
    <row r="769" spans="1:20" ht="18.75" x14ac:dyDescent="0.3">
      <c r="A769" s="512" t="s">
        <v>754</v>
      </c>
      <c r="B769" s="513">
        <v>45457</v>
      </c>
      <c r="C769" s="514" t="s">
        <v>2124</v>
      </c>
      <c r="D769" s="321" t="s">
        <v>2125</v>
      </c>
      <c r="E769" s="322" t="s">
        <v>1136</v>
      </c>
      <c r="F769" s="515">
        <v>210780</v>
      </c>
      <c r="G769" s="324" t="s">
        <v>1114</v>
      </c>
      <c r="H769" s="324">
        <v>2024</v>
      </c>
      <c r="I769" s="324"/>
      <c r="J769" s="324"/>
      <c r="K769" s="324"/>
      <c r="L769" s="324"/>
      <c r="M769" s="324"/>
      <c r="N769" s="324"/>
      <c r="O769" s="324"/>
      <c r="P769" s="324"/>
      <c r="Q769" s="324"/>
      <c r="R769" s="324"/>
      <c r="S769" s="515">
        <v>210780</v>
      </c>
      <c r="T769" s="325">
        <f t="shared" si="11"/>
        <v>210780</v>
      </c>
    </row>
    <row r="770" spans="1:20" ht="18.75" x14ac:dyDescent="0.3">
      <c r="A770" s="513" t="s">
        <v>358</v>
      </c>
      <c r="B770" s="513">
        <v>45457</v>
      </c>
      <c r="C770" s="514" t="s">
        <v>2126</v>
      </c>
      <c r="D770" s="321" t="s">
        <v>2127</v>
      </c>
      <c r="E770" s="322" t="s">
        <v>506</v>
      </c>
      <c r="F770" s="515">
        <v>258000</v>
      </c>
      <c r="G770" s="324" t="s">
        <v>1114</v>
      </c>
      <c r="H770" s="324">
        <v>2024</v>
      </c>
      <c r="I770" s="324"/>
      <c r="J770" s="324"/>
      <c r="K770" s="324"/>
      <c r="L770" s="324"/>
      <c r="M770" s="324"/>
      <c r="N770" s="324"/>
      <c r="O770" s="324"/>
      <c r="P770" s="324"/>
      <c r="Q770" s="324"/>
      <c r="R770" s="324"/>
      <c r="S770" s="515">
        <v>258000</v>
      </c>
      <c r="T770" s="325">
        <f t="shared" si="11"/>
        <v>258000</v>
      </c>
    </row>
    <row r="771" spans="1:20" ht="18.75" x14ac:dyDescent="0.3">
      <c r="A771" s="512" t="s">
        <v>387</v>
      </c>
      <c r="B771" s="527">
        <v>45457</v>
      </c>
      <c r="C771" s="531" t="s">
        <v>2128</v>
      </c>
      <c r="D771" s="342" t="s">
        <v>2129</v>
      </c>
      <c r="E771" s="343" t="s">
        <v>1136</v>
      </c>
      <c r="F771" s="532">
        <v>12580</v>
      </c>
      <c r="G771" s="324" t="s">
        <v>1114</v>
      </c>
      <c r="H771" s="324">
        <v>2024</v>
      </c>
      <c r="I771" s="324"/>
      <c r="J771" s="324"/>
      <c r="K771" s="324"/>
      <c r="L771" s="324"/>
      <c r="M771" s="324"/>
      <c r="N771" s="324"/>
      <c r="O771" s="324"/>
      <c r="P771" s="324"/>
      <c r="Q771" s="324"/>
      <c r="R771" s="324"/>
      <c r="S771" s="532">
        <v>12580</v>
      </c>
      <c r="T771" s="325">
        <f t="shared" si="11"/>
        <v>12580</v>
      </c>
    </row>
    <row r="772" spans="1:20" ht="18.75" x14ac:dyDescent="0.3">
      <c r="A772" s="537" t="s">
        <v>242</v>
      </c>
      <c r="B772" s="513">
        <v>45460</v>
      </c>
      <c r="C772" s="322"/>
      <c r="D772" s="331" t="s">
        <v>2130</v>
      </c>
      <c r="E772" s="322"/>
      <c r="F772" s="323">
        <v>16089.95</v>
      </c>
      <c r="G772" s="324" t="s">
        <v>1114</v>
      </c>
      <c r="H772" s="324">
        <v>2024</v>
      </c>
      <c r="I772" s="324"/>
      <c r="J772" s="324"/>
      <c r="K772" s="324"/>
      <c r="L772" s="324"/>
      <c r="M772" s="324"/>
      <c r="N772" s="324"/>
      <c r="O772" s="324"/>
      <c r="P772" s="324"/>
      <c r="Q772" s="324"/>
      <c r="R772" s="324"/>
      <c r="S772" s="323">
        <v>16089.95</v>
      </c>
      <c r="T772" s="325">
        <f t="shared" si="11"/>
        <v>16089.95</v>
      </c>
    </row>
    <row r="773" spans="1:20" ht="18.75" x14ac:dyDescent="0.3">
      <c r="A773" s="512" t="s">
        <v>766</v>
      </c>
      <c r="B773" s="513">
        <v>45460</v>
      </c>
      <c r="C773" s="514" t="s">
        <v>2131</v>
      </c>
      <c r="D773" s="321" t="s">
        <v>2132</v>
      </c>
      <c r="E773" s="322" t="s">
        <v>769</v>
      </c>
      <c r="F773" s="515">
        <v>227039.2</v>
      </c>
      <c r="G773" s="324" t="s">
        <v>1114</v>
      </c>
      <c r="H773" s="324">
        <v>2024</v>
      </c>
      <c r="I773" s="324"/>
      <c r="J773" s="324"/>
      <c r="K773" s="324"/>
      <c r="L773" s="324"/>
      <c r="M773" s="324"/>
      <c r="N773" s="324"/>
      <c r="O773" s="324"/>
      <c r="P773" s="324"/>
      <c r="Q773" s="324"/>
      <c r="R773" s="324"/>
      <c r="S773" s="515">
        <v>227039.2</v>
      </c>
      <c r="T773" s="325">
        <f t="shared" si="11"/>
        <v>227039.2</v>
      </c>
    </row>
    <row r="774" spans="1:20" ht="18.75" x14ac:dyDescent="0.3">
      <c r="A774" s="513" t="s">
        <v>864</v>
      </c>
      <c r="B774" s="513">
        <v>45460</v>
      </c>
      <c r="C774" s="514" t="s">
        <v>2133</v>
      </c>
      <c r="D774" s="321" t="s">
        <v>2134</v>
      </c>
      <c r="E774" s="322" t="s">
        <v>1344</v>
      </c>
      <c r="F774" s="515">
        <v>210945</v>
      </c>
      <c r="G774" s="324" t="s">
        <v>1114</v>
      </c>
      <c r="H774" s="324">
        <v>2024</v>
      </c>
      <c r="I774" s="324"/>
      <c r="J774" s="324"/>
      <c r="K774" s="324"/>
      <c r="L774" s="324"/>
      <c r="M774" s="324"/>
      <c r="N774" s="324"/>
      <c r="O774" s="324"/>
      <c r="P774" s="324"/>
      <c r="Q774" s="324"/>
      <c r="R774" s="324"/>
      <c r="S774" s="515">
        <v>210945</v>
      </c>
      <c r="T774" s="325">
        <f t="shared" si="11"/>
        <v>210945</v>
      </c>
    </row>
    <row r="775" spans="1:20" ht="18.75" x14ac:dyDescent="0.3">
      <c r="A775" s="513" t="s">
        <v>864</v>
      </c>
      <c r="B775" s="513">
        <v>45460</v>
      </c>
      <c r="C775" s="514" t="s">
        <v>2135</v>
      </c>
      <c r="D775" s="321" t="s">
        <v>2136</v>
      </c>
      <c r="E775" s="322" t="s">
        <v>1344</v>
      </c>
      <c r="F775" s="515">
        <v>112912</v>
      </c>
      <c r="G775" s="324" t="s">
        <v>1114</v>
      </c>
      <c r="H775" s="324">
        <v>2024</v>
      </c>
      <c r="I775" s="324"/>
      <c r="J775" s="324"/>
      <c r="K775" s="324"/>
      <c r="L775" s="324"/>
      <c r="M775" s="324"/>
      <c r="N775" s="324"/>
      <c r="O775" s="324"/>
      <c r="P775" s="324"/>
      <c r="Q775" s="324"/>
      <c r="R775" s="324"/>
      <c r="S775" s="515">
        <v>112912</v>
      </c>
      <c r="T775" s="325">
        <f t="shared" si="11"/>
        <v>112912</v>
      </c>
    </row>
    <row r="776" spans="1:20" ht="18.75" x14ac:dyDescent="0.3">
      <c r="A776" s="512" t="s">
        <v>2137</v>
      </c>
      <c r="B776" s="513">
        <v>45460</v>
      </c>
      <c r="C776" s="514" t="s">
        <v>2138</v>
      </c>
      <c r="D776" s="321" t="s">
        <v>2139</v>
      </c>
      <c r="E776" s="322" t="s">
        <v>2140</v>
      </c>
      <c r="F776" s="515">
        <v>10829.27</v>
      </c>
      <c r="G776" s="324" t="s">
        <v>1114</v>
      </c>
      <c r="H776" s="324">
        <v>2024</v>
      </c>
      <c r="I776" s="324"/>
      <c r="J776" s="324"/>
      <c r="K776" s="324"/>
      <c r="L776" s="324"/>
      <c r="M776" s="324"/>
      <c r="N776" s="324"/>
      <c r="O776" s="324"/>
      <c r="P776" s="324"/>
      <c r="Q776" s="324"/>
      <c r="R776" s="324"/>
      <c r="S776" s="515">
        <v>10829.27</v>
      </c>
      <c r="T776" s="325">
        <f t="shared" si="11"/>
        <v>10829.27</v>
      </c>
    </row>
    <row r="777" spans="1:20" ht="18.75" x14ac:dyDescent="0.3">
      <c r="A777" s="513" t="s">
        <v>2141</v>
      </c>
      <c r="B777" s="513">
        <v>45460</v>
      </c>
      <c r="C777" s="514" t="s">
        <v>2142</v>
      </c>
      <c r="D777" s="321" t="s">
        <v>876</v>
      </c>
      <c r="E777" s="322" t="s">
        <v>2143</v>
      </c>
      <c r="F777" s="515">
        <v>36087.18</v>
      </c>
      <c r="G777" s="324" t="s">
        <v>1114</v>
      </c>
      <c r="H777" s="324">
        <v>2024</v>
      </c>
      <c r="I777" s="324"/>
      <c r="J777" s="324"/>
      <c r="K777" s="324"/>
      <c r="L777" s="324"/>
      <c r="M777" s="324"/>
      <c r="N777" s="324"/>
      <c r="O777" s="324"/>
      <c r="P777" s="324"/>
      <c r="Q777" s="324"/>
      <c r="R777" s="324"/>
      <c r="S777" s="515">
        <v>36087.18</v>
      </c>
      <c r="T777" s="325">
        <f t="shared" si="11"/>
        <v>36087.18</v>
      </c>
    </row>
    <row r="778" spans="1:20" s="336" customFormat="1" ht="18.75" x14ac:dyDescent="0.3">
      <c r="A778" s="512" t="s">
        <v>1278</v>
      </c>
      <c r="B778" s="513">
        <v>45460</v>
      </c>
      <c r="C778" s="514" t="s">
        <v>2144</v>
      </c>
      <c r="D778" s="321" t="s">
        <v>2145</v>
      </c>
      <c r="E778" s="322" t="s">
        <v>1344</v>
      </c>
      <c r="F778" s="515">
        <v>125684.28</v>
      </c>
      <c r="G778" s="324" t="s">
        <v>1114</v>
      </c>
      <c r="H778" s="324">
        <v>2024</v>
      </c>
      <c r="I778" s="335"/>
      <c r="J778" s="335"/>
      <c r="K778" s="335"/>
      <c r="L778" s="335"/>
      <c r="M778" s="335"/>
      <c r="N778" s="335"/>
      <c r="O778" s="335"/>
      <c r="P778" s="335"/>
      <c r="Q778" s="335"/>
      <c r="R778" s="335"/>
      <c r="S778" s="515">
        <v>125684.28</v>
      </c>
      <c r="T778" s="325">
        <f t="shared" si="11"/>
        <v>125684.28</v>
      </c>
    </row>
    <row r="779" spans="1:20" s="336" customFormat="1" ht="18.75" x14ac:dyDescent="0.3">
      <c r="A779" s="512" t="s">
        <v>338</v>
      </c>
      <c r="B779" s="527">
        <v>45460</v>
      </c>
      <c r="C779" s="531" t="s">
        <v>2146</v>
      </c>
      <c r="D779" s="346" t="s">
        <v>1887</v>
      </c>
      <c r="E779" s="322" t="s">
        <v>1271</v>
      </c>
      <c r="F779" s="532">
        <v>77640</v>
      </c>
      <c r="G779" s="324" t="s">
        <v>1114</v>
      </c>
      <c r="H779" s="324">
        <v>2024</v>
      </c>
      <c r="I779" s="335"/>
      <c r="J779" s="335"/>
      <c r="K779" s="335"/>
      <c r="L779" s="335"/>
      <c r="M779" s="335"/>
      <c r="N779" s="335"/>
      <c r="O779" s="335"/>
      <c r="P779" s="335"/>
      <c r="Q779" s="335"/>
      <c r="R779" s="335"/>
      <c r="S779" s="532">
        <v>77640</v>
      </c>
      <c r="T779" s="325">
        <f t="shared" ref="T779:T800" si="12">SUM(I779:S779)</f>
        <v>77640</v>
      </c>
    </row>
    <row r="780" spans="1:20" s="336" customFormat="1" ht="18.75" x14ac:dyDescent="0.3">
      <c r="A780" s="512" t="s">
        <v>679</v>
      </c>
      <c r="B780" s="513">
        <v>45461</v>
      </c>
      <c r="C780" s="514" t="s">
        <v>2147</v>
      </c>
      <c r="D780" s="321" t="s">
        <v>2148</v>
      </c>
      <c r="E780" s="322" t="s">
        <v>680</v>
      </c>
      <c r="F780" s="515">
        <v>91804</v>
      </c>
      <c r="G780" s="324" t="s">
        <v>1114</v>
      </c>
      <c r="H780" s="324">
        <v>2024</v>
      </c>
      <c r="I780" s="335"/>
      <c r="J780" s="335"/>
      <c r="K780" s="335"/>
      <c r="L780" s="335"/>
      <c r="M780" s="335"/>
      <c r="N780" s="335"/>
      <c r="O780" s="335"/>
      <c r="P780" s="335"/>
      <c r="Q780" s="335"/>
      <c r="R780" s="335"/>
      <c r="S780" s="515">
        <v>91804</v>
      </c>
      <c r="T780" s="325">
        <f t="shared" si="12"/>
        <v>91804</v>
      </c>
    </row>
    <row r="781" spans="1:20" ht="18.75" x14ac:dyDescent="0.3">
      <c r="A781" s="527" t="s">
        <v>443</v>
      </c>
      <c r="B781" s="528">
        <v>45461</v>
      </c>
      <c r="C781" s="529" t="s">
        <v>2149</v>
      </c>
      <c r="D781" s="339" t="s">
        <v>2150</v>
      </c>
      <c r="E781" s="340" t="s">
        <v>1960</v>
      </c>
      <c r="F781" s="530">
        <v>427594.23999999999</v>
      </c>
      <c r="G781" s="324" t="s">
        <v>1114</v>
      </c>
      <c r="H781" s="324">
        <v>2024</v>
      </c>
      <c r="I781" s="324"/>
      <c r="J781" s="324"/>
      <c r="K781" s="324"/>
      <c r="L781" s="324"/>
      <c r="M781" s="324"/>
      <c r="N781" s="324"/>
      <c r="O781" s="324"/>
      <c r="P781" s="324"/>
      <c r="Q781" s="324"/>
      <c r="R781" s="324"/>
      <c r="S781" s="530">
        <v>427594.23999999999</v>
      </c>
      <c r="T781" s="325">
        <f t="shared" si="12"/>
        <v>427594.23999999999</v>
      </c>
    </row>
    <row r="782" spans="1:20" ht="18.75" x14ac:dyDescent="0.3">
      <c r="A782" s="513" t="s">
        <v>956</v>
      </c>
      <c r="B782" s="513">
        <v>45462</v>
      </c>
      <c r="C782" s="514"/>
      <c r="D782" s="321" t="s">
        <v>2151</v>
      </c>
      <c r="E782" s="322" t="s">
        <v>2152</v>
      </c>
      <c r="F782" s="515">
        <v>72860</v>
      </c>
      <c r="G782" s="324" t="s">
        <v>1114</v>
      </c>
      <c r="H782" s="324">
        <v>2024</v>
      </c>
      <c r="I782" s="324"/>
      <c r="J782" s="324"/>
      <c r="K782" s="324"/>
      <c r="L782" s="324"/>
      <c r="M782" s="324"/>
      <c r="N782" s="324"/>
      <c r="O782" s="324"/>
      <c r="P782" s="324"/>
      <c r="Q782" s="324"/>
      <c r="R782" s="324"/>
      <c r="S782" s="515">
        <v>72860</v>
      </c>
      <c r="T782" s="325">
        <f t="shared" si="12"/>
        <v>72860</v>
      </c>
    </row>
    <row r="783" spans="1:20" ht="18.75" x14ac:dyDescent="0.3">
      <c r="A783" s="513" t="s">
        <v>357</v>
      </c>
      <c r="B783" s="513">
        <v>45462</v>
      </c>
      <c r="C783" s="514" t="s">
        <v>2153</v>
      </c>
      <c r="D783" s="321" t="s">
        <v>2154</v>
      </c>
      <c r="E783" s="322" t="s">
        <v>680</v>
      </c>
      <c r="F783" s="515">
        <v>66080</v>
      </c>
      <c r="G783" s="324" t="s">
        <v>1114</v>
      </c>
      <c r="H783" s="324">
        <v>2024</v>
      </c>
      <c r="I783" s="324"/>
      <c r="J783" s="324"/>
      <c r="K783" s="324"/>
      <c r="L783" s="324"/>
      <c r="M783" s="324"/>
      <c r="N783" s="324"/>
      <c r="O783" s="324"/>
      <c r="P783" s="324"/>
      <c r="Q783" s="324"/>
      <c r="R783" s="324"/>
      <c r="S783" s="515">
        <v>66080</v>
      </c>
      <c r="T783" s="325">
        <f t="shared" si="12"/>
        <v>66080</v>
      </c>
    </row>
    <row r="784" spans="1:20" ht="18.75" x14ac:dyDescent="0.3">
      <c r="A784" s="513" t="s">
        <v>253</v>
      </c>
      <c r="B784" s="513">
        <v>45463</v>
      </c>
      <c r="C784" s="514" t="s">
        <v>1758</v>
      </c>
      <c r="D784" s="321" t="s">
        <v>2155</v>
      </c>
      <c r="E784" s="322" t="s">
        <v>701</v>
      </c>
      <c r="F784" s="515">
        <v>2300</v>
      </c>
      <c r="G784" s="324" t="s">
        <v>1114</v>
      </c>
      <c r="H784" s="324">
        <v>2024</v>
      </c>
      <c r="I784" s="324"/>
      <c r="J784" s="324"/>
      <c r="K784" s="324"/>
      <c r="L784" s="324"/>
      <c r="M784" s="324"/>
      <c r="N784" s="324"/>
      <c r="O784" s="324"/>
      <c r="P784" s="324"/>
      <c r="Q784" s="324"/>
      <c r="R784" s="324"/>
      <c r="S784" s="515">
        <v>2300</v>
      </c>
      <c r="T784" s="325">
        <f t="shared" si="12"/>
        <v>2300</v>
      </c>
    </row>
    <row r="785" spans="1:20" ht="18.75" x14ac:dyDescent="0.3">
      <c r="A785" s="512" t="s">
        <v>1254</v>
      </c>
      <c r="B785" s="513">
        <v>45463</v>
      </c>
      <c r="C785" s="514" t="s">
        <v>2156</v>
      </c>
      <c r="D785" s="321" t="s">
        <v>2157</v>
      </c>
      <c r="E785" s="322"/>
      <c r="F785" s="515">
        <v>82297</v>
      </c>
      <c r="G785" s="324" t="s">
        <v>1114</v>
      </c>
      <c r="H785" s="324">
        <v>2024</v>
      </c>
      <c r="I785" s="324"/>
      <c r="J785" s="324"/>
      <c r="K785" s="324"/>
      <c r="L785" s="324"/>
      <c r="M785" s="324"/>
      <c r="N785" s="324"/>
      <c r="O785" s="324"/>
      <c r="P785" s="324"/>
      <c r="Q785" s="324"/>
      <c r="R785" s="324"/>
      <c r="S785" s="515">
        <v>82297</v>
      </c>
      <c r="T785" s="325">
        <f t="shared" si="12"/>
        <v>82297</v>
      </c>
    </row>
    <row r="786" spans="1:20" ht="18.75" x14ac:dyDescent="0.3">
      <c r="A786" s="518" t="s">
        <v>919</v>
      </c>
      <c r="B786" s="513">
        <v>45463</v>
      </c>
      <c r="C786" s="514" t="s">
        <v>2158</v>
      </c>
      <c r="D786" s="321" t="s">
        <v>2159</v>
      </c>
      <c r="E786" s="322" t="s">
        <v>509</v>
      </c>
      <c r="F786" s="515">
        <v>117929.2</v>
      </c>
      <c r="G786" s="324" t="s">
        <v>1114</v>
      </c>
      <c r="H786" s="324">
        <v>2024</v>
      </c>
      <c r="I786" s="324"/>
      <c r="J786" s="324"/>
      <c r="K786" s="324"/>
      <c r="L786" s="324"/>
      <c r="M786" s="324"/>
      <c r="N786" s="324"/>
      <c r="O786" s="324"/>
      <c r="P786" s="324"/>
      <c r="Q786" s="324"/>
      <c r="R786" s="324"/>
      <c r="S786" s="515">
        <v>117929.2</v>
      </c>
      <c r="T786" s="325">
        <f t="shared" si="12"/>
        <v>117929.2</v>
      </c>
    </row>
    <row r="787" spans="1:20" ht="18.75" x14ac:dyDescent="0.3">
      <c r="A787" s="513" t="s">
        <v>1259</v>
      </c>
      <c r="B787" s="513">
        <v>45464</v>
      </c>
      <c r="C787" s="514"/>
      <c r="D787" s="321" t="s">
        <v>2160</v>
      </c>
      <c r="E787" s="322" t="s">
        <v>1765</v>
      </c>
      <c r="F787" s="515">
        <v>24000</v>
      </c>
      <c r="G787" s="324" t="s">
        <v>1114</v>
      </c>
      <c r="H787" s="324">
        <v>2024</v>
      </c>
      <c r="I787" s="324"/>
      <c r="J787" s="324"/>
      <c r="K787" s="324"/>
      <c r="L787" s="324"/>
      <c r="M787" s="324"/>
      <c r="N787" s="324"/>
      <c r="O787" s="324"/>
      <c r="P787" s="324"/>
      <c r="Q787" s="324"/>
      <c r="R787" s="324"/>
      <c r="S787" s="515">
        <v>24000</v>
      </c>
      <c r="T787" s="325">
        <f t="shared" si="12"/>
        <v>24000</v>
      </c>
    </row>
    <row r="788" spans="1:20" ht="18.75" x14ac:dyDescent="0.3">
      <c r="A788" s="512" t="s">
        <v>387</v>
      </c>
      <c r="B788" s="527">
        <v>45464</v>
      </c>
      <c r="C788" s="531" t="s">
        <v>2161</v>
      </c>
      <c r="D788" s="342" t="s">
        <v>931</v>
      </c>
      <c r="E788" s="343" t="s">
        <v>1136</v>
      </c>
      <c r="F788" s="532">
        <v>190410</v>
      </c>
      <c r="G788" s="324" t="s">
        <v>1114</v>
      </c>
      <c r="H788" s="324">
        <v>2024</v>
      </c>
      <c r="I788" s="324"/>
      <c r="J788" s="324"/>
      <c r="K788" s="324"/>
      <c r="L788" s="324"/>
      <c r="M788" s="324"/>
      <c r="N788" s="324"/>
      <c r="O788" s="324"/>
      <c r="P788" s="324"/>
      <c r="Q788" s="324"/>
      <c r="R788" s="324"/>
      <c r="S788" s="532">
        <v>190410</v>
      </c>
      <c r="T788" s="325">
        <f t="shared" si="12"/>
        <v>190410</v>
      </c>
    </row>
    <row r="789" spans="1:20" ht="18.75" x14ac:dyDescent="0.3">
      <c r="A789" s="513" t="s">
        <v>864</v>
      </c>
      <c r="B789" s="513">
        <v>45467</v>
      </c>
      <c r="C789" s="514" t="s">
        <v>1437</v>
      </c>
      <c r="D789" s="321" t="s">
        <v>2162</v>
      </c>
      <c r="E789" s="322" t="s">
        <v>1344</v>
      </c>
      <c r="F789" s="515">
        <v>326565</v>
      </c>
      <c r="G789" s="324" t="s">
        <v>1114</v>
      </c>
      <c r="H789" s="324">
        <v>2024</v>
      </c>
      <c r="I789" s="324"/>
      <c r="J789" s="324"/>
      <c r="K789" s="324"/>
      <c r="L789" s="324"/>
      <c r="M789" s="324"/>
      <c r="N789" s="324"/>
      <c r="O789" s="324"/>
      <c r="P789" s="324"/>
      <c r="Q789" s="324"/>
      <c r="R789" s="324"/>
      <c r="S789" s="515">
        <v>326565</v>
      </c>
      <c r="T789" s="325">
        <f t="shared" si="12"/>
        <v>326565</v>
      </c>
    </row>
    <row r="790" spans="1:20" ht="18.75" x14ac:dyDescent="0.3">
      <c r="A790" s="513" t="s">
        <v>358</v>
      </c>
      <c r="B790" s="513">
        <v>45467</v>
      </c>
      <c r="C790" s="514"/>
      <c r="D790" s="321" t="s">
        <v>2163</v>
      </c>
      <c r="E790" s="322" t="s">
        <v>506</v>
      </c>
      <c r="F790" s="515">
        <v>210000</v>
      </c>
      <c r="G790" s="324" t="s">
        <v>1114</v>
      </c>
      <c r="H790" s="324">
        <v>2024</v>
      </c>
      <c r="I790" s="324"/>
      <c r="J790" s="324"/>
      <c r="K790" s="324"/>
      <c r="L790" s="324"/>
      <c r="M790" s="324"/>
      <c r="N790" s="324"/>
      <c r="O790" s="324"/>
      <c r="P790" s="324"/>
      <c r="Q790" s="324"/>
      <c r="R790" s="324"/>
      <c r="S790" s="515">
        <v>210000</v>
      </c>
      <c r="T790" s="325">
        <f t="shared" si="12"/>
        <v>210000</v>
      </c>
    </row>
    <row r="791" spans="1:20" ht="18.75" x14ac:dyDescent="0.3">
      <c r="A791" s="513" t="s">
        <v>358</v>
      </c>
      <c r="B791" s="513">
        <v>45467</v>
      </c>
      <c r="C791" s="514" t="s">
        <v>2164</v>
      </c>
      <c r="D791" s="321" t="s">
        <v>2165</v>
      </c>
      <c r="E791" s="322" t="s">
        <v>506</v>
      </c>
      <c r="F791" s="515">
        <v>210000</v>
      </c>
      <c r="G791" s="324" t="s">
        <v>1114</v>
      </c>
      <c r="H791" s="324">
        <v>2024</v>
      </c>
      <c r="I791" s="324"/>
      <c r="J791" s="324"/>
      <c r="K791" s="324"/>
      <c r="L791" s="324"/>
      <c r="M791" s="324"/>
      <c r="N791" s="324"/>
      <c r="O791" s="324"/>
      <c r="P791" s="324"/>
      <c r="Q791" s="324"/>
      <c r="R791" s="324"/>
      <c r="S791" s="515">
        <v>210000</v>
      </c>
      <c r="T791" s="325">
        <f t="shared" si="12"/>
        <v>210000</v>
      </c>
    </row>
    <row r="792" spans="1:20" ht="18.75" x14ac:dyDescent="0.3">
      <c r="A792" s="518" t="s">
        <v>382</v>
      </c>
      <c r="B792" s="513">
        <v>45467</v>
      </c>
      <c r="C792" s="514" t="s">
        <v>2166</v>
      </c>
      <c r="D792" s="321" t="s">
        <v>2167</v>
      </c>
      <c r="E792" s="322" t="s">
        <v>2168</v>
      </c>
      <c r="F792" s="515">
        <v>443200</v>
      </c>
      <c r="G792" s="324" t="s">
        <v>1114</v>
      </c>
      <c r="H792" s="324">
        <v>2024</v>
      </c>
      <c r="I792" s="324"/>
      <c r="J792" s="324"/>
      <c r="K792" s="324"/>
      <c r="L792" s="324"/>
      <c r="M792" s="324"/>
      <c r="N792" s="324"/>
      <c r="O792" s="324"/>
      <c r="P792" s="324"/>
      <c r="Q792" s="324"/>
      <c r="R792" s="324"/>
      <c r="S792" s="515">
        <v>443200</v>
      </c>
      <c r="T792" s="325">
        <f t="shared" si="12"/>
        <v>443200</v>
      </c>
    </row>
    <row r="793" spans="1:20" ht="18.75" x14ac:dyDescent="0.3">
      <c r="A793" s="512" t="s">
        <v>387</v>
      </c>
      <c r="B793" s="527">
        <v>45468</v>
      </c>
      <c r="C793" s="531" t="s">
        <v>2169</v>
      </c>
      <c r="D793" s="342" t="s">
        <v>2170</v>
      </c>
      <c r="E793" s="343" t="s">
        <v>680</v>
      </c>
      <c r="F793" s="532">
        <v>75000</v>
      </c>
      <c r="G793" s="324" t="s">
        <v>1114</v>
      </c>
      <c r="H793" s="324">
        <v>2024</v>
      </c>
      <c r="I793" s="324"/>
      <c r="J793" s="324"/>
      <c r="K793" s="324"/>
      <c r="L793" s="324"/>
      <c r="M793" s="324"/>
      <c r="N793" s="324"/>
      <c r="O793" s="324"/>
      <c r="P793" s="324"/>
      <c r="Q793" s="324"/>
      <c r="R793" s="324"/>
      <c r="S793" s="532">
        <v>75000</v>
      </c>
      <c r="T793" s="325">
        <f t="shared" si="12"/>
        <v>75000</v>
      </c>
    </row>
    <row r="794" spans="1:20" ht="18.75" x14ac:dyDescent="0.3">
      <c r="A794" s="512" t="s">
        <v>2111</v>
      </c>
      <c r="B794" s="513">
        <v>45469</v>
      </c>
      <c r="C794" s="514"/>
      <c r="D794" s="321" t="s">
        <v>2171</v>
      </c>
      <c r="E794" s="322" t="s">
        <v>680</v>
      </c>
      <c r="F794" s="515">
        <v>19700</v>
      </c>
      <c r="G794" s="324" t="s">
        <v>1114</v>
      </c>
      <c r="H794" s="324">
        <v>2024</v>
      </c>
      <c r="I794" s="324"/>
      <c r="J794" s="324"/>
      <c r="K794" s="324"/>
      <c r="L794" s="324"/>
      <c r="M794" s="324"/>
      <c r="N794" s="324"/>
      <c r="O794" s="324"/>
      <c r="P794" s="324"/>
      <c r="Q794" s="324"/>
      <c r="R794" s="324"/>
      <c r="S794" s="515">
        <v>19700</v>
      </c>
      <c r="T794" s="325">
        <f t="shared" si="12"/>
        <v>19700</v>
      </c>
    </row>
    <row r="795" spans="1:20" ht="18.75" x14ac:dyDescent="0.3">
      <c r="A795" s="518" t="s">
        <v>857</v>
      </c>
      <c r="B795" s="512">
        <v>45469</v>
      </c>
      <c r="C795" s="521"/>
      <c r="D795" s="331" t="s">
        <v>2172</v>
      </c>
      <c r="E795" s="328" t="s">
        <v>1792</v>
      </c>
      <c r="F795" s="523">
        <v>266664.26</v>
      </c>
      <c r="G795" s="324" t="s">
        <v>1114</v>
      </c>
      <c r="H795" s="324">
        <v>2024</v>
      </c>
      <c r="I795" s="324"/>
      <c r="J795" s="324"/>
      <c r="K795" s="324"/>
      <c r="L795" s="324"/>
      <c r="M795" s="324"/>
      <c r="N795" s="324"/>
      <c r="O795" s="324"/>
      <c r="P795" s="324"/>
      <c r="Q795" s="324"/>
      <c r="R795" s="324"/>
      <c r="S795" s="523">
        <v>266664.26</v>
      </c>
      <c r="T795" s="325">
        <f t="shared" si="12"/>
        <v>266664.26</v>
      </c>
    </row>
    <row r="796" spans="1:20" ht="18.75" x14ac:dyDescent="0.3">
      <c r="A796" s="512" t="s">
        <v>693</v>
      </c>
      <c r="B796" s="513">
        <v>45470</v>
      </c>
      <c r="C796" s="514"/>
      <c r="D796" s="321" t="s">
        <v>2173</v>
      </c>
      <c r="E796" s="322" t="s">
        <v>695</v>
      </c>
      <c r="F796" s="515">
        <v>12250</v>
      </c>
      <c r="G796" s="324" t="s">
        <v>1114</v>
      </c>
      <c r="H796" s="324">
        <v>2024</v>
      </c>
      <c r="I796" s="324"/>
      <c r="J796" s="324"/>
      <c r="K796" s="324"/>
      <c r="L796" s="324"/>
      <c r="M796" s="324"/>
      <c r="N796" s="324"/>
      <c r="O796" s="324"/>
      <c r="P796" s="324"/>
      <c r="Q796" s="324"/>
      <c r="R796" s="324"/>
      <c r="S796" s="515">
        <v>12250</v>
      </c>
      <c r="T796" s="325">
        <f t="shared" si="12"/>
        <v>12250</v>
      </c>
    </row>
    <row r="797" spans="1:20" ht="18.75" x14ac:dyDescent="0.3">
      <c r="A797" s="512" t="s">
        <v>1164</v>
      </c>
      <c r="B797" s="513">
        <v>45470</v>
      </c>
      <c r="C797" s="514"/>
      <c r="D797" s="321" t="s">
        <v>834</v>
      </c>
      <c r="E797" s="322" t="s">
        <v>1908</v>
      </c>
      <c r="F797" s="515">
        <v>140499.04</v>
      </c>
      <c r="G797" s="324" t="s">
        <v>1114</v>
      </c>
      <c r="H797" s="324">
        <v>2024</v>
      </c>
      <c r="I797" s="324"/>
      <c r="J797" s="324"/>
      <c r="K797" s="324"/>
      <c r="L797" s="324"/>
      <c r="M797" s="324"/>
      <c r="N797" s="324"/>
      <c r="O797" s="324"/>
      <c r="P797" s="324"/>
      <c r="Q797" s="324"/>
      <c r="R797" s="324"/>
      <c r="S797" s="515">
        <v>140499.04</v>
      </c>
      <c r="T797" s="325">
        <f t="shared" si="12"/>
        <v>140499.04</v>
      </c>
    </row>
    <row r="798" spans="1:20" ht="18.75" x14ac:dyDescent="0.3">
      <c r="A798" s="512" t="s">
        <v>681</v>
      </c>
      <c r="B798" s="513">
        <v>45470</v>
      </c>
      <c r="C798" s="514" t="s">
        <v>2174</v>
      </c>
      <c r="D798" s="321" t="s">
        <v>2175</v>
      </c>
      <c r="E798" s="322" t="s">
        <v>755</v>
      </c>
      <c r="F798" s="515">
        <v>58200</v>
      </c>
      <c r="G798" s="324" t="s">
        <v>1114</v>
      </c>
      <c r="H798" s="324">
        <v>2024</v>
      </c>
      <c r="I798" s="324"/>
      <c r="J798" s="324"/>
      <c r="K798" s="324"/>
      <c r="L798" s="324"/>
      <c r="M798" s="324"/>
      <c r="N798" s="324"/>
      <c r="O798" s="324"/>
      <c r="P798" s="324"/>
      <c r="Q798" s="324"/>
      <c r="R798" s="324"/>
      <c r="S798" s="515">
        <v>58200</v>
      </c>
      <c r="T798" s="325">
        <f t="shared" si="12"/>
        <v>58200</v>
      </c>
    </row>
    <row r="799" spans="1:20" ht="18.75" x14ac:dyDescent="0.3">
      <c r="A799" s="512" t="s">
        <v>397</v>
      </c>
      <c r="B799" s="513">
        <v>45471</v>
      </c>
      <c r="C799" s="514" t="s">
        <v>2176</v>
      </c>
      <c r="D799" s="321" t="s">
        <v>2177</v>
      </c>
      <c r="E799" s="322" t="s">
        <v>1975</v>
      </c>
      <c r="F799" s="515">
        <v>223020</v>
      </c>
      <c r="G799" s="324" t="s">
        <v>1114</v>
      </c>
      <c r="H799" s="324">
        <v>2024</v>
      </c>
      <c r="I799" s="324"/>
      <c r="J799" s="324"/>
      <c r="K799" s="324"/>
      <c r="L799" s="324"/>
      <c r="M799" s="324"/>
      <c r="N799" s="324"/>
      <c r="O799" s="324"/>
      <c r="P799" s="324"/>
      <c r="Q799" s="324"/>
      <c r="R799" s="324"/>
      <c r="S799" s="515">
        <v>223020</v>
      </c>
      <c r="T799" s="325">
        <f t="shared" si="12"/>
        <v>223020</v>
      </c>
    </row>
    <row r="800" spans="1:20" s="336" customFormat="1" ht="18.75" x14ac:dyDescent="0.3">
      <c r="A800" s="513" t="s">
        <v>2178</v>
      </c>
      <c r="B800" s="513">
        <v>45471</v>
      </c>
      <c r="C800" s="514" t="s">
        <v>2179</v>
      </c>
      <c r="D800" s="321" t="s">
        <v>2180</v>
      </c>
      <c r="E800" s="322" t="s">
        <v>2181</v>
      </c>
      <c r="F800" s="515">
        <v>45080.25</v>
      </c>
      <c r="G800" s="324" t="s">
        <v>1114</v>
      </c>
      <c r="H800" s="324">
        <v>2024</v>
      </c>
      <c r="I800" s="335"/>
      <c r="J800" s="335"/>
      <c r="K800" s="335"/>
      <c r="L800" s="335"/>
      <c r="M800" s="335"/>
      <c r="N800" s="335"/>
      <c r="O800" s="335"/>
      <c r="P800" s="335"/>
      <c r="Q800" s="335"/>
      <c r="R800" s="335"/>
      <c r="S800" s="515">
        <v>45080.25</v>
      </c>
      <c r="T800" s="325">
        <f t="shared" si="12"/>
        <v>45080.25</v>
      </c>
    </row>
    <row r="801" spans="1:20" x14ac:dyDescent="0.25">
      <c r="A801" s="1039" t="s">
        <v>157</v>
      </c>
      <c r="B801" s="1039"/>
      <c r="C801" s="1039"/>
      <c r="D801" s="1039"/>
      <c r="E801" s="1039"/>
      <c r="F801" s="552">
        <f t="shared" ref="F801:S801" si="13">SUM(F10:F800)</f>
        <v>115057028.81999999</v>
      </c>
      <c r="G801" s="552">
        <f t="shared" si="13"/>
        <v>0</v>
      </c>
      <c r="H801" s="552"/>
      <c r="I801" s="552">
        <f t="shared" si="13"/>
        <v>19274136.570000004</v>
      </c>
      <c r="J801" s="552">
        <f t="shared" si="13"/>
        <v>382241.5</v>
      </c>
      <c r="K801" s="552">
        <f t="shared" si="13"/>
        <v>0</v>
      </c>
      <c r="L801" s="552">
        <f t="shared" si="13"/>
        <v>580692</v>
      </c>
      <c r="M801" s="552">
        <f t="shared" si="13"/>
        <v>19917252.559999995</v>
      </c>
      <c r="N801" s="552">
        <f t="shared" si="13"/>
        <v>6152711.7800000003</v>
      </c>
      <c r="O801" s="552">
        <f t="shared" si="13"/>
        <v>5732871.4799999995</v>
      </c>
      <c r="P801" s="552">
        <f t="shared" si="13"/>
        <v>7781172.870000001</v>
      </c>
      <c r="Q801" s="552">
        <f t="shared" si="13"/>
        <v>17157156.470000003</v>
      </c>
      <c r="R801" s="552">
        <f t="shared" si="13"/>
        <v>20302246.489999998</v>
      </c>
      <c r="S801" s="552">
        <f t="shared" si="13"/>
        <v>17776547.099999994</v>
      </c>
      <c r="T801" s="552">
        <f>SUM(T10:T800)</f>
        <v>115057028.81999999</v>
      </c>
    </row>
  </sheetData>
  <mergeCells count="1">
    <mergeCell ref="A801:E801"/>
  </mergeCells>
  <conditionalFormatting sqref="F8:F593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{AA71F6E5-D1E6-486F-8D49-988EBCE96E7A}</x14:id>
        </ext>
      </extLst>
    </cfRule>
  </conditionalFormatting>
  <conditionalFormatting sqref="I9:I193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{90581824-29DC-40D4-A33E-7148A19682FE}</x14:id>
        </ext>
      </extLst>
    </cfRule>
  </conditionalFormatting>
  <conditionalFormatting sqref="K194:K232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{AFED06FE-A061-4FA3-BC0B-4EB4A49E61A6}</x14:id>
        </ext>
      </extLst>
    </cfRule>
  </conditionalFormatting>
  <conditionalFormatting sqref="L231:L232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{02BCDB84-AD5E-44D3-9F18-CFB54C2AC73E}</x14:id>
        </ext>
      </extLst>
    </cfRule>
  </conditionalFormatting>
  <conditionalFormatting sqref="L233:L258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{FDFCE364-E129-4E79-BE35-74D7AA871EA4}</x14:id>
        </ext>
      </extLst>
    </cfRule>
  </conditionalFormatting>
  <conditionalFormatting sqref="M257:M258 M320:M38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{30280E6F-440D-4A83-85D0-25CC2A468BF6}</x14:id>
        </ext>
      </extLst>
    </cfRule>
  </conditionalFormatting>
  <conditionalFormatting sqref="M259:M319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{47FA70F2-C979-492A-8DFB-0F94540AC43F}</x14:id>
        </ext>
      </extLst>
    </cfRule>
  </conditionalFormatting>
  <conditionalFormatting sqref="N320:N400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{58886C6A-8C94-480D-AE72-2EFC08B72945}</x14:id>
        </ext>
      </extLst>
    </cfRule>
  </conditionalFormatting>
  <conditionalFormatting sqref="N401:N583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{EAB9DAF4-FECE-4B28-AC91-C391302556A4}</x14:id>
        </ext>
      </extLst>
    </cfRule>
  </conditionalFormatting>
  <conditionalFormatting sqref="O401:O50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{99978514-E7EF-4BB1-AF78-0B951D9C53F6}</x14:id>
        </ext>
      </extLst>
    </cfRule>
  </conditionalFormatting>
  <conditionalFormatting sqref="O584:O593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{186F2557-BD05-40A8-A974-6963248C424F}</x14:id>
        </ext>
      </extLst>
    </cfRule>
  </conditionalFormatting>
  <conditionalFormatting sqref="P503:P593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{C5069FD4-5760-4020-A88B-0790C9A60446}</x14:id>
        </ext>
      </extLst>
    </cfRule>
  </conditionalFormatting>
  <pageMargins left="0.7" right="0.7" top="0.75" bottom="0.75" header="0.3" footer="0.3"/>
  <pageSetup orientation="portrait" verticalDpi="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A71F6E5-D1E6-486F-8D49-988EBCE96E7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F8:F593</xm:sqref>
        </x14:conditionalFormatting>
        <x14:conditionalFormatting xmlns:xm="http://schemas.microsoft.com/office/excel/2006/main">
          <x14:cfRule type="dataBar" id="{90581824-29DC-40D4-A33E-7148A19682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I9:I193</xm:sqref>
        </x14:conditionalFormatting>
        <x14:conditionalFormatting xmlns:xm="http://schemas.microsoft.com/office/excel/2006/main">
          <x14:cfRule type="dataBar" id="{AFED06FE-A061-4FA3-BC0B-4EB4A49E61A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K194:K232</xm:sqref>
        </x14:conditionalFormatting>
        <x14:conditionalFormatting xmlns:xm="http://schemas.microsoft.com/office/excel/2006/main">
          <x14:cfRule type="dataBar" id="{02BCDB84-AD5E-44D3-9F18-CFB54C2AC7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L231:L232</xm:sqref>
        </x14:conditionalFormatting>
        <x14:conditionalFormatting xmlns:xm="http://schemas.microsoft.com/office/excel/2006/main">
          <x14:cfRule type="dataBar" id="{FDFCE364-E129-4E79-BE35-74D7AA871E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L233:L258</xm:sqref>
        </x14:conditionalFormatting>
        <x14:conditionalFormatting xmlns:xm="http://schemas.microsoft.com/office/excel/2006/main">
          <x14:cfRule type="dataBar" id="{30280E6F-440D-4A83-85D0-25CC2A468B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M257:M258 M320:M381</xm:sqref>
        </x14:conditionalFormatting>
        <x14:conditionalFormatting xmlns:xm="http://schemas.microsoft.com/office/excel/2006/main">
          <x14:cfRule type="dataBar" id="{47FA70F2-C979-492A-8DFB-0F94540AC4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M259:M319</xm:sqref>
        </x14:conditionalFormatting>
        <x14:conditionalFormatting xmlns:xm="http://schemas.microsoft.com/office/excel/2006/main">
          <x14:cfRule type="dataBar" id="{58886C6A-8C94-480D-AE72-2EFC08B729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N320:N400</xm:sqref>
        </x14:conditionalFormatting>
        <x14:conditionalFormatting xmlns:xm="http://schemas.microsoft.com/office/excel/2006/main">
          <x14:cfRule type="dataBar" id="{EAB9DAF4-FECE-4B28-AC91-C391302556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N401:N583</xm:sqref>
        </x14:conditionalFormatting>
        <x14:conditionalFormatting xmlns:xm="http://schemas.microsoft.com/office/excel/2006/main">
          <x14:cfRule type="dataBar" id="{99978514-E7EF-4BB1-AF78-0B951D9C53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O401:O502</xm:sqref>
        </x14:conditionalFormatting>
        <x14:conditionalFormatting xmlns:xm="http://schemas.microsoft.com/office/excel/2006/main">
          <x14:cfRule type="dataBar" id="{186F2557-BD05-40A8-A974-6963248C424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O584:O593</xm:sqref>
        </x14:conditionalFormatting>
        <x14:conditionalFormatting xmlns:xm="http://schemas.microsoft.com/office/excel/2006/main">
          <x14:cfRule type="dataBar" id="{C5069FD4-5760-4020-A88B-0790C9A6044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P503:P593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50"/>
  <sheetViews>
    <sheetView topLeftCell="A45" workbookViewId="0">
      <selection activeCell="B179" sqref="B179:B559"/>
    </sheetView>
  </sheetViews>
  <sheetFormatPr baseColWidth="10" defaultColWidth="10.7109375" defaultRowHeight="15" outlineLevelRow="2" x14ac:dyDescent="0.25"/>
  <cols>
    <col min="2" max="2" width="23.85546875" customWidth="1"/>
    <col min="3" max="3" width="20.7109375" customWidth="1"/>
  </cols>
  <sheetData>
    <row r="1" spans="1:3" ht="15.75" x14ac:dyDescent="0.25">
      <c r="A1" s="571" t="s">
        <v>2211</v>
      </c>
      <c r="B1" s="573" t="s">
        <v>2217</v>
      </c>
      <c r="C1" s="573" t="s">
        <v>2218</v>
      </c>
    </row>
    <row r="2" spans="1:3" hidden="1" outlineLevel="2" x14ac:dyDescent="0.25">
      <c r="A2" s="574" t="s">
        <v>2242</v>
      </c>
      <c r="B2" s="576">
        <v>686003.26</v>
      </c>
      <c r="C2" s="576">
        <v>0</v>
      </c>
    </row>
    <row r="3" spans="1:3" hidden="1" outlineLevel="2" x14ac:dyDescent="0.25">
      <c r="A3" s="574" t="s">
        <v>2242</v>
      </c>
      <c r="B3" s="576">
        <v>47719055.439999998</v>
      </c>
      <c r="C3" s="576">
        <v>0</v>
      </c>
    </row>
    <row r="4" spans="1:3" hidden="1" outlineLevel="2" x14ac:dyDescent="0.25">
      <c r="A4" s="574" t="s">
        <v>2242</v>
      </c>
      <c r="B4" s="576">
        <v>47302103.740000002</v>
      </c>
      <c r="C4" s="576">
        <v>0</v>
      </c>
    </row>
    <row r="5" spans="1:3" hidden="1" outlineLevel="2" x14ac:dyDescent="0.25">
      <c r="A5" s="574" t="s">
        <v>2242</v>
      </c>
      <c r="B5" s="576">
        <v>686003.26</v>
      </c>
      <c r="C5" s="576">
        <v>0</v>
      </c>
    </row>
    <row r="6" spans="1:3" hidden="1" outlineLevel="2" x14ac:dyDescent="0.25">
      <c r="A6" s="574" t="s">
        <v>2242</v>
      </c>
      <c r="B6" s="576">
        <v>732074.29</v>
      </c>
      <c r="C6" s="576">
        <v>0</v>
      </c>
    </row>
    <row r="7" spans="1:3" hidden="1" outlineLevel="2" x14ac:dyDescent="0.25">
      <c r="A7" s="574" t="s">
        <v>2242</v>
      </c>
      <c r="B7" s="576">
        <v>47352666.289999999</v>
      </c>
      <c r="C7" s="576">
        <v>0</v>
      </c>
    </row>
    <row r="8" spans="1:3" hidden="1" outlineLevel="2" x14ac:dyDescent="0.25">
      <c r="A8" s="574" t="s">
        <v>2242</v>
      </c>
      <c r="B8" s="576">
        <v>732074.29</v>
      </c>
      <c r="C8" s="576">
        <v>0</v>
      </c>
    </row>
    <row r="9" spans="1:3" hidden="1" outlineLevel="2" x14ac:dyDescent="0.25">
      <c r="A9" s="574" t="s">
        <v>2242</v>
      </c>
      <c r="B9" s="576">
        <v>47416676.829999998</v>
      </c>
      <c r="C9" s="576">
        <v>0</v>
      </c>
    </row>
    <row r="10" spans="1:3" hidden="1" outlineLevel="2" x14ac:dyDescent="0.25">
      <c r="A10" s="574" t="s">
        <v>2242</v>
      </c>
      <c r="B10" s="576">
        <v>69663.100000000006</v>
      </c>
      <c r="C10" s="576">
        <v>0</v>
      </c>
    </row>
    <row r="11" spans="1:3" hidden="1" outlineLevel="2" x14ac:dyDescent="0.25">
      <c r="A11" s="574" t="s">
        <v>2242</v>
      </c>
      <c r="B11" s="576">
        <v>732074.29</v>
      </c>
      <c r="C11" s="576">
        <v>0</v>
      </c>
    </row>
    <row r="12" spans="1:3" hidden="1" outlineLevel="2" x14ac:dyDescent="0.25">
      <c r="A12" s="574" t="s">
        <v>2242</v>
      </c>
      <c r="B12" s="576">
        <v>47606610.130000003</v>
      </c>
      <c r="C12" s="576">
        <v>0</v>
      </c>
    </row>
    <row r="13" spans="1:3" hidden="1" outlineLevel="2" x14ac:dyDescent="0.25">
      <c r="A13" s="574" t="s">
        <v>2242</v>
      </c>
      <c r="B13" s="576">
        <v>757074.29</v>
      </c>
      <c r="C13" s="576">
        <v>0</v>
      </c>
    </row>
    <row r="14" spans="1:3" hidden="1" outlineLevel="2" x14ac:dyDescent="0.25">
      <c r="A14" s="574" t="s">
        <v>2242</v>
      </c>
      <c r="B14" s="576">
        <v>47888781.090000004</v>
      </c>
      <c r="C14" s="576">
        <v>0</v>
      </c>
    </row>
    <row r="15" spans="1:3" hidden="1" outlineLevel="2" x14ac:dyDescent="0.25">
      <c r="A15" s="574" t="s">
        <v>2242</v>
      </c>
      <c r="B15" s="576">
        <v>50000</v>
      </c>
      <c r="C15" s="576">
        <v>0</v>
      </c>
    </row>
    <row r="16" spans="1:3" hidden="1" outlineLevel="2" x14ac:dyDescent="0.25">
      <c r="A16" s="574" t="s">
        <v>2242</v>
      </c>
      <c r="B16" s="576">
        <v>347000</v>
      </c>
      <c r="C16" s="576">
        <v>0</v>
      </c>
    </row>
    <row r="17" spans="1:3" hidden="1" outlineLevel="2" x14ac:dyDescent="0.25">
      <c r="A17" s="574" t="s">
        <v>2242</v>
      </c>
      <c r="B17" s="576">
        <v>156153.53</v>
      </c>
      <c r="C17" s="576">
        <v>0</v>
      </c>
    </row>
    <row r="18" spans="1:3" hidden="1" outlineLevel="2" x14ac:dyDescent="0.25">
      <c r="A18" s="574" t="s">
        <v>2242</v>
      </c>
      <c r="B18" s="576">
        <v>56650.2</v>
      </c>
      <c r="C18" s="576">
        <v>0</v>
      </c>
    </row>
    <row r="19" spans="1:3" hidden="1" outlineLevel="2" x14ac:dyDescent="0.25">
      <c r="A19" s="574" t="s">
        <v>2242</v>
      </c>
      <c r="B19" s="576">
        <v>55000</v>
      </c>
      <c r="C19" s="576">
        <v>0</v>
      </c>
    </row>
    <row r="20" spans="1:3" outlineLevel="1" collapsed="1" x14ac:dyDescent="0.25">
      <c r="A20" s="580" t="s">
        <v>3669</v>
      </c>
      <c r="B20" s="576">
        <f>SUBTOTAL(9,B2:B19)</f>
        <v>290345664.02999991</v>
      </c>
      <c r="C20" s="576"/>
    </row>
    <row r="21" spans="1:3" hidden="1" outlineLevel="2" x14ac:dyDescent="0.25">
      <c r="A21" s="574" t="s">
        <v>2248</v>
      </c>
      <c r="B21" s="576">
        <v>2561925.41</v>
      </c>
      <c r="C21" s="576">
        <v>0</v>
      </c>
    </row>
    <row r="22" spans="1:3" hidden="1" outlineLevel="2" x14ac:dyDescent="0.25">
      <c r="A22" s="574" t="s">
        <v>2248</v>
      </c>
      <c r="B22" s="576">
        <v>396000</v>
      </c>
      <c r="C22" s="576">
        <v>0</v>
      </c>
    </row>
    <row r="23" spans="1:3" hidden="1" outlineLevel="2" x14ac:dyDescent="0.25">
      <c r="A23" s="574" t="s">
        <v>2248</v>
      </c>
      <c r="B23" s="576">
        <v>10717.4</v>
      </c>
      <c r="C23" s="576">
        <v>0</v>
      </c>
    </row>
    <row r="24" spans="1:3" hidden="1" outlineLevel="2" x14ac:dyDescent="0.25">
      <c r="A24" s="574" t="s">
        <v>2248</v>
      </c>
      <c r="B24" s="576">
        <v>64304.4</v>
      </c>
      <c r="C24" s="576">
        <v>0</v>
      </c>
    </row>
    <row r="25" spans="1:3" hidden="1" outlineLevel="2" x14ac:dyDescent="0.25">
      <c r="A25" s="574" t="s">
        <v>2248</v>
      </c>
      <c r="B25" s="576">
        <v>2451566.66</v>
      </c>
      <c r="C25" s="576">
        <v>0</v>
      </c>
    </row>
    <row r="26" spans="1:3" hidden="1" outlineLevel="2" x14ac:dyDescent="0.25">
      <c r="A26" s="574" t="s">
        <v>2248</v>
      </c>
      <c r="B26" s="576">
        <v>288600</v>
      </c>
      <c r="C26" s="576">
        <v>0</v>
      </c>
    </row>
    <row r="27" spans="1:3" hidden="1" outlineLevel="2" x14ac:dyDescent="0.25">
      <c r="A27" s="574" t="s">
        <v>2248</v>
      </c>
      <c r="B27" s="576">
        <v>10717.4</v>
      </c>
      <c r="C27" s="576">
        <v>0</v>
      </c>
    </row>
    <row r="28" spans="1:3" hidden="1" outlineLevel="2" x14ac:dyDescent="0.25">
      <c r="A28" s="574" t="s">
        <v>2248</v>
      </c>
      <c r="B28" s="576">
        <v>64304.4</v>
      </c>
      <c r="C28" s="576">
        <v>0</v>
      </c>
    </row>
    <row r="29" spans="1:3" hidden="1" outlineLevel="2" x14ac:dyDescent="0.25">
      <c r="A29" s="574" t="s">
        <v>2248</v>
      </c>
      <c r="B29" s="576">
        <v>2431233.3199999998</v>
      </c>
      <c r="C29" s="576">
        <v>0</v>
      </c>
    </row>
    <row r="30" spans="1:3" hidden="1" outlineLevel="2" x14ac:dyDescent="0.25">
      <c r="A30" s="574" t="s">
        <v>2248</v>
      </c>
      <c r="B30" s="576">
        <v>283200</v>
      </c>
      <c r="C30" s="576">
        <v>0</v>
      </c>
    </row>
    <row r="31" spans="1:3" hidden="1" outlineLevel="2" x14ac:dyDescent="0.25">
      <c r="A31" s="574" t="s">
        <v>2248</v>
      </c>
      <c r="B31" s="576">
        <v>10717.4</v>
      </c>
      <c r="C31" s="576">
        <v>0</v>
      </c>
    </row>
    <row r="32" spans="1:3" hidden="1" outlineLevel="2" x14ac:dyDescent="0.25">
      <c r="A32" s="574" t="s">
        <v>2248</v>
      </c>
      <c r="B32" s="576">
        <v>58945.7</v>
      </c>
      <c r="C32" s="576">
        <v>0</v>
      </c>
    </row>
    <row r="33" spans="1:3" hidden="1" outlineLevel="2" x14ac:dyDescent="0.25">
      <c r="A33" s="574" t="s">
        <v>2248</v>
      </c>
      <c r="B33" s="576">
        <v>2420926.59</v>
      </c>
      <c r="C33" s="576">
        <v>0</v>
      </c>
    </row>
    <row r="34" spans="1:3" hidden="1" outlineLevel="2" x14ac:dyDescent="0.25">
      <c r="A34" s="574" t="s">
        <v>2248</v>
      </c>
      <c r="B34" s="576">
        <v>303200</v>
      </c>
      <c r="C34" s="576">
        <v>0</v>
      </c>
    </row>
    <row r="35" spans="1:3" hidden="1" outlineLevel="2" x14ac:dyDescent="0.25">
      <c r="A35" s="574" t="s">
        <v>2248</v>
      </c>
      <c r="B35" s="576">
        <v>10717.4</v>
      </c>
      <c r="C35" s="576">
        <v>0</v>
      </c>
    </row>
    <row r="36" spans="1:3" hidden="1" outlineLevel="2" x14ac:dyDescent="0.25">
      <c r="A36" s="574" t="s">
        <v>2248</v>
      </c>
      <c r="B36" s="576">
        <v>58945.7</v>
      </c>
      <c r="C36" s="576">
        <v>0</v>
      </c>
    </row>
    <row r="37" spans="1:3" hidden="1" outlineLevel="2" x14ac:dyDescent="0.25">
      <c r="A37" s="574" t="s">
        <v>2248</v>
      </c>
      <c r="B37" s="576">
        <v>2391782.42</v>
      </c>
      <c r="C37" s="576">
        <v>0</v>
      </c>
    </row>
    <row r="38" spans="1:3" hidden="1" outlineLevel="2" x14ac:dyDescent="0.25">
      <c r="A38" s="574" t="s">
        <v>2248</v>
      </c>
      <c r="B38" s="576">
        <v>266200</v>
      </c>
      <c r="C38" s="576">
        <v>0</v>
      </c>
    </row>
    <row r="39" spans="1:3" hidden="1" outlineLevel="2" x14ac:dyDescent="0.25">
      <c r="A39" s="574" t="s">
        <v>2248</v>
      </c>
      <c r="B39" s="576">
        <v>10717.4</v>
      </c>
      <c r="C39" s="576">
        <v>0</v>
      </c>
    </row>
    <row r="40" spans="1:3" hidden="1" outlineLevel="2" x14ac:dyDescent="0.25">
      <c r="A40" s="574" t="s">
        <v>2248</v>
      </c>
      <c r="B40" s="576">
        <v>58945.7</v>
      </c>
      <c r="C40" s="576">
        <v>0</v>
      </c>
    </row>
    <row r="41" spans="1:3" hidden="1" outlineLevel="2" x14ac:dyDescent="0.25">
      <c r="A41" s="574" t="s">
        <v>2248</v>
      </c>
      <c r="B41" s="576">
        <v>2391782.42</v>
      </c>
      <c r="C41" s="576">
        <v>0</v>
      </c>
    </row>
    <row r="42" spans="1:3" hidden="1" outlineLevel="2" x14ac:dyDescent="0.25">
      <c r="A42" s="574" t="s">
        <v>2248</v>
      </c>
      <c r="B42" s="576">
        <v>276200</v>
      </c>
      <c r="C42" s="576">
        <v>0</v>
      </c>
    </row>
    <row r="43" spans="1:3" hidden="1" outlineLevel="2" x14ac:dyDescent="0.25">
      <c r="A43" s="574" t="s">
        <v>2248</v>
      </c>
      <c r="B43" s="576">
        <v>10717.4</v>
      </c>
      <c r="C43" s="576">
        <v>0</v>
      </c>
    </row>
    <row r="44" spans="1:3" hidden="1" outlineLevel="2" x14ac:dyDescent="0.25">
      <c r="A44" s="574" t="s">
        <v>2248</v>
      </c>
      <c r="B44" s="576">
        <v>58945.7</v>
      </c>
      <c r="C44" s="576">
        <v>0</v>
      </c>
    </row>
    <row r="45" spans="1:3" outlineLevel="1" collapsed="1" x14ac:dyDescent="0.25">
      <c r="A45" s="580" t="s">
        <v>3670</v>
      </c>
      <c r="B45" s="576">
        <f>SUBTOTAL(9,B21:B44)</f>
        <v>16891312.819999997</v>
      </c>
      <c r="C45" s="576"/>
    </row>
    <row r="46" spans="1:3" hidden="1" outlineLevel="2" x14ac:dyDescent="0.25">
      <c r="A46" s="574" t="s">
        <v>2261</v>
      </c>
      <c r="B46" s="576">
        <v>48637.63</v>
      </c>
      <c r="C46" s="576">
        <v>0</v>
      </c>
    </row>
    <row r="47" spans="1:3" hidden="1" outlineLevel="2" x14ac:dyDescent="0.25">
      <c r="A47" s="574" t="s">
        <v>2261</v>
      </c>
      <c r="B47" s="576">
        <v>48706.23</v>
      </c>
      <c r="C47" s="576">
        <v>0</v>
      </c>
    </row>
    <row r="48" spans="1:3" hidden="1" outlineLevel="2" x14ac:dyDescent="0.25">
      <c r="A48" s="574" t="s">
        <v>2261</v>
      </c>
      <c r="B48" s="576">
        <v>8109.74</v>
      </c>
      <c r="C48" s="576">
        <v>0</v>
      </c>
    </row>
    <row r="49" spans="1:3" hidden="1" outlineLevel="2" x14ac:dyDescent="0.25">
      <c r="A49" s="574" t="s">
        <v>2261</v>
      </c>
      <c r="B49" s="576">
        <v>3383280.05</v>
      </c>
      <c r="C49" s="576">
        <v>0</v>
      </c>
    </row>
    <row r="50" spans="1:3" hidden="1" outlineLevel="2" x14ac:dyDescent="0.25">
      <c r="A50" s="574" t="s">
        <v>2261</v>
      </c>
      <c r="B50" s="576">
        <v>3388052.38</v>
      </c>
      <c r="C50" s="576">
        <v>0</v>
      </c>
    </row>
    <row r="51" spans="1:3" hidden="1" outlineLevel="2" x14ac:dyDescent="0.25">
      <c r="A51" s="574" t="s">
        <v>2261</v>
      </c>
      <c r="B51" s="576">
        <v>571427.64</v>
      </c>
      <c r="C51" s="576">
        <v>0</v>
      </c>
    </row>
    <row r="52" spans="1:3" hidden="1" outlineLevel="2" x14ac:dyDescent="0.25">
      <c r="A52" s="574" t="s">
        <v>2261</v>
      </c>
      <c r="B52" s="576">
        <v>3353718.17</v>
      </c>
      <c r="C52" s="576">
        <v>0</v>
      </c>
    </row>
    <row r="53" spans="1:3" hidden="1" outlineLevel="2" x14ac:dyDescent="0.25">
      <c r="A53" s="574" t="s">
        <v>2261</v>
      </c>
      <c r="B53" s="576">
        <v>3358448.81</v>
      </c>
      <c r="C53" s="576">
        <v>0</v>
      </c>
    </row>
    <row r="54" spans="1:3" hidden="1" outlineLevel="2" x14ac:dyDescent="0.25">
      <c r="A54" s="574" t="s">
        <v>2261</v>
      </c>
      <c r="B54" s="576">
        <v>566517.82999999996</v>
      </c>
      <c r="C54" s="576">
        <v>0</v>
      </c>
    </row>
    <row r="55" spans="1:3" hidden="1" outlineLevel="2" x14ac:dyDescent="0.25">
      <c r="A55" s="574" t="s">
        <v>2261</v>
      </c>
      <c r="B55" s="576">
        <v>48637.63</v>
      </c>
      <c r="C55" s="576">
        <v>0</v>
      </c>
    </row>
    <row r="56" spans="1:3" hidden="1" outlineLevel="2" x14ac:dyDescent="0.25">
      <c r="A56" s="574" t="s">
        <v>2261</v>
      </c>
      <c r="B56" s="576">
        <v>48706.23</v>
      </c>
      <c r="C56" s="576">
        <v>0</v>
      </c>
    </row>
    <row r="57" spans="1:3" hidden="1" outlineLevel="2" x14ac:dyDescent="0.25">
      <c r="A57" s="574" t="s">
        <v>2261</v>
      </c>
      <c r="B57" s="576">
        <v>8140.96</v>
      </c>
      <c r="C57" s="576">
        <v>0</v>
      </c>
    </row>
    <row r="58" spans="1:3" hidden="1" outlineLevel="2" x14ac:dyDescent="0.25">
      <c r="A58" s="574" t="s">
        <v>2261</v>
      </c>
      <c r="B58" s="576">
        <v>51904.07</v>
      </c>
      <c r="C58" s="576">
        <v>0</v>
      </c>
    </row>
    <row r="59" spans="1:3" hidden="1" outlineLevel="2" x14ac:dyDescent="0.25">
      <c r="A59" s="574" t="s">
        <v>2261</v>
      </c>
      <c r="B59" s="576">
        <v>51977.27</v>
      </c>
      <c r="C59" s="576">
        <v>0</v>
      </c>
    </row>
    <row r="60" spans="1:3" hidden="1" outlineLevel="2" x14ac:dyDescent="0.25">
      <c r="A60" s="574" t="s">
        <v>2261</v>
      </c>
      <c r="B60" s="576">
        <v>8693.81</v>
      </c>
      <c r="C60" s="576">
        <v>0</v>
      </c>
    </row>
    <row r="61" spans="1:3" hidden="1" outlineLevel="2" x14ac:dyDescent="0.25">
      <c r="A61" s="574" t="s">
        <v>2261</v>
      </c>
      <c r="B61" s="576">
        <v>3357303.06</v>
      </c>
      <c r="C61" s="576">
        <v>0</v>
      </c>
    </row>
    <row r="62" spans="1:3" hidden="1" outlineLevel="2" x14ac:dyDescent="0.25">
      <c r="A62" s="574" t="s">
        <v>2261</v>
      </c>
      <c r="B62" s="576">
        <v>3362038.76</v>
      </c>
      <c r="C62" s="576">
        <v>0</v>
      </c>
    </row>
    <row r="63" spans="1:3" hidden="1" outlineLevel="2" x14ac:dyDescent="0.25">
      <c r="A63" s="574" t="s">
        <v>2261</v>
      </c>
      <c r="B63" s="576">
        <v>567124.57999999996</v>
      </c>
      <c r="C63" s="576">
        <v>0</v>
      </c>
    </row>
    <row r="64" spans="1:3" hidden="1" outlineLevel="2" x14ac:dyDescent="0.25">
      <c r="A64" s="574" t="s">
        <v>2261</v>
      </c>
      <c r="B64" s="576">
        <v>51904.07</v>
      </c>
      <c r="C64" s="576">
        <v>0</v>
      </c>
    </row>
    <row r="65" spans="1:3" hidden="1" outlineLevel="2" x14ac:dyDescent="0.25">
      <c r="A65" s="574" t="s">
        <v>2261</v>
      </c>
      <c r="B65" s="576">
        <v>51977.27</v>
      </c>
      <c r="C65" s="576">
        <v>0</v>
      </c>
    </row>
    <row r="66" spans="1:3" hidden="1" outlineLevel="2" x14ac:dyDescent="0.25">
      <c r="A66" s="574" t="s">
        <v>2261</v>
      </c>
      <c r="B66" s="576">
        <v>8693.81</v>
      </c>
      <c r="C66" s="576">
        <v>0</v>
      </c>
    </row>
    <row r="67" spans="1:3" hidden="1" outlineLevel="2" x14ac:dyDescent="0.25">
      <c r="A67" s="574" t="s">
        <v>2261</v>
      </c>
      <c r="B67" s="576">
        <v>3361841.41</v>
      </c>
      <c r="C67" s="576">
        <v>0</v>
      </c>
    </row>
    <row r="68" spans="1:3" hidden="1" outlineLevel="2" x14ac:dyDescent="0.25">
      <c r="A68" s="574" t="s">
        <v>2261</v>
      </c>
      <c r="B68" s="576">
        <v>3366583.5</v>
      </c>
      <c r="C68" s="576">
        <v>0</v>
      </c>
    </row>
    <row r="69" spans="1:3" hidden="1" outlineLevel="2" x14ac:dyDescent="0.25">
      <c r="A69" s="574" t="s">
        <v>2261</v>
      </c>
      <c r="B69" s="576">
        <v>567892.68999999994</v>
      </c>
      <c r="C69" s="576">
        <v>0</v>
      </c>
    </row>
    <row r="70" spans="1:3" hidden="1" outlineLevel="2" x14ac:dyDescent="0.25">
      <c r="A70" s="574" t="s">
        <v>2261</v>
      </c>
      <c r="B70" s="576">
        <v>4939.1099999999997</v>
      </c>
      <c r="C70" s="576">
        <v>0</v>
      </c>
    </row>
    <row r="71" spans="1:3" hidden="1" outlineLevel="2" x14ac:dyDescent="0.25">
      <c r="A71" s="574" t="s">
        <v>2261</v>
      </c>
      <c r="B71" s="576">
        <v>4946.08</v>
      </c>
      <c r="C71" s="576">
        <v>0</v>
      </c>
    </row>
    <row r="72" spans="1:3" hidden="1" outlineLevel="2" x14ac:dyDescent="0.25">
      <c r="A72" s="574" t="s">
        <v>2261</v>
      </c>
      <c r="B72" s="576">
        <v>835.96</v>
      </c>
      <c r="C72" s="576">
        <v>0</v>
      </c>
    </row>
    <row r="73" spans="1:3" hidden="1" outlineLevel="2" x14ac:dyDescent="0.25">
      <c r="A73" s="574" t="s">
        <v>2261</v>
      </c>
      <c r="B73" s="576">
        <v>51904.07</v>
      </c>
      <c r="C73" s="576">
        <v>0</v>
      </c>
    </row>
    <row r="74" spans="1:3" hidden="1" outlineLevel="2" x14ac:dyDescent="0.25">
      <c r="A74" s="574" t="s">
        <v>2261</v>
      </c>
      <c r="B74" s="576">
        <v>51977.27</v>
      </c>
      <c r="C74" s="576">
        <v>0</v>
      </c>
    </row>
    <row r="75" spans="1:3" hidden="1" outlineLevel="2" x14ac:dyDescent="0.25">
      <c r="A75" s="574" t="s">
        <v>2261</v>
      </c>
      <c r="B75" s="576">
        <v>8693.81</v>
      </c>
      <c r="C75" s="576">
        <v>0</v>
      </c>
    </row>
    <row r="76" spans="1:3" hidden="1" outlineLevel="2" x14ac:dyDescent="0.25">
      <c r="A76" s="574" t="s">
        <v>2261</v>
      </c>
      <c r="B76" s="576">
        <v>3375307.68</v>
      </c>
      <c r="C76" s="576">
        <v>0</v>
      </c>
    </row>
    <row r="77" spans="1:3" hidden="1" outlineLevel="2" x14ac:dyDescent="0.25">
      <c r="A77" s="574" t="s">
        <v>2261</v>
      </c>
      <c r="B77" s="576">
        <v>3380068.77</v>
      </c>
      <c r="C77" s="576">
        <v>0</v>
      </c>
    </row>
    <row r="78" spans="1:3" hidden="1" outlineLevel="2" x14ac:dyDescent="0.25">
      <c r="A78" s="574" t="s">
        <v>2261</v>
      </c>
      <c r="B78" s="576">
        <v>570171.89</v>
      </c>
      <c r="C78" s="576">
        <v>0</v>
      </c>
    </row>
    <row r="79" spans="1:3" hidden="1" outlineLevel="2" x14ac:dyDescent="0.25">
      <c r="A79" s="574" t="s">
        <v>2261</v>
      </c>
      <c r="B79" s="576">
        <v>53676.57</v>
      </c>
      <c r="C79" s="576">
        <v>0</v>
      </c>
    </row>
    <row r="80" spans="1:3" hidden="1" outlineLevel="2" x14ac:dyDescent="0.25">
      <c r="A80" s="574" t="s">
        <v>2261</v>
      </c>
      <c r="B80" s="576">
        <v>53752.27</v>
      </c>
      <c r="C80" s="576">
        <v>0</v>
      </c>
    </row>
    <row r="81" spans="1:3" hidden="1" outlineLevel="2" x14ac:dyDescent="0.25">
      <c r="A81" s="574" t="s">
        <v>2261</v>
      </c>
      <c r="B81" s="576">
        <v>8993.81</v>
      </c>
      <c r="C81" s="576">
        <v>0</v>
      </c>
    </row>
    <row r="82" spans="1:3" hidden="1" outlineLevel="2" x14ac:dyDescent="0.25">
      <c r="A82" s="574" t="s">
        <v>2261</v>
      </c>
      <c r="B82" s="576">
        <v>3395313.6</v>
      </c>
      <c r="C82" s="576">
        <v>0</v>
      </c>
    </row>
    <row r="83" spans="1:3" hidden="1" outlineLevel="2" x14ac:dyDescent="0.25">
      <c r="A83" s="574" t="s">
        <v>2261</v>
      </c>
      <c r="B83" s="576">
        <v>3400102.9</v>
      </c>
      <c r="C83" s="576">
        <v>0</v>
      </c>
    </row>
    <row r="84" spans="1:3" hidden="1" outlineLevel="2" x14ac:dyDescent="0.25">
      <c r="A84" s="574" t="s">
        <v>2261</v>
      </c>
      <c r="B84" s="576">
        <v>573557.93000000005</v>
      </c>
      <c r="C84" s="576">
        <v>0</v>
      </c>
    </row>
    <row r="85" spans="1:3" hidden="1" outlineLevel="2" x14ac:dyDescent="0.25">
      <c r="A85" s="574" t="s">
        <v>2261</v>
      </c>
      <c r="B85" s="576">
        <v>3545</v>
      </c>
      <c r="C85" s="576">
        <v>0</v>
      </c>
    </row>
    <row r="86" spans="1:3" hidden="1" outlineLevel="2" x14ac:dyDescent="0.25">
      <c r="A86" s="574" t="s">
        <v>2261</v>
      </c>
      <c r="B86" s="576">
        <v>3550</v>
      </c>
      <c r="C86" s="576">
        <v>0</v>
      </c>
    </row>
    <row r="87" spans="1:3" hidden="1" outlineLevel="2" x14ac:dyDescent="0.25">
      <c r="A87" s="574" t="s">
        <v>2261</v>
      </c>
      <c r="B87" s="576">
        <v>600</v>
      </c>
      <c r="C87" s="576">
        <v>0</v>
      </c>
    </row>
    <row r="88" spans="1:3" outlineLevel="1" collapsed="1" x14ac:dyDescent="0.25">
      <c r="A88" s="580" t="s">
        <v>3671</v>
      </c>
      <c r="B88" s="576">
        <f>SUBTOTAL(9,B46:B87)</f>
        <v>44582254.320000008</v>
      </c>
      <c r="C88" s="576"/>
    </row>
    <row r="89" spans="1:3" hidden="1" outlineLevel="2" x14ac:dyDescent="0.25">
      <c r="A89" s="574" t="s">
        <v>1684</v>
      </c>
      <c r="B89" s="576">
        <v>34791.839999999997</v>
      </c>
      <c r="C89" s="576">
        <v>0</v>
      </c>
    </row>
    <row r="90" spans="1:3" hidden="1" outlineLevel="2" x14ac:dyDescent="0.25">
      <c r="A90" s="574" t="s">
        <v>1684</v>
      </c>
      <c r="B90" s="576">
        <v>202624.15</v>
      </c>
      <c r="C90" s="576">
        <v>0</v>
      </c>
    </row>
    <row r="91" spans="1:3" hidden="1" outlineLevel="2" x14ac:dyDescent="0.25">
      <c r="A91" s="574" t="s">
        <v>1684</v>
      </c>
      <c r="B91" s="576">
        <v>74665.210000000006</v>
      </c>
      <c r="C91" s="576">
        <v>0</v>
      </c>
    </row>
    <row r="92" spans="1:3" outlineLevel="1" collapsed="1" x14ac:dyDescent="0.25">
      <c r="A92" s="580" t="s">
        <v>3672</v>
      </c>
      <c r="B92" s="576">
        <f>SUBTOTAL(9,B89:B91)</f>
        <v>312081.2</v>
      </c>
      <c r="C92" s="576"/>
    </row>
    <row r="93" spans="1:3" hidden="1" outlineLevel="2" x14ac:dyDescent="0.25">
      <c r="A93" s="574" t="s">
        <v>1685</v>
      </c>
      <c r="B93" s="576">
        <v>16089.95</v>
      </c>
      <c r="C93" s="576">
        <v>0</v>
      </c>
    </row>
    <row r="94" spans="1:3" hidden="1" outlineLevel="2" x14ac:dyDescent="0.25">
      <c r="A94" s="574" t="s">
        <v>1685</v>
      </c>
      <c r="B94" s="576">
        <v>16089.95</v>
      </c>
      <c r="C94" s="576">
        <v>0</v>
      </c>
    </row>
    <row r="95" spans="1:3" outlineLevel="1" collapsed="1" x14ac:dyDescent="0.25">
      <c r="A95" s="580" t="s">
        <v>3673</v>
      </c>
      <c r="B95" s="576">
        <f>SUBTOTAL(9,B93:B94)</f>
        <v>32179.9</v>
      </c>
      <c r="C95" s="576"/>
    </row>
    <row r="96" spans="1:3" hidden="1" outlineLevel="2" x14ac:dyDescent="0.25">
      <c r="A96" s="574" t="s">
        <v>1686</v>
      </c>
      <c r="B96" s="576">
        <v>413472</v>
      </c>
      <c r="C96" s="576">
        <v>0</v>
      </c>
    </row>
    <row r="97" spans="1:3" hidden="1" outlineLevel="2" x14ac:dyDescent="0.25">
      <c r="A97" s="574" t="s">
        <v>1686</v>
      </c>
      <c r="B97" s="576">
        <v>868608</v>
      </c>
      <c r="C97" s="576">
        <v>0</v>
      </c>
    </row>
    <row r="98" spans="1:3" hidden="1" outlineLevel="2" x14ac:dyDescent="0.25">
      <c r="A98" s="574" t="s">
        <v>1686</v>
      </c>
      <c r="B98" s="576">
        <v>41300</v>
      </c>
      <c r="C98" s="576">
        <v>0</v>
      </c>
    </row>
    <row r="99" spans="1:3" hidden="1" outlineLevel="2" x14ac:dyDescent="0.25">
      <c r="A99" s="574" t="s">
        <v>1686</v>
      </c>
      <c r="B99" s="576">
        <v>834043</v>
      </c>
      <c r="C99" s="576">
        <v>0</v>
      </c>
    </row>
    <row r="100" spans="1:3" hidden="1" outlineLevel="2" x14ac:dyDescent="0.25">
      <c r="A100" s="574" t="s">
        <v>1686</v>
      </c>
      <c r="B100" s="576">
        <v>970224</v>
      </c>
      <c r="C100" s="576">
        <v>0</v>
      </c>
    </row>
    <row r="101" spans="1:3" hidden="1" outlineLevel="2" x14ac:dyDescent="0.25">
      <c r="A101" s="574" t="s">
        <v>1686</v>
      </c>
      <c r="B101" s="576">
        <v>1180000</v>
      </c>
      <c r="C101" s="576">
        <v>0</v>
      </c>
    </row>
    <row r="102" spans="1:3" hidden="1" outlineLevel="2" x14ac:dyDescent="0.25">
      <c r="A102" s="574" t="s">
        <v>1686</v>
      </c>
      <c r="B102" s="576">
        <v>33630</v>
      </c>
      <c r="C102" s="576">
        <v>0</v>
      </c>
    </row>
    <row r="103" spans="1:3" hidden="1" outlineLevel="2" x14ac:dyDescent="0.25">
      <c r="A103" s="574" t="s">
        <v>1686</v>
      </c>
      <c r="B103" s="576">
        <v>834043</v>
      </c>
      <c r="C103" s="576">
        <v>0</v>
      </c>
    </row>
    <row r="104" spans="1:3" hidden="1" outlineLevel="2" x14ac:dyDescent="0.25">
      <c r="A104" s="574" t="s">
        <v>1686</v>
      </c>
      <c r="B104" s="576">
        <v>-834043</v>
      </c>
      <c r="C104" s="576">
        <v>0</v>
      </c>
    </row>
    <row r="105" spans="1:3" hidden="1" outlineLevel="2" x14ac:dyDescent="0.25">
      <c r="A105" s="574" t="s">
        <v>1686</v>
      </c>
      <c r="B105" s="576">
        <v>106766.39999999999</v>
      </c>
      <c r="C105" s="576">
        <v>0</v>
      </c>
    </row>
    <row r="106" spans="1:3" hidden="1" outlineLevel="2" x14ac:dyDescent="0.25">
      <c r="A106" s="574" t="s">
        <v>1686</v>
      </c>
      <c r="B106" s="576">
        <v>-106766.39999999999</v>
      </c>
      <c r="C106" s="576">
        <v>0</v>
      </c>
    </row>
    <row r="107" spans="1:3" hidden="1" outlineLevel="2" x14ac:dyDescent="0.25">
      <c r="A107" s="574" t="s">
        <v>1686</v>
      </c>
      <c r="B107" s="576">
        <v>38444.400000000001</v>
      </c>
      <c r="C107" s="576">
        <v>0</v>
      </c>
    </row>
    <row r="108" spans="1:3" hidden="1" outlineLevel="2" x14ac:dyDescent="0.25">
      <c r="A108" s="574" t="s">
        <v>1686</v>
      </c>
      <c r="B108" s="576">
        <v>106766.39999999999</v>
      </c>
      <c r="C108" s="576">
        <v>0</v>
      </c>
    </row>
    <row r="109" spans="1:3" outlineLevel="1" collapsed="1" x14ac:dyDescent="0.25">
      <c r="A109" s="580" t="s">
        <v>3674</v>
      </c>
      <c r="B109" s="576">
        <f>SUBTOTAL(9,B96:B108)</f>
        <v>4486487.8000000007</v>
      </c>
      <c r="C109" s="576"/>
    </row>
    <row r="110" spans="1:3" hidden="1" outlineLevel="2" x14ac:dyDescent="0.25">
      <c r="A110" s="574" t="s">
        <v>1687</v>
      </c>
      <c r="B110" s="576">
        <v>36439.699999999997</v>
      </c>
      <c r="C110" s="576">
        <v>0</v>
      </c>
    </row>
    <row r="111" spans="1:3" outlineLevel="1" collapsed="1" x14ac:dyDescent="0.25">
      <c r="A111" s="580" t="s">
        <v>3675</v>
      </c>
      <c r="B111" s="576">
        <f>SUBTOTAL(9,B110:B110)</f>
        <v>36439.699999999997</v>
      </c>
      <c r="C111" s="576"/>
    </row>
    <row r="112" spans="1:3" hidden="1" outlineLevel="2" x14ac:dyDescent="0.25">
      <c r="A112" s="574" t="s">
        <v>2942</v>
      </c>
      <c r="B112" s="576">
        <v>501087</v>
      </c>
      <c r="C112" s="576">
        <v>0</v>
      </c>
    </row>
    <row r="113" spans="1:3" hidden="1" outlineLevel="2" x14ac:dyDescent="0.25">
      <c r="A113" s="574" t="s">
        <v>2942</v>
      </c>
      <c r="B113" s="576">
        <v>-501087</v>
      </c>
      <c r="C113" s="576">
        <v>0</v>
      </c>
    </row>
    <row r="114" spans="1:3" hidden="1" outlineLevel="2" x14ac:dyDescent="0.25">
      <c r="A114" s="574" t="s">
        <v>2942</v>
      </c>
      <c r="B114" s="576">
        <v>21063</v>
      </c>
      <c r="C114" s="576">
        <v>0</v>
      </c>
    </row>
    <row r="115" spans="1:3" hidden="1" outlineLevel="2" x14ac:dyDescent="0.25">
      <c r="A115" s="574" t="s">
        <v>2942</v>
      </c>
      <c r="B115" s="576">
        <v>35105</v>
      </c>
      <c r="C115" s="576">
        <v>0</v>
      </c>
    </row>
    <row r="116" spans="1:3" hidden="1" outlineLevel="2" x14ac:dyDescent="0.25">
      <c r="A116" s="574" t="s">
        <v>2942</v>
      </c>
      <c r="B116" s="576">
        <v>-35105</v>
      </c>
      <c r="C116" s="576">
        <v>0</v>
      </c>
    </row>
    <row r="117" spans="1:3" hidden="1" outlineLevel="2" x14ac:dyDescent="0.25">
      <c r="A117" s="574" t="s">
        <v>2942</v>
      </c>
      <c r="B117" s="576">
        <v>105315</v>
      </c>
      <c r="C117" s="576">
        <v>0</v>
      </c>
    </row>
    <row r="118" spans="1:3" hidden="1" outlineLevel="2" x14ac:dyDescent="0.25">
      <c r="A118" s="574" t="s">
        <v>2942</v>
      </c>
      <c r="B118" s="576">
        <v>35105</v>
      </c>
      <c r="C118" s="576">
        <v>0</v>
      </c>
    </row>
    <row r="119" spans="1:3" hidden="1" outlineLevel="2" x14ac:dyDescent="0.25">
      <c r="A119" s="574" t="s">
        <v>2942</v>
      </c>
      <c r="B119" s="576">
        <v>220483.05</v>
      </c>
      <c r="C119" s="576">
        <v>0</v>
      </c>
    </row>
    <row r="120" spans="1:3" outlineLevel="1" collapsed="1" x14ac:dyDescent="0.25">
      <c r="A120" s="580" t="s">
        <v>3676</v>
      </c>
      <c r="B120" s="576">
        <f>SUBTOTAL(9,B112:B119)</f>
        <v>381966.05</v>
      </c>
      <c r="C120" s="576"/>
    </row>
    <row r="121" spans="1:3" hidden="1" outlineLevel="2" x14ac:dyDescent="0.25">
      <c r="A121" s="574" t="s">
        <v>1688</v>
      </c>
      <c r="B121" s="576">
        <v>337500</v>
      </c>
      <c r="C121" s="576">
        <v>0</v>
      </c>
    </row>
    <row r="122" spans="1:3" hidden="1" outlineLevel="2" x14ac:dyDescent="0.25">
      <c r="A122" s="574" t="s">
        <v>1688</v>
      </c>
      <c r="B122" s="576">
        <v>-337500</v>
      </c>
      <c r="C122" s="576">
        <v>0</v>
      </c>
    </row>
    <row r="123" spans="1:3" hidden="1" outlineLevel="2" x14ac:dyDescent="0.25">
      <c r="A123" s="574" t="s">
        <v>1688</v>
      </c>
      <c r="B123" s="576">
        <v>929768</v>
      </c>
      <c r="C123" s="576">
        <v>0</v>
      </c>
    </row>
    <row r="124" spans="1:3" hidden="1" outlineLevel="2" x14ac:dyDescent="0.25">
      <c r="A124" s="574" t="s">
        <v>1688</v>
      </c>
      <c r="B124" s="576">
        <v>-929768</v>
      </c>
      <c r="C124" s="576">
        <v>0</v>
      </c>
    </row>
    <row r="125" spans="1:3" hidden="1" outlineLevel="2" x14ac:dyDescent="0.25">
      <c r="A125" s="574" t="s">
        <v>1688</v>
      </c>
      <c r="B125" s="576">
        <v>1253100</v>
      </c>
      <c r="C125" s="576">
        <v>0</v>
      </c>
    </row>
    <row r="126" spans="1:3" hidden="1" outlineLevel="2" x14ac:dyDescent="0.25">
      <c r="A126" s="574" t="s">
        <v>1688</v>
      </c>
      <c r="B126" s="576">
        <v>-1253100</v>
      </c>
      <c r="C126" s="576">
        <v>0</v>
      </c>
    </row>
    <row r="127" spans="1:3" hidden="1" outlineLevel="2" x14ac:dyDescent="0.25">
      <c r="A127" s="574" t="s">
        <v>1688</v>
      </c>
      <c r="B127" s="576">
        <v>791125</v>
      </c>
      <c r="C127" s="576">
        <v>0</v>
      </c>
    </row>
    <row r="128" spans="1:3" hidden="1" outlineLevel="2" x14ac:dyDescent="0.25">
      <c r="A128" s="574" t="s">
        <v>1688</v>
      </c>
      <c r="B128" s="576">
        <v>-791125</v>
      </c>
      <c r="C128" s="576">
        <v>0</v>
      </c>
    </row>
    <row r="129" spans="1:3" hidden="1" outlineLevel="2" x14ac:dyDescent="0.25">
      <c r="A129" s="574" t="s">
        <v>1688</v>
      </c>
      <c r="B129" s="576">
        <v>929768</v>
      </c>
      <c r="C129" s="576">
        <v>0</v>
      </c>
    </row>
    <row r="130" spans="1:3" hidden="1" outlineLevel="2" x14ac:dyDescent="0.25">
      <c r="A130" s="574" t="s">
        <v>1688</v>
      </c>
      <c r="B130" s="576">
        <v>337500</v>
      </c>
      <c r="C130" s="576">
        <v>0</v>
      </c>
    </row>
    <row r="131" spans="1:3" hidden="1" outlineLevel="2" x14ac:dyDescent="0.25">
      <c r="A131" s="574" t="s">
        <v>1688</v>
      </c>
      <c r="B131" s="576">
        <v>791125</v>
      </c>
      <c r="C131" s="576">
        <v>0</v>
      </c>
    </row>
    <row r="132" spans="1:3" hidden="1" outlineLevel="2" x14ac:dyDescent="0.25">
      <c r="A132" s="574" t="s">
        <v>1688</v>
      </c>
      <c r="B132" s="576">
        <v>1253100</v>
      </c>
      <c r="C132" s="576">
        <v>0</v>
      </c>
    </row>
    <row r="133" spans="1:3" hidden="1" outlineLevel="2" x14ac:dyDescent="0.25">
      <c r="A133" s="574" t="s">
        <v>1688</v>
      </c>
      <c r="B133" s="576">
        <v>183950</v>
      </c>
      <c r="C133" s="576">
        <v>0</v>
      </c>
    </row>
    <row r="134" spans="1:3" hidden="1" outlineLevel="2" x14ac:dyDescent="0.25">
      <c r="A134" s="574" t="s">
        <v>1688</v>
      </c>
      <c r="B134" s="576">
        <v>-183950</v>
      </c>
      <c r="C134" s="576">
        <v>0</v>
      </c>
    </row>
    <row r="135" spans="1:3" hidden="1" outlineLevel="2" x14ac:dyDescent="0.25">
      <c r="A135" s="574" t="s">
        <v>1688</v>
      </c>
      <c r="B135" s="576">
        <v>361801</v>
      </c>
      <c r="C135" s="576">
        <v>0</v>
      </c>
    </row>
    <row r="136" spans="1:3" hidden="1" outlineLevel="2" x14ac:dyDescent="0.25">
      <c r="A136" s="574" t="s">
        <v>1688</v>
      </c>
      <c r="B136" s="576">
        <v>851100</v>
      </c>
      <c r="C136" s="576">
        <v>0</v>
      </c>
    </row>
    <row r="137" spans="1:3" hidden="1" outlineLevel="2" x14ac:dyDescent="0.25">
      <c r="A137" s="574" t="s">
        <v>1688</v>
      </c>
      <c r="B137" s="576">
        <v>-851100</v>
      </c>
      <c r="C137" s="576">
        <v>0</v>
      </c>
    </row>
    <row r="138" spans="1:3" hidden="1" outlineLevel="2" x14ac:dyDescent="0.25">
      <c r="A138" s="574" t="s">
        <v>1688</v>
      </c>
      <c r="B138" s="576">
        <v>436518</v>
      </c>
      <c r="C138" s="576">
        <v>0</v>
      </c>
    </row>
    <row r="139" spans="1:3" hidden="1" outlineLevel="2" x14ac:dyDescent="0.25">
      <c r="A139" s="574" t="s">
        <v>1688</v>
      </c>
      <c r="B139" s="576">
        <v>851100</v>
      </c>
      <c r="C139" s="576">
        <v>0</v>
      </c>
    </row>
    <row r="140" spans="1:3" hidden="1" outlineLevel="2" x14ac:dyDescent="0.25">
      <c r="A140" s="574" t="s">
        <v>1688</v>
      </c>
      <c r="B140" s="576">
        <v>699300</v>
      </c>
      <c r="C140" s="576">
        <v>0</v>
      </c>
    </row>
    <row r="141" spans="1:3" hidden="1" outlineLevel="2" x14ac:dyDescent="0.25">
      <c r="A141" s="574" t="s">
        <v>1688</v>
      </c>
      <c r="B141" s="576">
        <v>123250</v>
      </c>
      <c r="C141" s="576">
        <v>0</v>
      </c>
    </row>
    <row r="142" spans="1:3" hidden="1" outlineLevel="2" x14ac:dyDescent="0.25">
      <c r="A142" s="574" t="s">
        <v>1688</v>
      </c>
      <c r="B142" s="576">
        <v>-123250</v>
      </c>
      <c r="C142" s="576">
        <v>0</v>
      </c>
    </row>
    <row r="143" spans="1:3" hidden="1" outlineLevel="2" x14ac:dyDescent="0.25">
      <c r="A143" s="574" t="s">
        <v>1688</v>
      </c>
      <c r="B143" s="576">
        <v>699175</v>
      </c>
      <c r="C143" s="576">
        <v>0</v>
      </c>
    </row>
    <row r="144" spans="1:3" hidden="1" outlineLevel="2" x14ac:dyDescent="0.25">
      <c r="A144" s="574" t="s">
        <v>1688</v>
      </c>
      <c r="B144" s="576">
        <v>-699175</v>
      </c>
      <c r="C144" s="576">
        <v>0</v>
      </c>
    </row>
    <row r="145" spans="1:3" hidden="1" outlineLevel="2" x14ac:dyDescent="0.25">
      <c r="A145" s="574" t="s">
        <v>1688</v>
      </c>
      <c r="B145" s="576">
        <v>378769</v>
      </c>
      <c r="C145" s="576">
        <v>0</v>
      </c>
    </row>
    <row r="146" spans="1:3" hidden="1" outlineLevel="2" x14ac:dyDescent="0.25">
      <c r="A146" s="574" t="s">
        <v>1688</v>
      </c>
      <c r="B146" s="576">
        <v>-378769</v>
      </c>
      <c r="C146" s="576">
        <v>0</v>
      </c>
    </row>
    <row r="147" spans="1:3" hidden="1" outlineLevel="2" x14ac:dyDescent="0.25">
      <c r="A147" s="574" t="s">
        <v>1688</v>
      </c>
      <c r="B147" s="576">
        <v>649250</v>
      </c>
      <c r="C147" s="576">
        <v>0</v>
      </c>
    </row>
    <row r="148" spans="1:3" hidden="1" outlineLevel="2" x14ac:dyDescent="0.25">
      <c r="A148" s="574" t="s">
        <v>1688</v>
      </c>
      <c r="B148" s="576">
        <v>-649250</v>
      </c>
      <c r="C148" s="576">
        <v>0</v>
      </c>
    </row>
    <row r="149" spans="1:3" hidden="1" outlineLevel="2" x14ac:dyDescent="0.25">
      <c r="A149" s="574" t="s">
        <v>1688</v>
      </c>
      <c r="B149" s="576">
        <v>582350</v>
      </c>
      <c r="C149" s="576">
        <v>0</v>
      </c>
    </row>
    <row r="150" spans="1:3" hidden="1" outlineLevel="2" x14ac:dyDescent="0.25">
      <c r="A150" s="574" t="s">
        <v>1688</v>
      </c>
      <c r="B150" s="576">
        <v>-582350</v>
      </c>
      <c r="C150" s="576">
        <v>0</v>
      </c>
    </row>
    <row r="151" spans="1:3" hidden="1" outlineLevel="2" x14ac:dyDescent="0.25">
      <c r="A151" s="574" t="s">
        <v>1688</v>
      </c>
      <c r="B151" s="576">
        <v>605025</v>
      </c>
      <c r="C151" s="576">
        <v>0</v>
      </c>
    </row>
    <row r="152" spans="1:3" hidden="1" outlineLevel="2" x14ac:dyDescent="0.25">
      <c r="A152" s="574" t="s">
        <v>1688</v>
      </c>
      <c r="B152" s="576">
        <v>-605025</v>
      </c>
      <c r="C152" s="576">
        <v>0</v>
      </c>
    </row>
    <row r="153" spans="1:3" hidden="1" outlineLevel="2" x14ac:dyDescent="0.25">
      <c r="A153" s="574" t="s">
        <v>1688</v>
      </c>
      <c r="B153" s="576">
        <v>69393.05</v>
      </c>
      <c r="C153" s="576">
        <v>0</v>
      </c>
    </row>
    <row r="154" spans="1:3" hidden="1" outlineLevel="2" x14ac:dyDescent="0.25">
      <c r="A154" s="574" t="s">
        <v>1688</v>
      </c>
      <c r="B154" s="576">
        <v>103785</v>
      </c>
      <c r="C154" s="576">
        <v>0</v>
      </c>
    </row>
    <row r="155" spans="1:3" hidden="1" outlineLevel="2" x14ac:dyDescent="0.25">
      <c r="A155" s="574" t="s">
        <v>1688</v>
      </c>
      <c r="B155" s="576">
        <v>348600</v>
      </c>
      <c r="C155" s="576">
        <v>0</v>
      </c>
    </row>
    <row r="156" spans="1:3" hidden="1" outlineLevel="2" x14ac:dyDescent="0.25">
      <c r="A156" s="574" t="s">
        <v>1688</v>
      </c>
      <c r="B156" s="576">
        <v>211250</v>
      </c>
      <c r="C156" s="576">
        <v>0</v>
      </c>
    </row>
    <row r="157" spans="1:3" hidden="1" outlineLevel="2" x14ac:dyDescent="0.25">
      <c r="A157" s="574" t="s">
        <v>1688</v>
      </c>
      <c r="B157" s="576">
        <v>699175</v>
      </c>
      <c r="C157" s="576">
        <v>0</v>
      </c>
    </row>
    <row r="158" spans="1:3" hidden="1" outlineLevel="2" x14ac:dyDescent="0.25">
      <c r="A158" s="574" t="s">
        <v>1688</v>
      </c>
      <c r="B158" s="576">
        <v>649250</v>
      </c>
      <c r="C158" s="576">
        <v>0</v>
      </c>
    </row>
    <row r="159" spans="1:3" hidden="1" outlineLevel="2" x14ac:dyDescent="0.25">
      <c r="A159" s="574" t="s">
        <v>1688</v>
      </c>
      <c r="B159" s="576">
        <v>378769</v>
      </c>
      <c r="C159" s="576">
        <v>0</v>
      </c>
    </row>
    <row r="160" spans="1:3" hidden="1" outlineLevel="2" x14ac:dyDescent="0.25">
      <c r="A160" s="574" t="s">
        <v>1688</v>
      </c>
      <c r="B160" s="576">
        <v>-378769</v>
      </c>
      <c r="C160" s="576">
        <v>0</v>
      </c>
    </row>
    <row r="161" spans="1:3" hidden="1" outlineLevel="2" x14ac:dyDescent="0.25">
      <c r="A161" s="574" t="s">
        <v>1688</v>
      </c>
      <c r="B161" s="576">
        <v>115000</v>
      </c>
      <c r="C161" s="576">
        <v>0</v>
      </c>
    </row>
    <row r="162" spans="1:3" hidden="1" outlineLevel="2" x14ac:dyDescent="0.25">
      <c r="A162" s="574" t="s">
        <v>1688</v>
      </c>
      <c r="B162" s="576">
        <v>598925</v>
      </c>
      <c r="C162" s="576">
        <v>0</v>
      </c>
    </row>
    <row r="163" spans="1:3" hidden="1" outlineLevel="2" x14ac:dyDescent="0.25">
      <c r="A163" s="574" t="s">
        <v>1688</v>
      </c>
      <c r="B163" s="576">
        <v>183950</v>
      </c>
      <c r="C163" s="576">
        <v>0</v>
      </c>
    </row>
    <row r="164" spans="1:3" hidden="1" outlineLevel="2" x14ac:dyDescent="0.25">
      <c r="A164" s="574" t="s">
        <v>1688</v>
      </c>
      <c r="B164" s="576">
        <v>572725</v>
      </c>
      <c r="C164" s="576">
        <v>0</v>
      </c>
    </row>
    <row r="165" spans="1:3" hidden="1" outlineLevel="2" x14ac:dyDescent="0.25">
      <c r="A165" s="574" t="s">
        <v>1688</v>
      </c>
      <c r="B165" s="576">
        <v>533958.91</v>
      </c>
      <c r="C165" s="576">
        <v>0</v>
      </c>
    </row>
    <row r="166" spans="1:3" hidden="1" outlineLevel="2" x14ac:dyDescent="0.25">
      <c r="A166" s="574" t="s">
        <v>1688</v>
      </c>
      <c r="B166" s="576">
        <v>76832</v>
      </c>
      <c r="C166" s="576">
        <v>0</v>
      </c>
    </row>
    <row r="167" spans="1:3" hidden="1" outlineLevel="2" x14ac:dyDescent="0.25">
      <c r="A167" s="574" t="s">
        <v>1688</v>
      </c>
      <c r="B167" s="576">
        <v>202110.4</v>
      </c>
      <c r="C167" s="576">
        <v>0</v>
      </c>
    </row>
    <row r="168" spans="1:3" hidden="1" outlineLevel="2" x14ac:dyDescent="0.25">
      <c r="A168" s="574" t="s">
        <v>1688</v>
      </c>
      <c r="B168" s="576">
        <v>16372.5</v>
      </c>
      <c r="C168" s="576">
        <v>0</v>
      </c>
    </row>
    <row r="169" spans="1:3" hidden="1" outlineLevel="2" x14ac:dyDescent="0.25">
      <c r="A169" s="574" t="s">
        <v>1688</v>
      </c>
      <c r="B169" s="576">
        <v>50184.52</v>
      </c>
      <c r="C169" s="576">
        <v>0</v>
      </c>
    </row>
    <row r="170" spans="1:3" hidden="1" outlineLevel="2" x14ac:dyDescent="0.25">
      <c r="A170" s="574" t="s">
        <v>1688</v>
      </c>
      <c r="B170" s="576">
        <v>640110.81000000006</v>
      </c>
      <c r="C170" s="576">
        <v>0</v>
      </c>
    </row>
    <row r="171" spans="1:3" hidden="1" outlineLevel="2" x14ac:dyDescent="0.25">
      <c r="A171" s="574" t="s">
        <v>1688</v>
      </c>
      <c r="B171" s="576">
        <v>487261</v>
      </c>
      <c r="C171" s="576">
        <v>0</v>
      </c>
    </row>
    <row r="172" spans="1:3" hidden="1" outlineLevel="2" x14ac:dyDescent="0.25">
      <c r="A172" s="574" t="s">
        <v>1688</v>
      </c>
      <c r="B172" s="576">
        <v>250020</v>
      </c>
      <c r="C172" s="576">
        <v>0</v>
      </c>
    </row>
    <row r="173" spans="1:3" hidden="1" outlineLevel="2" x14ac:dyDescent="0.25">
      <c r="A173" s="574" t="s">
        <v>1688</v>
      </c>
      <c r="B173" s="576">
        <v>-250020</v>
      </c>
      <c r="C173" s="576">
        <v>0</v>
      </c>
    </row>
    <row r="174" spans="1:3" hidden="1" outlineLevel="2" x14ac:dyDescent="0.25">
      <c r="A174" s="574" t="s">
        <v>1688</v>
      </c>
      <c r="B174" s="576">
        <v>36541.06</v>
      </c>
      <c r="C174" s="576">
        <v>0</v>
      </c>
    </row>
    <row r="175" spans="1:3" hidden="1" outlineLevel="2" x14ac:dyDescent="0.25">
      <c r="A175" s="574" t="s">
        <v>1688</v>
      </c>
      <c r="B175" s="576">
        <v>-36541.06</v>
      </c>
      <c r="C175" s="576">
        <v>0</v>
      </c>
    </row>
    <row r="176" spans="1:3" hidden="1" outlineLevel="2" x14ac:dyDescent="0.25">
      <c r="A176" s="574" t="s">
        <v>1688</v>
      </c>
      <c r="B176" s="576">
        <v>471506.2</v>
      </c>
      <c r="C176" s="576">
        <v>0</v>
      </c>
    </row>
    <row r="177" spans="1:3" hidden="1" outlineLevel="2" x14ac:dyDescent="0.25">
      <c r="A177" s="574" t="s">
        <v>1688</v>
      </c>
      <c r="B177" s="576">
        <v>371459</v>
      </c>
      <c r="C177" s="576">
        <v>0</v>
      </c>
    </row>
    <row r="178" spans="1:3" hidden="1" outlineLevel="2" x14ac:dyDescent="0.25">
      <c r="A178" s="574" t="s">
        <v>1688</v>
      </c>
      <c r="B178" s="576">
        <v>193945</v>
      </c>
      <c r="C178" s="576">
        <v>0</v>
      </c>
    </row>
    <row r="179" spans="1:3" outlineLevel="1" collapsed="1" x14ac:dyDescent="0.25">
      <c r="A179" s="580" t="s">
        <v>3677</v>
      </c>
      <c r="B179" s="576">
        <f>SUBTOTAL(9,B121:B178)</f>
        <v>12256005.390000001</v>
      </c>
      <c r="C179" s="576"/>
    </row>
    <row r="180" spans="1:3" hidden="1" outlineLevel="2" x14ac:dyDescent="0.25">
      <c r="A180" s="574" t="s">
        <v>1689</v>
      </c>
      <c r="B180" s="576">
        <v>122460.17</v>
      </c>
      <c r="C180" s="576">
        <v>0</v>
      </c>
    </row>
    <row r="181" spans="1:3" hidden="1" outlineLevel="2" x14ac:dyDescent="0.25">
      <c r="A181" s="574" t="s">
        <v>1689</v>
      </c>
      <c r="B181" s="576">
        <v>518019.87</v>
      </c>
      <c r="C181" s="576">
        <v>0</v>
      </c>
    </row>
    <row r="182" spans="1:3" outlineLevel="1" collapsed="1" x14ac:dyDescent="0.25">
      <c r="A182" s="580" t="s">
        <v>3678</v>
      </c>
      <c r="B182" s="576">
        <f>SUBTOTAL(9,B180:B181)</f>
        <v>640480.04</v>
      </c>
      <c r="C182" s="576"/>
    </row>
    <row r="183" spans="1:3" hidden="1" outlineLevel="2" x14ac:dyDescent="0.25">
      <c r="A183" s="574" t="s">
        <v>1690</v>
      </c>
      <c r="B183" s="576">
        <v>627.16999999999996</v>
      </c>
      <c r="C183" s="576">
        <v>0</v>
      </c>
    </row>
    <row r="184" spans="1:3" hidden="1" outlineLevel="2" x14ac:dyDescent="0.25">
      <c r="A184" s="574" t="s">
        <v>1690</v>
      </c>
      <c r="B184" s="576">
        <v>429225</v>
      </c>
      <c r="C184" s="576">
        <v>0</v>
      </c>
    </row>
    <row r="185" spans="1:3" hidden="1" outlineLevel="2" x14ac:dyDescent="0.25">
      <c r="A185" s="574" t="s">
        <v>1690</v>
      </c>
      <c r="B185" s="576">
        <v>518019.87</v>
      </c>
      <c r="C185" s="576">
        <v>0</v>
      </c>
    </row>
    <row r="186" spans="1:3" hidden="1" outlineLevel="2" x14ac:dyDescent="0.25">
      <c r="A186" s="574" t="s">
        <v>1690</v>
      </c>
      <c r="B186" s="576">
        <v>-518019.87</v>
      </c>
      <c r="C186" s="576">
        <v>0</v>
      </c>
    </row>
    <row r="187" spans="1:3" hidden="1" outlineLevel="2" x14ac:dyDescent="0.25">
      <c r="A187" s="574" t="s">
        <v>1690</v>
      </c>
      <c r="B187" s="576">
        <v>435632.4</v>
      </c>
      <c r="C187" s="576">
        <v>0</v>
      </c>
    </row>
    <row r="188" spans="1:3" hidden="1" outlineLevel="2" x14ac:dyDescent="0.25">
      <c r="A188" s="574" t="s">
        <v>1690</v>
      </c>
      <c r="B188" s="576">
        <v>23364</v>
      </c>
      <c r="C188" s="576">
        <v>0</v>
      </c>
    </row>
    <row r="189" spans="1:3" hidden="1" outlineLevel="2" x14ac:dyDescent="0.25">
      <c r="A189" s="574" t="s">
        <v>1690</v>
      </c>
      <c r="B189" s="576">
        <v>19470</v>
      </c>
      <c r="C189" s="576">
        <v>0</v>
      </c>
    </row>
    <row r="190" spans="1:3" hidden="1" outlineLevel="2" x14ac:dyDescent="0.25">
      <c r="A190" s="574" t="s">
        <v>1690</v>
      </c>
      <c r="B190" s="576">
        <v>11552.2</v>
      </c>
      <c r="C190" s="576">
        <v>0</v>
      </c>
    </row>
    <row r="191" spans="1:3" hidden="1" outlineLevel="2" x14ac:dyDescent="0.25">
      <c r="A191" s="574" t="s">
        <v>1690</v>
      </c>
      <c r="B191" s="576">
        <v>10620</v>
      </c>
      <c r="C191" s="576">
        <v>0</v>
      </c>
    </row>
    <row r="192" spans="1:3" hidden="1" outlineLevel="2" x14ac:dyDescent="0.25">
      <c r="A192" s="574" t="s">
        <v>1690</v>
      </c>
      <c r="B192" s="576">
        <v>584100</v>
      </c>
      <c r="C192" s="576">
        <v>0</v>
      </c>
    </row>
    <row r="193" spans="1:3" outlineLevel="1" collapsed="1" x14ac:dyDescent="0.25">
      <c r="A193" s="580" t="s">
        <v>3679</v>
      </c>
      <c r="B193" s="576">
        <f>SUBTOTAL(9,B183:B192)</f>
        <v>1514590.77</v>
      </c>
      <c r="C193" s="576"/>
    </row>
    <row r="194" spans="1:3" hidden="1" outlineLevel="2" x14ac:dyDescent="0.25">
      <c r="A194" s="574" t="s">
        <v>1691</v>
      </c>
      <c r="B194" s="576">
        <v>46200</v>
      </c>
      <c r="C194" s="576">
        <v>0</v>
      </c>
    </row>
    <row r="195" spans="1:3" hidden="1" outlineLevel="2" x14ac:dyDescent="0.25">
      <c r="A195" s="574" t="s">
        <v>1691</v>
      </c>
      <c r="B195" s="576">
        <v>86350</v>
      </c>
      <c r="C195" s="576">
        <v>0</v>
      </c>
    </row>
    <row r="196" spans="1:3" hidden="1" outlineLevel="2" x14ac:dyDescent="0.25">
      <c r="A196" s="574" t="s">
        <v>1691</v>
      </c>
      <c r="B196" s="576">
        <v>1215000</v>
      </c>
      <c r="C196" s="576">
        <v>0</v>
      </c>
    </row>
    <row r="197" spans="1:3" hidden="1" outlineLevel="2" x14ac:dyDescent="0.25">
      <c r="A197" s="574" t="s">
        <v>1691</v>
      </c>
      <c r="B197" s="576">
        <v>46000</v>
      </c>
      <c r="C197" s="576">
        <v>0</v>
      </c>
    </row>
    <row r="198" spans="1:3" hidden="1" outlineLevel="2" x14ac:dyDescent="0.25">
      <c r="A198" s="574" t="s">
        <v>1691</v>
      </c>
      <c r="B198" s="576">
        <v>60232</v>
      </c>
      <c r="C198" s="576">
        <v>0</v>
      </c>
    </row>
    <row r="199" spans="1:3" hidden="1" outlineLevel="2" x14ac:dyDescent="0.25">
      <c r="A199" s="574" t="s">
        <v>1691</v>
      </c>
      <c r="B199" s="576">
        <v>-60232</v>
      </c>
      <c r="C199" s="576">
        <v>0</v>
      </c>
    </row>
    <row r="200" spans="1:3" hidden="1" outlineLevel="2" x14ac:dyDescent="0.25">
      <c r="A200" s="574" t="s">
        <v>1691</v>
      </c>
      <c r="B200" s="576">
        <v>215625</v>
      </c>
      <c r="C200" s="576">
        <v>0</v>
      </c>
    </row>
    <row r="201" spans="1:3" hidden="1" outlineLevel="2" x14ac:dyDescent="0.25">
      <c r="A201" s="574" t="s">
        <v>1691</v>
      </c>
      <c r="B201" s="576">
        <v>183600</v>
      </c>
      <c r="C201" s="576">
        <v>0</v>
      </c>
    </row>
    <row r="202" spans="1:3" hidden="1" outlineLevel="2" x14ac:dyDescent="0.25">
      <c r="A202" s="574" t="s">
        <v>1691</v>
      </c>
      <c r="B202" s="576">
        <v>185000</v>
      </c>
      <c r="C202" s="576">
        <v>0</v>
      </c>
    </row>
    <row r="203" spans="1:3" hidden="1" outlineLevel="2" x14ac:dyDescent="0.25">
      <c r="A203" s="574" t="s">
        <v>1691</v>
      </c>
      <c r="B203" s="576">
        <v>148000</v>
      </c>
      <c r="C203" s="576">
        <v>0</v>
      </c>
    </row>
    <row r="204" spans="1:3" hidden="1" outlineLevel="2" x14ac:dyDescent="0.25">
      <c r="A204" s="574" t="s">
        <v>1691</v>
      </c>
      <c r="B204" s="576">
        <v>-148000</v>
      </c>
      <c r="C204" s="576">
        <v>0</v>
      </c>
    </row>
    <row r="205" spans="1:3" hidden="1" outlineLevel="2" x14ac:dyDescent="0.25">
      <c r="A205" s="574" t="s">
        <v>1691</v>
      </c>
      <c r="B205" s="576">
        <v>104300</v>
      </c>
      <c r="C205" s="576">
        <v>0</v>
      </c>
    </row>
    <row r="206" spans="1:3" hidden="1" outlineLevel="2" x14ac:dyDescent="0.25">
      <c r="A206" s="574" t="s">
        <v>1691</v>
      </c>
      <c r="B206" s="576">
        <v>198000</v>
      </c>
      <c r="C206" s="576">
        <v>0</v>
      </c>
    </row>
    <row r="207" spans="1:3" hidden="1" outlineLevel="2" x14ac:dyDescent="0.25">
      <c r="A207" s="574" t="s">
        <v>1691</v>
      </c>
      <c r="B207" s="576">
        <v>102960</v>
      </c>
      <c r="C207" s="576">
        <v>0</v>
      </c>
    </row>
    <row r="208" spans="1:3" hidden="1" outlineLevel="2" x14ac:dyDescent="0.25">
      <c r="A208" s="574" t="s">
        <v>1691</v>
      </c>
      <c r="B208" s="576">
        <v>232500</v>
      </c>
      <c r="C208" s="576">
        <v>0</v>
      </c>
    </row>
    <row r="209" spans="1:3" hidden="1" outlineLevel="2" x14ac:dyDescent="0.25">
      <c r="A209" s="574" t="s">
        <v>1691</v>
      </c>
      <c r="B209" s="576">
        <v>810000</v>
      </c>
      <c r="C209" s="576">
        <v>0</v>
      </c>
    </row>
    <row r="210" spans="1:3" hidden="1" outlineLevel="2" x14ac:dyDescent="0.25">
      <c r="A210" s="574" t="s">
        <v>1691</v>
      </c>
      <c r="B210" s="576">
        <v>51000</v>
      </c>
      <c r="C210" s="576">
        <v>0</v>
      </c>
    </row>
    <row r="211" spans="1:3" hidden="1" outlineLevel="2" x14ac:dyDescent="0.25">
      <c r="A211" s="574" t="s">
        <v>1691</v>
      </c>
      <c r="B211" s="576">
        <v>337500</v>
      </c>
      <c r="C211" s="576">
        <v>0</v>
      </c>
    </row>
    <row r="212" spans="1:3" hidden="1" outlineLevel="2" x14ac:dyDescent="0.25">
      <c r="A212" s="574" t="s">
        <v>1691</v>
      </c>
      <c r="B212" s="576">
        <v>225000</v>
      </c>
      <c r="C212" s="576">
        <v>0</v>
      </c>
    </row>
    <row r="213" spans="1:3" hidden="1" outlineLevel="2" x14ac:dyDescent="0.25">
      <c r="A213" s="574" t="s">
        <v>1691</v>
      </c>
      <c r="B213" s="576">
        <v>190000</v>
      </c>
      <c r="C213" s="576">
        <v>0</v>
      </c>
    </row>
    <row r="214" spans="1:3" hidden="1" outlineLevel="2" x14ac:dyDescent="0.25">
      <c r="A214" s="574" t="s">
        <v>1691</v>
      </c>
      <c r="B214" s="576">
        <v>32500</v>
      </c>
      <c r="C214" s="576">
        <v>0</v>
      </c>
    </row>
    <row r="215" spans="1:3" hidden="1" outlineLevel="2" x14ac:dyDescent="0.25">
      <c r="A215" s="574" t="s">
        <v>1691</v>
      </c>
      <c r="B215" s="576">
        <v>180000</v>
      </c>
      <c r="C215" s="576">
        <v>0</v>
      </c>
    </row>
    <row r="216" spans="1:3" hidden="1" outlineLevel="2" x14ac:dyDescent="0.25">
      <c r="A216" s="574" t="s">
        <v>1691</v>
      </c>
      <c r="B216" s="576">
        <v>13180</v>
      </c>
      <c r="C216" s="576">
        <v>0</v>
      </c>
    </row>
    <row r="217" spans="1:3" hidden="1" outlineLevel="2" x14ac:dyDescent="0.25">
      <c r="A217" s="574" t="s">
        <v>1691</v>
      </c>
      <c r="B217" s="576">
        <v>204000</v>
      </c>
      <c r="C217" s="576">
        <v>0</v>
      </c>
    </row>
    <row r="218" spans="1:3" hidden="1" outlineLevel="2" x14ac:dyDescent="0.25">
      <c r="A218" s="574" t="s">
        <v>1691</v>
      </c>
      <c r="B218" s="576">
        <v>64350</v>
      </c>
      <c r="C218" s="576">
        <v>0</v>
      </c>
    </row>
    <row r="219" spans="1:3" hidden="1" outlineLevel="2" x14ac:dyDescent="0.25">
      <c r="A219" s="574" t="s">
        <v>1691</v>
      </c>
      <c r="B219" s="576">
        <v>44000</v>
      </c>
      <c r="C219" s="576">
        <v>0</v>
      </c>
    </row>
    <row r="220" spans="1:3" hidden="1" outlineLevel="2" x14ac:dyDescent="0.25">
      <c r="A220" s="574" t="s">
        <v>1691</v>
      </c>
      <c r="B220" s="576">
        <v>84000</v>
      </c>
      <c r="C220" s="576">
        <v>0</v>
      </c>
    </row>
    <row r="221" spans="1:3" hidden="1" outlineLevel="2" x14ac:dyDescent="0.25">
      <c r="A221" s="574" t="s">
        <v>1691</v>
      </c>
      <c r="B221" s="576">
        <v>176250</v>
      </c>
      <c r="C221" s="576">
        <v>0</v>
      </c>
    </row>
    <row r="222" spans="1:3" hidden="1" outlineLevel="2" x14ac:dyDescent="0.25">
      <c r="A222" s="574" t="s">
        <v>1691</v>
      </c>
      <c r="B222" s="576">
        <v>70080</v>
      </c>
      <c r="C222" s="576">
        <v>0</v>
      </c>
    </row>
    <row r="223" spans="1:3" hidden="1" outlineLevel="2" x14ac:dyDescent="0.25">
      <c r="A223" s="574" t="s">
        <v>1691</v>
      </c>
      <c r="B223" s="576">
        <v>148500</v>
      </c>
      <c r="C223" s="576">
        <v>0</v>
      </c>
    </row>
    <row r="224" spans="1:3" hidden="1" outlineLevel="2" x14ac:dyDescent="0.25">
      <c r="A224" s="574" t="s">
        <v>1691</v>
      </c>
      <c r="B224" s="576">
        <v>148000</v>
      </c>
      <c r="C224" s="576">
        <v>0</v>
      </c>
    </row>
    <row r="225" spans="1:3" hidden="1" outlineLevel="2" x14ac:dyDescent="0.25">
      <c r="A225" s="574" t="s">
        <v>1691</v>
      </c>
      <c r="B225" s="576">
        <v>147800</v>
      </c>
      <c r="C225" s="576">
        <v>0</v>
      </c>
    </row>
    <row r="226" spans="1:3" hidden="1" outlineLevel="2" x14ac:dyDescent="0.25">
      <c r="A226" s="574" t="s">
        <v>1691</v>
      </c>
      <c r="B226" s="576">
        <v>188200</v>
      </c>
      <c r="C226" s="576">
        <v>0</v>
      </c>
    </row>
    <row r="227" spans="1:3" hidden="1" outlineLevel="2" x14ac:dyDescent="0.25">
      <c r="A227" s="574" t="s">
        <v>1691</v>
      </c>
      <c r="B227" s="576">
        <v>43750</v>
      </c>
      <c r="C227" s="576">
        <v>0</v>
      </c>
    </row>
    <row r="228" spans="1:3" hidden="1" outlineLevel="2" x14ac:dyDescent="0.25">
      <c r="A228" s="574" t="s">
        <v>1691</v>
      </c>
      <c r="B228" s="576">
        <v>190000</v>
      </c>
      <c r="C228" s="576">
        <v>0</v>
      </c>
    </row>
    <row r="229" spans="1:3" hidden="1" outlineLevel="2" x14ac:dyDescent="0.25">
      <c r="A229" s="574" t="s">
        <v>1691</v>
      </c>
      <c r="B229" s="576">
        <v>34000</v>
      </c>
      <c r="C229" s="576">
        <v>0</v>
      </c>
    </row>
    <row r="230" spans="1:3" hidden="1" outlineLevel="2" x14ac:dyDescent="0.25">
      <c r="A230" s="574" t="s">
        <v>1691</v>
      </c>
      <c r="B230" s="576">
        <v>880</v>
      </c>
      <c r="C230" s="576">
        <v>0</v>
      </c>
    </row>
    <row r="231" spans="1:3" hidden="1" outlineLevel="2" x14ac:dyDescent="0.25">
      <c r="A231" s="574" t="s">
        <v>1691</v>
      </c>
      <c r="B231" s="576">
        <v>254150</v>
      </c>
      <c r="C231" s="576">
        <v>0</v>
      </c>
    </row>
    <row r="232" spans="1:3" hidden="1" outlineLevel="2" x14ac:dyDescent="0.25">
      <c r="A232" s="574" t="s">
        <v>1691</v>
      </c>
      <c r="B232" s="576">
        <v>6145</v>
      </c>
      <c r="C232" s="576">
        <v>0</v>
      </c>
    </row>
    <row r="233" spans="1:3" hidden="1" outlineLevel="2" x14ac:dyDescent="0.25">
      <c r="A233" s="574" t="s">
        <v>1691</v>
      </c>
      <c r="B233" s="576">
        <v>205100</v>
      </c>
      <c r="C233" s="576">
        <v>0</v>
      </c>
    </row>
    <row r="234" spans="1:3" hidden="1" outlineLevel="2" x14ac:dyDescent="0.25">
      <c r="A234" s="574" t="s">
        <v>1691</v>
      </c>
      <c r="B234" s="576">
        <v>37500</v>
      </c>
      <c r="C234" s="576">
        <v>0</v>
      </c>
    </row>
    <row r="235" spans="1:3" hidden="1" outlineLevel="2" x14ac:dyDescent="0.25">
      <c r="A235" s="574" t="s">
        <v>1691</v>
      </c>
      <c r="B235" s="576">
        <v>41820</v>
      </c>
      <c r="C235" s="576">
        <v>0</v>
      </c>
    </row>
    <row r="236" spans="1:3" hidden="1" outlineLevel="2" x14ac:dyDescent="0.25">
      <c r="A236" s="574" t="s">
        <v>1691</v>
      </c>
      <c r="B236" s="576">
        <v>245000</v>
      </c>
      <c r="C236" s="576">
        <v>0</v>
      </c>
    </row>
    <row r="237" spans="1:3" hidden="1" outlineLevel="2" x14ac:dyDescent="0.25">
      <c r="A237" s="574" t="s">
        <v>1691</v>
      </c>
      <c r="B237" s="576">
        <v>37720</v>
      </c>
      <c r="C237" s="576">
        <v>0</v>
      </c>
    </row>
    <row r="238" spans="1:3" hidden="1" outlineLevel="2" x14ac:dyDescent="0.25">
      <c r="A238" s="574" t="s">
        <v>1691</v>
      </c>
      <c r="B238" s="576">
        <v>199000</v>
      </c>
      <c r="C238" s="576">
        <v>0</v>
      </c>
    </row>
    <row r="239" spans="1:3" hidden="1" outlineLevel="2" x14ac:dyDescent="0.25">
      <c r="A239" s="574" t="s">
        <v>1691</v>
      </c>
      <c r="B239" s="576">
        <v>138250</v>
      </c>
      <c r="C239" s="576">
        <v>0</v>
      </c>
    </row>
    <row r="240" spans="1:3" hidden="1" outlineLevel="2" x14ac:dyDescent="0.25">
      <c r="A240" s="574" t="s">
        <v>1691</v>
      </c>
      <c r="B240" s="576">
        <v>41250</v>
      </c>
      <c r="C240" s="576">
        <v>0</v>
      </c>
    </row>
    <row r="241" spans="1:3" hidden="1" outlineLevel="2" x14ac:dyDescent="0.25">
      <c r="A241" s="574" t="s">
        <v>1691</v>
      </c>
      <c r="B241" s="576">
        <v>85000</v>
      </c>
      <c r="C241" s="576">
        <v>0</v>
      </c>
    </row>
    <row r="242" spans="1:3" hidden="1" outlineLevel="2" x14ac:dyDescent="0.25">
      <c r="A242" s="574" t="s">
        <v>1691</v>
      </c>
      <c r="B242" s="576">
        <v>142500</v>
      </c>
      <c r="C242" s="576">
        <v>0</v>
      </c>
    </row>
    <row r="243" spans="1:3" hidden="1" outlineLevel="2" x14ac:dyDescent="0.25">
      <c r="A243" s="574" t="s">
        <v>1691</v>
      </c>
      <c r="B243" s="576">
        <v>213260</v>
      </c>
      <c r="C243" s="576">
        <v>0</v>
      </c>
    </row>
    <row r="244" spans="1:3" hidden="1" outlineLevel="2" x14ac:dyDescent="0.25">
      <c r="A244" s="574" t="s">
        <v>1691</v>
      </c>
      <c r="B244" s="576">
        <v>17184</v>
      </c>
      <c r="C244" s="576">
        <v>0</v>
      </c>
    </row>
    <row r="245" spans="1:3" hidden="1" outlineLevel="2" x14ac:dyDescent="0.25">
      <c r="A245" s="574" t="s">
        <v>1691</v>
      </c>
      <c r="B245" s="576">
        <v>85629.6</v>
      </c>
      <c r="C245" s="576">
        <v>0</v>
      </c>
    </row>
    <row r="246" spans="1:3" hidden="1" outlineLevel="2" x14ac:dyDescent="0.25">
      <c r="A246" s="574" t="s">
        <v>1691</v>
      </c>
      <c r="B246" s="576">
        <v>141250</v>
      </c>
      <c r="C246" s="576">
        <v>0</v>
      </c>
    </row>
    <row r="247" spans="1:3" hidden="1" outlineLevel="2" x14ac:dyDescent="0.25">
      <c r="A247" s="574" t="s">
        <v>1691</v>
      </c>
      <c r="B247" s="576">
        <v>138000</v>
      </c>
      <c r="C247" s="576">
        <v>0</v>
      </c>
    </row>
    <row r="248" spans="1:3" hidden="1" outlineLevel="2" x14ac:dyDescent="0.25">
      <c r="A248" s="574" t="s">
        <v>1691</v>
      </c>
      <c r="B248" s="576">
        <v>255000</v>
      </c>
      <c r="C248" s="576">
        <v>0</v>
      </c>
    </row>
    <row r="249" spans="1:3" hidden="1" outlineLevel="2" x14ac:dyDescent="0.25">
      <c r="A249" s="574" t="s">
        <v>1691</v>
      </c>
      <c r="B249" s="576">
        <v>95000</v>
      </c>
      <c r="C249" s="576">
        <v>0</v>
      </c>
    </row>
    <row r="250" spans="1:3" hidden="1" outlineLevel="2" x14ac:dyDescent="0.25">
      <c r="A250" s="574" t="s">
        <v>1691</v>
      </c>
      <c r="B250" s="576">
        <v>246500</v>
      </c>
      <c r="C250" s="576">
        <v>0</v>
      </c>
    </row>
    <row r="251" spans="1:3" hidden="1" outlineLevel="2" x14ac:dyDescent="0.25">
      <c r="A251" s="574" t="s">
        <v>1691</v>
      </c>
      <c r="B251" s="576">
        <v>136500</v>
      </c>
      <c r="C251" s="576">
        <v>0</v>
      </c>
    </row>
    <row r="252" spans="1:3" hidden="1" outlineLevel="2" x14ac:dyDescent="0.25">
      <c r="A252" s="574" t="s">
        <v>1691</v>
      </c>
      <c r="B252" s="576">
        <v>7500</v>
      </c>
      <c r="C252" s="576">
        <v>0</v>
      </c>
    </row>
    <row r="253" spans="1:3" hidden="1" outlineLevel="2" x14ac:dyDescent="0.25">
      <c r="A253" s="574" t="s">
        <v>1691</v>
      </c>
      <c r="B253" s="576">
        <v>200000</v>
      </c>
      <c r="C253" s="576">
        <v>0</v>
      </c>
    </row>
    <row r="254" spans="1:3" hidden="1" outlineLevel="2" x14ac:dyDescent="0.25">
      <c r="A254" s="574" t="s">
        <v>1691</v>
      </c>
      <c r="B254" s="576">
        <v>210000</v>
      </c>
      <c r="C254" s="576">
        <v>0</v>
      </c>
    </row>
    <row r="255" spans="1:3" hidden="1" outlineLevel="2" x14ac:dyDescent="0.25">
      <c r="A255" s="574" t="s">
        <v>1691</v>
      </c>
      <c r="B255" s="576">
        <v>177500</v>
      </c>
      <c r="C255" s="576">
        <v>0</v>
      </c>
    </row>
    <row r="256" spans="1:3" hidden="1" outlineLevel="2" x14ac:dyDescent="0.25">
      <c r="A256" s="574" t="s">
        <v>1691</v>
      </c>
      <c r="B256" s="576">
        <v>161848.5</v>
      </c>
      <c r="C256" s="576">
        <v>0</v>
      </c>
    </row>
    <row r="257" spans="1:3" hidden="1" outlineLevel="2" x14ac:dyDescent="0.25">
      <c r="A257" s="574" t="s">
        <v>1691</v>
      </c>
      <c r="B257" s="576">
        <v>212400</v>
      </c>
      <c r="C257" s="576">
        <v>0</v>
      </c>
    </row>
    <row r="258" spans="1:3" hidden="1" outlineLevel="2" x14ac:dyDescent="0.25">
      <c r="A258" s="574" t="s">
        <v>1691</v>
      </c>
      <c r="B258" s="576">
        <v>246500</v>
      </c>
      <c r="C258" s="576">
        <v>0</v>
      </c>
    </row>
    <row r="259" spans="1:3" hidden="1" outlineLevel="2" x14ac:dyDescent="0.25">
      <c r="A259" s="574" t="s">
        <v>1691</v>
      </c>
      <c r="B259" s="576">
        <v>160380</v>
      </c>
      <c r="C259" s="576">
        <v>0</v>
      </c>
    </row>
    <row r="260" spans="1:3" hidden="1" outlineLevel="2" x14ac:dyDescent="0.25">
      <c r="A260" s="574" t="s">
        <v>1691</v>
      </c>
      <c r="B260" s="576">
        <v>80000</v>
      </c>
      <c r="C260" s="576">
        <v>0</v>
      </c>
    </row>
    <row r="261" spans="1:3" hidden="1" outlineLevel="2" x14ac:dyDescent="0.25">
      <c r="A261" s="574" t="s">
        <v>1691</v>
      </c>
      <c r="B261" s="576">
        <v>90000</v>
      </c>
      <c r="C261" s="576">
        <v>0</v>
      </c>
    </row>
    <row r="262" spans="1:3" hidden="1" outlineLevel="2" x14ac:dyDescent="0.25">
      <c r="A262" s="574" t="s">
        <v>1691</v>
      </c>
      <c r="B262" s="576">
        <v>96600</v>
      </c>
      <c r="C262" s="576">
        <v>0</v>
      </c>
    </row>
    <row r="263" spans="1:3" hidden="1" outlineLevel="2" x14ac:dyDescent="0.25">
      <c r="A263" s="574" t="s">
        <v>1691</v>
      </c>
      <c r="B263" s="576">
        <v>51642.400000000001</v>
      </c>
      <c r="C263" s="576">
        <v>0</v>
      </c>
    </row>
    <row r="264" spans="1:3" hidden="1" outlineLevel="2" x14ac:dyDescent="0.25">
      <c r="A264" s="574" t="s">
        <v>1691</v>
      </c>
      <c r="B264" s="576">
        <v>70000</v>
      </c>
      <c r="C264" s="576">
        <v>0</v>
      </c>
    </row>
    <row r="265" spans="1:3" hidden="1" outlineLevel="2" x14ac:dyDescent="0.25">
      <c r="A265" s="574" t="s">
        <v>1691</v>
      </c>
      <c r="B265" s="576">
        <v>47500</v>
      </c>
      <c r="C265" s="576">
        <v>0</v>
      </c>
    </row>
    <row r="266" spans="1:3" hidden="1" outlineLevel="2" x14ac:dyDescent="0.25">
      <c r="A266" s="574" t="s">
        <v>1691</v>
      </c>
      <c r="B266" s="576">
        <v>217500</v>
      </c>
      <c r="C266" s="576">
        <v>0</v>
      </c>
    </row>
    <row r="267" spans="1:3" hidden="1" outlineLevel="2" x14ac:dyDescent="0.25">
      <c r="A267" s="574" t="s">
        <v>1691</v>
      </c>
      <c r="B267" s="576">
        <v>179280</v>
      </c>
      <c r="C267" s="576">
        <v>0</v>
      </c>
    </row>
    <row r="268" spans="1:3" hidden="1" outlineLevel="2" x14ac:dyDescent="0.25">
      <c r="A268" s="574" t="s">
        <v>1691</v>
      </c>
      <c r="B268" s="576">
        <v>46000</v>
      </c>
      <c r="C268" s="576">
        <v>0</v>
      </c>
    </row>
    <row r="269" spans="1:3" hidden="1" outlineLevel="2" x14ac:dyDescent="0.25">
      <c r="A269" s="574" t="s">
        <v>1691</v>
      </c>
      <c r="B269" s="576">
        <v>28000</v>
      </c>
      <c r="C269" s="576">
        <v>0</v>
      </c>
    </row>
    <row r="270" spans="1:3" hidden="1" outlineLevel="2" x14ac:dyDescent="0.25">
      <c r="A270" s="574" t="s">
        <v>1691</v>
      </c>
      <c r="B270" s="576">
        <v>258100</v>
      </c>
      <c r="C270" s="576">
        <v>0</v>
      </c>
    </row>
    <row r="271" spans="1:3" hidden="1" outlineLevel="2" x14ac:dyDescent="0.25">
      <c r="A271" s="574" t="s">
        <v>1691</v>
      </c>
      <c r="B271" s="576">
        <v>237000</v>
      </c>
      <c r="C271" s="576">
        <v>0</v>
      </c>
    </row>
    <row r="272" spans="1:3" hidden="1" outlineLevel="2" x14ac:dyDescent="0.25">
      <c r="A272" s="574" t="s">
        <v>1691</v>
      </c>
      <c r="B272" s="576">
        <v>257500</v>
      </c>
      <c r="C272" s="576">
        <v>0</v>
      </c>
    </row>
    <row r="273" spans="1:3" hidden="1" outlineLevel="2" x14ac:dyDescent="0.25">
      <c r="A273" s="574" t="s">
        <v>1691</v>
      </c>
      <c r="B273" s="576">
        <v>100000</v>
      </c>
      <c r="C273" s="576">
        <v>0</v>
      </c>
    </row>
    <row r="274" spans="1:3" hidden="1" outlineLevel="2" x14ac:dyDescent="0.25">
      <c r="A274" s="574" t="s">
        <v>1691</v>
      </c>
      <c r="B274" s="576">
        <v>97500</v>
      </c>
      <c r="C274" s="576">
        <v>0</v>
      </c>
    </row>
    <row r="275" spans="1:3" hidden="1" outlineLevel="2" x14ac:dyDescent="0.25">
      <c r="A275" s="574" t="s">
        <v>1691</v>
      </c>
      <c r="B275" s="576">
        <v>157500</v>
      </c>
      <c r="C275" s="576">
        <v>0</v>
      </c>
    </row>
    <row r="276" spans="1:3" hidden="1" outlineLevel="2" x14ac:dyDescent="0.25">
      <c r="A276" s="574" t="s">
        <v>1691</v>
      </c>
      <c r="B276" s="576">
        <v>119000</v>
      </c>
      <c r="C276" s="576">
        <v>0</v>
      </c>
    </row>
    <row r="277" spans="1:3" hidden="1" outlineLevel="2" x14ac:dyDescent="0.25">
      <c r="A277" s="574" t="s">
        <v>1691</v>
      </c>
      <c r="B277" s="576">
        <v>3120</v>
      </c>
      <c r="C277" s="576">
        <v>0</v>
      </c>
    </row>
    <row r="278" spans="1:3" hidden="1" outlineLevel="2" x14ac:dyDescent="0.25">
      <c r="A278" s="574" t="s">
        <v>1691</v>
      </c>
      <c r="B278" s="576">
        <v>250000</v>
      </c>
      <c r="C278" s="576">
        <v>0</v>
      </c>
    </row>
    <row r="279" spans="1:3" hidden="1" outlineLevel="2" x14ac:dyDescent="0.25">
      <c r="A279" s="574" t="s">
        <v>1691</v>
      </c>
      <c r="B279" s="576">
        <v>139670</v>
      </c>
      <c r="C279" s="576">
        <v>0</v>
      </c>
    </row>
    <row r="280" spans="1:3" outlineLevel="1" collapsed="1" x14ac:dyDescent="0.25">
      <c r="A280" s="580" t="s">
        <v>3680</v>
      </c>
      <c r="B280" s="576">
        <f>SUBTOTAL(9,B194:B279)</f>
        <v>12662324.5</v>
      </c>
      <c r="C280" s="576"/>
    </row>
    <row r="281" spans="1:3" hidden="1" outlineLevel="2" x14ac:dyDescent="0.25">
      <c r="A281" s="574" t="s">
        <v>2949</v>
      </c>
      <c r="B281" s="576">
        <v>6938.4</v>
      </c>
      <c r="C281" s="576">
        <v>0</v>
      </c>
    </row>
    <row r="282" spans="1:3" hidden="1" outlineLevel="2" x14ac:dyDescent="0.25">
      <c r="A282" s="574" t="s">
        <v>2949</v>
      </c>
      <c r="B282" s="576">
        <v>10797</v>
      </c>
      <c r="C282" s="576">
        <v>0</v>
      </c>
    </row>
    <row r="283" spans="1:3" hidden="1" outlineLevel="2" x14ac:dyDescent="0.25">
      <c r="A283" s="574" t="s">
        <v>2949</v>
      </c>
      <c r="B283" s="576">
        <v>4165.3999999999996</v>
      </c>
      <c r="C283" s="576">
        <v>0</v>
      </c>
    </row>
    <row r="284" spans="1:3" hidden="1" outlineLevel="2" x14ac:dyDescent="0.25">
      <c r="A284" s="574" t="s">
        <v>2949</v>
      </c>
      <c r="B284" s="576">
        <v>5097.6000000000004</v>
      </c>
      <c r="C284" s="576">
        <v>0</v>
      </c>
    </row>
    <row r="285" spans="1:3" hidden="1" outlineLevel="2" x14ac:dyDescent="0.25">
      <c r="A285" s="574" t="s">
        <v>2949</v>
      </c>
      <c r="B285" s="576">
        <v>531</v>
      </c>
      <c r="C285" s="576">
        <v>0</v>
      </c>
    </row>
    <row r="286" spans="1:3" hidden="1" outlineLevel="2" x14ac:dyDescent="0.25">
      <c r="A286" s="574" t="s">
        <v>2949</v>
      </c>
      <c r="B286" s="576">
        <v>307620.09999999998</v>
      </c>
      <c r="C286" s="576">
        <v>0</v>
      </c>
    </row>
    <row r="287" spans="1:3" hidden="1" outlineLevel="2" x14ac:dyDescent="0.25">
      <c r="A287" s="574" t="s">
        <v>2949</v>
      </c>
      <c r="B287" s="576">
        <v>7537.84</v>
      </c>
      <c r="C287" s="576">
        <v>0</v>
      </c>
    </row>
    <row r="288" spans="1:3" hidden="1" outlineLevel="2" x14ac:dyDescent="0.25">
      <c r="A288" s="574" t="s">
        <v>2949</v>
      </c>
      <c r="B288" s="576">
        <v>12036</v>
      </c>
      <c r="C288" s="576">
        <v>0</v>
      </c>
    </row>
    <row r="289" spans="1:3" hidden="1" outlineLevel="2" x14ac:dyDescent="0.25">
      <c r="A289" s="574" t="s">
        <v>2949</v>
      </c>
      <c r="B289" s="576">
        <v>163281.62</v>
      </c>
      <c r="C289" s="576">
        <v>0</v>
      </c>
    </row>
    <row r="290" spans="1:3" hidden="1" outlineLevel="2" x14ac:dyDescent="0.25">
      <c r="A290" s="574" t="s">
        <v>2949</v>
      </c>
      <c r="B290" s="576">
        <v>141600</v>
      </c>
      <c r="C290" s="576">
        <v>0</v>
      </c>
    </row>
    <row r="291" spans="1:3" outlineLevel="1" collapsed="1" x14ac:dyDescent="0.25">
      <c r="A291" s="580" t="s">
        <v>3681</v>
      </c>
      <c r="B291" s="576">
        <f>SUBTOTAL(9,B281:B290)</f>
        <v>659604.96</v>
      </c>
      <c r="C291" s="576"/>
    </row>
    <row r="292" spans="1:3" hidden="1" outlineLevel="2" x14ac:dyDescent="0.25">
      <c r="A292" s="574" t="s">
        <v>2954</v>
      </c>
      <c r="B292" s="576">
        <v>25358.2</v>
      </c>
      <c r="C292" s="576">
        <v>0</v>
      </c>
    </row>
    <row r="293" spans="1:3" hidden="1" outlineLevel="2" x14ac:dyDescent="0.25">
      <c r="A293" s="574" t="s">
        <v>2954</v>
      </c>
      <c r="B293" s="576">
        <v>67142</v>
      </c>
      <c r="C293" s="576">
        <v>0</v>
      </c>
    </row>
    <row r="294" spans="1:3" hidden="1" outlineLevel="2" x14ac:dyDescent="0.25">
      <c r="A294" s="574" t="s">
        <v>2954</v>
      </c>
      <c r="B294" s="576">
        <v>41949</v>
      </c>
      <c r="C294" s="576">
        <v>0</v>
      </c>
    </row>
    <row r="295" spans="1:3" hidden="1" outlineLevel="2" x14ac:dyDescent="0.25">
      <c r="A295" s="574" t="s">
        <v>2954</v>
      </c>
      <c r="B295" s="576">
        <v>15245.6</v>
      </c>
      <c r="C295" s="576">
        <v>0</v>
      </c>
    </row>
    <row r="296" spans="1:3" hidden="1" outlineLevel="2" x14ac:dyDescent="0.25">
      <c r="A296" s="574" t="s">
        <v>2954</v>
      </c>
      <c r="B296" s="576">
        <v>100814.48</v>
      </c>
      <c r="C296" s="576">
        <v>0</v>
      </c>
    </row>
    <row r="297" spans="1:3" hidden="1" outlineLevel="2" x14ac:dyDescent="0.25">
      <c r="A297" s="574" t="s">
        <v>2954</v>
      </c>
      <c r="B297" s="576">
        <v>1929.3</v>
      </c>
      <c r="C297" s="576">
        <v>0</v>
      </c>
    </row>
    <row r="298" spans="1:3" hidden="1" outlineLevel="2" x14ac:dyDescent="0.25">
      <c r="A298" s="574" t="s">
        <v>2954</v>
      </c>
      <c r="B298" s="576">
        <v>134343</v>
      </c>
      <c r="C298" s="576">
        <v>0</v>
      </c>
    </row>
    <row r="299" spans="1:3" hidden="1" outlineLevel="2" x14ac:dyDescent="0.25">
      <c r="A299" s="574" t="s">
        <v>2954</v>
      </c>
      <c r="B299" s="576">
        <v>78173.820000000007</v>
      </c>
      <c r="C299" s="576">
        <v>0</v>
      </c>
    </row>
    <row r="300" spans="1:3" outlineLevel="1" collapsed="1" x14ac:dyDescent="0.25">
      <c r="A300" s="580" t="s">
        <v>3682</v>
      </c>
      <c r="B300" s="576">
        <f>SUBTOTAL(9,B292:B299)</f>
        <v>464955.4</v>
      </c>
      <c r="C300" s="576"/>
    </row>
    <row r="301" spans="1:3" hidden="1" outlineLevel="2" x14ac:dyDescent="0.25">
      <c r="A301" s="574" t="s">
        <v>1692</v>
      </c>
      <c r="B301" s="576">
        <v>827535.72</v>
      </c>
      <c r="C301" s="576">
        <v>0</v>
      </c>
    </row>
    <row r="302" spans="1:3" hidden="1" outlineLevel="2" x14ac:dyDescent="0.25">
      <c r="A302" s="574" t="s">
        <v>1692</v>
      </c>
      <c r="B302" s="576">
        <v>374226.46</v>
      </c>
      <c r="C302" s="576">
        <v>0</v>
      </c>
    </row>
    <row r="303" spans="1:3" hidden="1" outlineLevel="2" x14ac:dyDescent="0.25">
      <c r="A303" s="574" t="s">
        <v>1692</v>
      </c>
      <c r="B303" s="576">
        <v>361422.2</v>
      </c>
      <c r="C303" s="576">
        <v>0</v>
      </c>
    </row>
    <row r="304" spans="1:3" hidden="1" outlineLevel="2" x14ac:dyDescent="0.25">
      <c r="A304" s="574" t="s">
        <v>1692</v>
      </c>
      <c r="B304" s="576">
        <v>664800</v>
      </c>
      <c r="C304" s="576">
        <v>0</v>
      </c>
    </row>
    <row r="305" spans="1:3" hidden="1" outlineLevel="2" x14ac:dyDescent="0.25">
      <c r="A305" s="574" t="s">
        <v>1692</v>
      </c>
      <c r="B305" s="576">
        <v>1387311.78</v>
      </c>
      <c r="C305" s="576">
        <v>0</v>
      </c>
    </row>
    <row r="306" spans="1:3" hidden="1" outlineLevel="2" x14ac:dyDescent="0.25">
      <c r="A306" s="574" t="s">
        <v>1692</v>
      </c>
      <c r="B306" s="576">
        <v>8400</v>
      </c>
      <c r="C306" s="576">
        <v>0</v>
      </c>
    </row>
    <row r="307" spans="1:3" hidden="1" outlineLevel="2" x14ac:dyDescent="0.25">
      <c r="A307" s="574" t="s">
        <v>1692</v>
      </c>
      <c r="B307" s="576">
        <v>114170</v>
      </c>
      <c r="C307" s="576">
        <v>0</v>
      </c>
    </row>
    <row r="308" spans="1:3" hidden="1" outlineLevel="2" x14ac:dyDescent="0.25">
      <c r="A308" s="574" t="s">
        <v>1692</v>
      </c>
      <c r="B308" s="576">
        <v>183318.36</v>
      </c>
      <c r="C308" s="576">
        <v>0</v>
      </c>
    </row>
    <row r="309" spans="1:3" hidden="1" outlineLevel="2" x14ac:dyDescent="0.25">
      <c r="A309" s="574" t="s">
        <v>1692</v>
      </c>
      <c r="B309" s="576">
        <v>8750</v>
      </c>
      <c r="C309" s="576">
        <v>0</v>
      </c>
    </row>
    <row r="310" spans="1:3" hidden="1" outlineLevel="2" x14ac:dyDescent="0.25">
      <c r="A310" s="574" t="s">
        <v>1692</v>
      </c>
      <c r="B310" s="576">
        <v>9900</v>
      </c>
      <c r="C310" s="576">
        <v>0</v>
      </c>
    </row>
    <row r="311" spans="1:3" hidden="1" outlineLevel="2" x14ac:dyDescent="0.25">
      <c r="A311" s="574" t="s">
        <v>1692</v>
      </c>
      <c r="B311" s="576">
        <v>147000</v>
      </c>
      <c r="C311" s="576">
        <v>0</v>
      </c>
    </row>
    <row r="312" spans="1:3" hidden="1" outlineLevel="2" x14ac:dyDescent="0.25">
      <c r="A312" s="574" t="s">
        <v>1692</v>
      </c>
      <c r="B312" s="576">
        <v>683019</v>
      </c>
      <c r="C312" s="576">
        <v>0</v>
      </c>
    </row>
    <row r="313" spans="1:3" hidden="1" outlineLevel="2" x14ac:dyDescent="0.25">
      <c r="A313" s="574" t="s">
        <v>1692</v>
      </c>
      <c r="B313" s="576">
        <v>304806.3</v>
      </c>
      <c r="C313" s="576">
        <v>0</v>
      </c>
    </row>
    <row r="314" spans="1:3" hidden="1" outlineLevel="2" x14ac:dyDescent="0.25">
      <c r="A314" s="574" t="s">
        <v>1692</v>
      </c>
      <c r="B314" s="576">
        <v>312011</v>
      </c>
      <c r="C314" s="576">
        <v>0</v>
      </c>
    </row>
    <row r="315" spans="1:3" hidden="1" outlineLevel="2" x14ac:dyDescent="0.25">
      <c r="A315" s="574" t="s">
        <v>1692</v>
      </c>
      <c r="B315" s="576">
        <v>249185.88</v>
      </c>
      <c r="C315" s="576">
        <v>0</v>
      </c>
    </row>
    <row r="316" spans="1:3" hidden="1" outlineLevel="2" x14ac:dyDescent="0.25">
      <c r="A316" s="574" t="s">
        <v>1692</v>
      </c>
      <c r="B316" s="576">
        <v>351123.22</v>
      </c>
      <c r="C316" s="576">
        <v>0</v>
      </c>
    </row>
    <row r="317" spans="1:3" hidden="1" outlineLevel="2" x14ac:dyDescent="0.25">
      <c r="A317" s="574" t="s">
        <v>1692</v>
      </c>
      <c r="B317" s="576">
        <v>95995</v>
      </c>
      <c r="C317" s="576">
        <v>0</v>
      </c>
    </row>
    <row r="318" spans="1:3" hidden="1" outlineLevel="2" x14ac:dyDescent="0.25">
      <c r="A318" s="574" t="s">
        <v>1692</v>
      </c>
      <c r="B318" s="576">
        <v>13409</v>
      </c>
      <c r="C318" s="576">
        <v>0</v>
      </c>
    </row>
    <row r="319" spans="1:3" hidden="1" outlineLevel="2" x14ac:dyDescent="0.25">
      <c r="A319" s="574" t="s">
        <v>1692</v>
      </c>
      <c r="B319" s="576">
        <v>40400</v>
      </c>
      <c r="C319" s="576">
        <v>0</v>
      </c>
    </row>
    <row r="320" spans="1:3" hidden="1" outlineLevel="2" x14ac:dyDescent="0.25">
      <c r="A320" s="574" t="s">
        <v>1692</v>
      </c>
      <c r="B320" s="576">
        <v>66805</v>
      </c>
      <c r="C320" s="576">
        <v>0</v>
      </c>
    </row>
    <row r="321" spans="1:3" hidden="1" outlineLevel="2" x14ac:dyDescent="0.25">
      <c r="A321" s="574" t="s">
        <v>1692</v>
      </c>
      <c r="B321" s="576">
        <v>787967</v>
      </c>
      <c r="C321" s="576">
        <v>0</v>
      </c>
    </row>
    <row r="322" spans="1:3" hidden="1" outlineLevel="2" x14ac:dyDescent="0.25">
      <c r="A322" s="574" t="s">
        <v>1692</v>
      </c>
      <c r="B322" s="576">
        <v>5568</v>
      </c>
      <c r="C322" s="576">
        <v>0</v>
      </c>
    </row>
    <row r="323" spans="1:3" hidden="1" outlineLevel="2" x14ac:dyDescent="0.25">
      <c r="A323" s="574" t="s">
        <v>1692</v>
      </c>
      <c r="B323" s="576">
        <v>167501</v>
      </c>
      <c r="C323" s="576">
        <v>0</v>
      </c>
    </row>
    <row r="324" spans="1:3" hidden="1" outlineLevel="2" x14ac:dyDescent="0.25">
      <c r="A324" s="574" t="s">
        <v>1692</v>
      </c>
      <c r="B324" s="576">
        <v>72000</v>
      </c>
      <c r="C324" s="576">
        <v>0</v>
      </c>
    </row>
    <row r="325" spans="1:3" hidden="1" outlineLevel="2" x14ac:dyDescent="0.25">
      <c r="A325" s="574" t="s">
        <v>1692</v>
      </c>
      <c r="B325" s="576">
        <v>13117</v>
      </c>
      <c r="C325" s="576">
        <v>0</v>
      </c>
    </row>
    <row r="326" spans="1:3" hidden="1" outlineLevel="2" x14ac:dyDescent="0.25">
      <c r="A326" s="574" t="s">
        <v>1692</v>
      </c>
      <c r="B326" s="576">
        <v>85951.2</v>
      </c>
      <c r="C326" s="576">
        <v>0</v>
      </c>
    </row>
    <row r="327" spans="1:3" hidden="1" outlineLevel="2" x14ac:dyDescent="0.25">
      <c r="A327" s="574" t="s">
        <v>1692</v>
      </c>
      <c r="B327" s="576">
        <v>6513.6</v>
      </c>
      <c r="C327" s="576">
        <v>0</v>
      </c>
    </row>
    <row r="328" spans="1:3" hidden="1" outlineLevel="2" x14ac:dyDescent="0.25">
      <c r="A328" s="574" t="s">
        <v>1692</v>
      </c>
      <c r="B328" s="576">
        <v>365350</v>
      </c>
      <c r="C328" s="576">
        <v>0</v>
      </c>
    </row>
    <row r="329" spans="1:3" hidden="1" outlineLevel="2" x14ac:dyDescent="0.25">
      <c r="A329" s="574" t="s">
        <v>1692</v>
      </c>
      <c r="B329" s="576">
        <v>18409.41</v>
      </c>
      <c r="C329" s="576">
        <v>0</v>
      </c>
    </row>
    <row r="330" spans="1:3" hidden="1" outlineLevel="2" x14ac:dyDescent="0.25">
      <c r="A330" s="574" t="s">
        <v>1692</v>
      </c>
      <c r="B330" s="576">
        <v>21280</v>
      </c>
      <c r="C330" s="576">
        <v>0</v>
      </c>
    </row>
    <row r="331" spans="1:3" hidden="1" outlineLevel="2" x14ac:dyDescent="0.25">
      <c r="A331" s="574" t="s">
        <v>1692</v>
      </c>
      <c r="B331" s="576">
        <v>-21280</v>
      </c>
      <c r="C331" s="576">
        <v>0</v>
      </c>
    </row>
    <row r="332" spans="1:3" hidden="1" outlineLevel="2" x14ac:dyDescent="0.25">
      <c r="A332" s="574" t="s">
        <v>1692</v>
      </c>
      <c r="B332" s="576">
        <v>21280</v>
      </c>
      <c r="C332" s="576">
        <v>0</v>
      </c>
    </row>
    <row r="333" spans="1:3" hidden="1" outlineLevel="2" x14ac:dyDescent="0.25">
      <c r="A333" s="574" t="s">
        <v>1692</v>
      </c>
      <c r="B333" s="576">
        <v>98000</v>
      </c>
      <c r="C333" s="576">
        <v>0</v>
      </c>
    </row>
    <row r="334" spans="1:3" hidden="1" outlineLevel="2" x14ac:dyDescent="0.25">
      <c r="A334" s="574" t="s">
        <v>1692</v>
      </c>
      <c r="B334" s="576">
        <v>140800</v>
      </c>
      <c r="C334" s="576">
        <v>0</v>
      </c>
    </row>
    <row r="335" spans="1:3" hidden="1" outlineLevel="2" x14ac:dyDescent="0.25">
      <c r="A335" s="574" t="s">
        <v>1692</v>
      </c>
      <c r="B335" s="576">
        <v>60232</v>
      </c>
      <c r="C335" s="576">
        <v>0</v>
      </c>
    </row>
    <row r="336" spans="1:3" hidden="1" outlineLevel="2" x14ac:dyDescent="0.25">
      <c r="A336" s="574" t="s">
        <v>1692</v>
      </c>
      <c r="B336" s="576">
        <v>7018694.7599999998</v>
      </c>
      <c r="C336" s="576">
        <v>0</v>
      </c>
    </row>
    <row r="337" spans="1:3" hidden="1" outlineLevel="2" x14ac:dyDescent="0.25">
      <c r="A337" s="574" t="s">
        <v>1692</v>
      </c>
      <c r="B337" s="576">
        <v>228000</v>
      </c>
      <c r="C337" s="576">
        <v>0</v>
      </c>
    </row>
    <row r="338" spans="1:3" hidden="1" outlineLevel="2" x14ac:dyDescent="0.25">
      <c r="A338" s="574" t="s">
        <v>1692</v>
      </c>
      <c r="B338" s="576">
        <v>7020</v>
      </c>
      <c r="C338" s="576">
        <v>0</v>
      </c>
    </row>
    <row r="339" spans="1:3" hidden="1" outlineLevel="2" x14ac:dyDescent="0.25">
      <c r="A339" s="574" t="s">
        <v>1692</v>
      </c>
      <c r="B339" s="576">
        <v>184000</v>
      </c>
      <c r="C339" s="576">
        <v>0</v>
      </c>
    </row>
    <row r="340" spans="1:3" hidden="1" outlineLevel="2" x14ac:dyDescent="0.25">
      <c r="A340" s="574" t="s">
        <v>1692</v>
      </c>
      <c r="B340" s="576">
        <v>90392.72</v>
      </c>
      <c r="C340" s="576">
        <v>0</v>
      </c>
    </row>
    <row r="341" spans="1:3" hidden="1" outlineLevel="2" x14ac:dyDescent="0.25">
      <c r="A341" s="574" t="s">
        <v>1692</v>
      </c>
      <c r="B341" s="576">
        <v>376954.54</v>
      </c>
      <c r="C341" s="576">
        <v>0</v>
      </c>
    </row>
    <row r="342" spans="1:3" hidden="1" outlineLevel="2" x14ac:dyDescent="0.25">
      <c r="A342" s="574" t="s">
        <v>1692</v>
      </c>
      <c r="B342" s="576">
        <v>110250</v>
      </c>
      <c r="C342" s="576">
        <v>0</v>
      </c>
    </row>
    <row r="343" spans="1:3" hidden="1" outlineLevel="2" x14ac:dyDescent="0.25">
      <c r="A343" s="574" t="s">
        <v>1692</v>
      </c>
      <c r="B343" s="576">
        <v>125000</v>
      </c>
      <c r="C343" s="576">
        <v>0</v>
      </c>
    </row>
    <row r="344" spans="1:3" hidden="1" outlineLevel="2" x14ac:dyDescent="0.25">
      <c r="A344" s="574" t="s">
        <v>1692</v>
      </c>
      <c r="B344" s="576">
        <v>8800</v>
      </c>
      <c r="C344" s="576">
        <v>0</v>
      </c>
    </row>
    <row r="345" spans="1:3" hidden="1" outlineLevel="2" x14ac:dyDescent="0.25">
      <c r="A345" s="574" t="s">
        <v>1692</v>
      </c>
      <c r="B345" s="576">
        <v>8850</v>
      </c>
      <c r="C345" s="576">
        <v>0</v>
      </c>
    </row>
    <row r="346" spans="1:3" hidden="1" outlineLevel="2" x14ac:dyDescent="0.25">
      <c r="A346" s="574" t="s">
        <v>1692</v>
      </c>
      <c r="B346" s="576">
        <v>15458</v>
      </c>
      <c r="C346" s="576">
        <v>0</v>
      </c>
    </row>
    <row r="347" spans="1:3" hidden="1" outlineLevel="2" x14ac:dyDescent="0.25">
      <c r="A347" s="574" t="s">
        <v>1692</v>
      </c>
      <c r="B347" s="576">
        <v>33007</v>
      </c>
      <c r="C347" s="576">
        <v>0</v>
      </c>
    </row>
    <row r="348" spans="1:3" hidden="1" outlineLevel="2" x14ac:dyDescent="0.25">
      <c r="A348" s="574" t="s">
        <v>1692</v>
      </c>
      <c r="B348" s="576">
        <v>43070</v>
      </c>
      <c r="C348" s="576">
        <v>0</v>
      </c>
    </row>
    <row r="349" spans="1:3" hidden="1" outlineLevel="2" x14ac:dyDescent="0.25">
      <c r="A349" s="574" t="s">
        <v>1692</v>
      </c>
      <c r="B349" s="576">
        <v>42300</v>
      </c>
      <c r="C349" s="576">
        <v>0</v>
      </c>
    </row>
    <row r="350" spans="1:3" hidden="1" outlineLevel="2" x14ac:dyDescent="0.25">
      <c r="A350" s="574" t="s">
        <v>1692</v>
      </c>
      <c r="B350" s="576">
        <v>225000</v>
      </c>
      <c r="C350" s="576">
        <v>0</v>
      </c>
    </row>
    <row r="351" spans="1:3" hidden="1" outlineLevel="2" x14ac:dyDescent="0.25">
      <c r="A351" s="574" t="s">
        <v>1692</v>
      </c>
      <c r="B351" s="576">
        <v>20930.25</v>
      </c>
      <c r="C351" s="576">
        <v>0</v>
      </c>
    </row>
    <row r="352" spans="1:3" hidden="1" outlineLevel="2" x14ac:dyDescent="0.25">
      <c r="A352" s="574" t="s">
        <v>1692</v>
      </c>
      <c r="B352" s="576">
        <v>75651</v>
      </c>
      <c r="C352" s="576">
        <v>0</v>
      </c>
    </row>
    <row r="353" spans="1:3" hidden="1" outlineLevel="2" x14ac:dyDescent="0.25">
      <c r="A353" s="574" t="s">
        <v>1692</v>
      </c>
      <c r="B353" s="576">
        <v>10080</v>
      </c>
      <c r="C353" s="576">
        <v>0</v>
      </c>
    </row>
    <row r="354" spans="1:3" hidden="1" outlineLevel="2" x14ac:dyDescent="0.25">
      <c r="A354" s="574" t="s">
        <v>1692</v>
      </c>
      <c r="B354" s="576">
        <v>8850</v>
      </c>
      <c r="C354" s="576">
        <v>0</v>
      </c>
    </row>
    <row r="355" spans="1:3" hidden="1" outlineLevel="2" x14ac:dyDescent="0.25">
      <c r="A355" s="574" t="s">
        <v>1692</v>
      </c>
      <c r="B355" s="576">
        <v>1495</v>
      </c>
      <c r="C355" s="576">
        <v>0</v>
      </c>
    </row>
    <row r="356" spans="1:3" hidden="1" outlineLevel="2" x14ac:dyDescent="0.25">
      <c r="A356" s="574" t="s">
        <v>1692</v>
      </c>
      <c r="B356" s="576">
        <v>1819970.39</v>
      </c>
      <c r="C356" s="576">
        <v>0</v>
      </c>
    </row>
    <row r="357" spans="1:3" hidden="1" outlineLevel="2" x14ac:dyDescent="0.25">
      <c r="A357" s="574" t="s">
        <v>1692</v>
      </c>
      <c r="B357" s="576">
        <v>76000</v>
      </c>
      <c r="C357" s="576">
        <v>0</v>
      </c>
    </row>
    <row r="358" spans="1:3" hidden="1" outlineLevel="2" x14ac:dyDescent="0.25">
      <c r="A358" s="574" t="s">
        <v>1692</v>
      </c>
      <c r="B358" s="576">
        <v>7600</v>
      </c>
      <c r="C358" s="576">
        <v>0</v>
      </c>
    </row>
    <row r="359" spans="1:3" outlineLevel="1" collapsed="1" x14ac:dyDescent="0.25">
      <c r="A359" s="580" t="s">
        <v>3683</v>
      </c>
      <c r="B359" s="576">
        <f>SUBTOTAL(9,B301:B358)</f>
        <v>18583651.789999999</v>
      </c>
      <c r="C359" s="576"/>
    </row>
    <row r="360" spans="1:3" hidden="1" outlineLevel="2" x14ac:dyDescent="0.25">
      <c r="A360" s="574" t="s">
        <v>1693</v>
      </c>
      <c r="B360" s="576">
        <v>227150</v>
      </c>
      <c r="C360" s="576">
        <v>0</v>
      </c>
    </row>
    <row r="361" spans="1:3" hidden="1" outlineLevel="2" x14ac:dyDescent="0.25">
      <c r="A361" s="574" t="s">
        <v>1693</v>
      </c>
      <c r="B361" s="576">
        <v>185850</v>
      </c>
      <c r="C361" s="576">
        <v>0</v>
      </c>
    </row>
    <row r="362" spans="1:3" hidden="1" outlineLevel="2" x14ac:dyDescent="0.25">
      <c r="A362" s="574" t="s">
        <v>1693</v>
      </c>
      <c r="B362" s="576">
        <v>45689.599999999999</v>
      </c>
      <c r="C362" s="576">
        <v>0</v>
      </c>
    </row>
    <row r="363" spans="1:3" hidden="1" outlineLevel="2" x14ac:dyDescent="0.25">
      <c r="A363" s="574" t="s">
        <v>1693</v>
      </c>
      <c r="B363" s="576">
        <v>19769.72</v>
      </c>
      <c r="C363" s="576">
        <v>0</v>
      </c>
    </row>
    <row r="364" spans="1:3" hidden="1" outlineLevel="2" x14ac:dyDescent="0.25">
      <c r="A364" s="574" t="s">
        <v>1693</v>
      </c>
      <c r="B364" s="576">
        <v>180600</v>
      </c>
      <c r="C364" s="576">
        <v>0</v>
      </c>
    </row>
    <row r="365" spans="1:3" hidden="1" outlineLevel="2" x14ac:dyDescent="0.25">
      <c r="A365" s="574" t="s">
        <v>1693</v>
      </c>
      <c r="B365" s="576">
        <v>202488</v>
      </c>
      <c r="C365" s="576">
        <v>0</v>
      </c>
    </row>
    <row r="366" spans="1:3" hidden="1" outlineLevel="2" x14ac:dyDescent="0.25">
      <c r="A366" s="574" t="s">
        <v>1693</v>
      </c>
      <c r="B366" s="576">
        <v>247092</v>
      </c>
      <c r="C366" s="576">
        <v>0</v>
      </c>
    </row>
    <row r="367" spans="1:3" hidden="1" outlineLevel="2" x14ac:dyDescent="0.25">
      <c r="A367" s="574" t="s">
        <v>1693</v>
      </c>
      <c r="B367" s="576">
        <v>212400</v>
      </c>
      <c r="C367" s="576">
        <v>0</v>
      </c>
    </row>
    <row r="368" spans="1:3" hidden="1" outlineLevel="2" x14ac:dyDescent="0.25">
      <c r="A368" s="574" t="s">
        <v>1693</v>
      </c>
      <c r="B368" s="576">
        <v>5015</v>
      </c>
      <c r="C368" s="576">
        <v>0</v>
      </c>
    </row>
    <row r="369" spans="1:3" hidden="1" outlineLevel="2" x14ac:dyDescent="0.25">
      <c r="A369" s="574" t="s">
        <v>1693</v>
      </c>
      <c r="B369" s="576">
        <v>41808.58</v>
      </c>
      <c r="C369" s="576">
        <v>0</v>
      </c>
    </row>
    <row r="370" spans="1:3" hidden="1" outlineLevel="2" x14ac:dyDescent="0.25">
      <c r="A370" s="574" t="s">
        <v>1693</v>
      </c>
      <c r="B370" s="576">
        <v>182900</v>
      </c>
      <c r="C370" s="576">
        <v>0</v>
      </c>
    </row>
    <row r="371" spans="1:3" hidden="1" outlineLevel="2" x14ac:dyDescent="0.25">
      <c r="A371" s="574" t="s">
        <v>1693</v>
      </c>
      <c r="B371" s="576">
        <v>64900</v>
      </c>
      <c r="C371" s="576">
        <v>0</v>
      </c>
    </row>
    <row r="372" spans="1:3" hidden="1" outlineLevel="2" x14ac:dyDescent="0.25">
      <c r="A372" s="574" t="s">
        <v>1693</v>
      </c>
      <c r="B372" s="576">
        <v>39648</v>
      </c>
      <c r="C372" s="576">
        <v>0</v>
      </c>
    </row>
    <row r="373" spans="1:3" hidden="1" outlineLevel="2" x14ac:dyDescent="0.25">
      <c r="A373" s="574" t="s">
        <v>1693</v>
      </c>
      <c r="B373" s="576">
        <v>177000</v>
      </c>
      <c r="C373" s="576">
        <v>0</v>
      </c>
    </row>
    <row r="374" spans="1:3" hidden="1" outlineLevel="2" x14ac:dyDescent="0.25">
      <c r="A374" s="574" t="s">
        <v>1693</v>
      </c>
      <c r="B374" s="576">
        <v>234230</v>
      </c>
      <c r="C374" s="576">
        <v>0</v>
      </c>
    </row>
    <row r="375" spans="1:3" hidden="1" outlineLevel="2" x14ac:dyDescent="0.25">
      <c r="A375" s="574" t="s">
        <v>1693</v>
      </c>
      <c r="B375" s="576">
        <v>1267200</v>
      </c>
      <c r="C375" s="576">
        <v>0</v>
      </c>
    </row>
    <row r="376" spans="1:3" hidden="1" outlineLevel="2" x14ac:dyDescent="0.25">
      <c r="A376" s="574" t="s">
        <v>1693</v>
      </c>
      <c r="B376" s="576">
        <v>-1267200</v>
      </c>
      <c r="C376" s="576">
        <v>0</v>
      </c>
    </row>
    <row r="377" spans="1:3" hidden="1" outlineLevel="2" x14ac:dyDescent="0.25">
      <c r="A377" s="574" t="s">
        <v>1693</v>
      </c>
      <c r="B377" s="576">
        <v>75166.8</v>
      </c>
      <c r="C377" s="576">
        <v>0</v>
      </c>
    </row>
    <row r="378" spans="1:3" hidden="1" outlineLevel="2" x14ac:dyDescent="0.25">
      <c r="A378" s="574" t="s">
        <v>1693</v>
      </c>
      <c r="B378" s="576">
        <v>29087</v>
      </c>
      <c r="C378" s="576">
        <v>0</v>
      </c>
    </row>
    <row r="379" spans="1:3" hidden="1" outlineLevel="2" x14ac:dyDescent="0.25">
      <c r="A379" s="574" t="s">
        <v>1693</v>
      </c>
      <c r="B379" s="576">
        <v>2000</v>
      </c>
      <c r="C379" s="576">
        <v>0</v>
      </c>
    </row>
    <row r="380" spans="1:3" hidden="1" outlineLevel="2" x14ac:dyDescent="0.25">
      <c r="A380" s="574" t="s">
        <v>1693</v>
      </c>
      <c r="B380" s="576">
        <v>42500</v>
      </c>
      <c r="C380" s="576">
        <v>0</v>
      </c>
    </row>
    <row r="381" spans="1:3" hidden="1" outlineLevel="2" x14ac:dyDescent="0.25">
      <c r="A381" s="574" t="s">
        <v>1693</v>
      </c>
      <c r="B381" s="576">
        <v>1267200</v>
      </c>
      <c r="C381" s="576">
        <v>0</v>
      </c>
    </row>
    <row r="382" spans="1:3" hidden="1" outlineLevel="2" x14ac:dyDescent="0.25">
      <c r="A382" s="574" t="s">
        <v>1693</v>
      </c>
      <c r="B382" s="576">
        <v>1353342</v>
      </c>
      <c r="C382" s="576">
        <v>0</v>
      </c>
    </row>
    <row r="383" spans="1:3" hidden="1" outlineLevel="2" x14ac:dyDescent="0.25">
      <c r="A383" s="574" t="s">
        <v>1693</v>
      </c>
      <c r="B383" s="576">
        <v>531590</v>
      </c>
      <c r="C383" s="576">
        <v>0</v>
      </c>
    </row>
    <row r="384" spans="1:3" hidden="1" outlineLevel="2" x14ac:dyDescent="0.25">
      <c r="A384" s="574" t="s">
        <v>1693</v>
      </c>
      <c r="B384" s="576">
        <v>13688</v>
      </c>
      <c r="C384" s="576">
        <v>0</v>
      </c>
    </row>
    <row r="385" spans="1:3" hidden="1" outlineLevel="2" x14ac:dyDescent="0.25">
      <c r="A385" s="574" t="s">
        <v>1693</v>
      </c>
      <c r="B385" s="576">
        <v>22694</v>
      </c>
      <c r="C385" s="576">
        <v>0</v>
      </c>
    </row>
    <row r="386" spans="1:3" hidden="1" outlineLevel="2" x14ac:dyDescent="0.25">
      <c r="A386" s="574" t="s">
        <v>1693</v>
      </c>
      <c r="B386" s="576">
        <v>57820</v>
      </c>
      <c r="C386" s="576">
        <v>0</v>
      </c>
    </row>
    <row r="387" spans="1:3" hidden="1" outlineLevel="2" x14ac:dyDescent="0.25">
      <c r="A387" s="574" t="s">
        <v>1693</v>
      </c>
      <c r="B387" s="576">
        <v>28320</v>
      </c>
      <c r="C387" s="576">
        <v>0</v>
      </c>
    </row>
    <row r="388" spans="1:3" hidden="1" outlineLevel="2" x14ac:dyDescent="0.25">
      <c r="A388" s="574" t="s">
        <v>1693</v>
      </c>
      <c r="B388" s="576">
        <v>49200.480000000003</v>
      </c>
      <c r="C388" s="576">
        <v>0</v>
      </c>
    </row>
    <row r="389" spans="1:3" hidden="1" outlineLevel="2" x14ac:dyDescent="0.25">
      <c r="A389" s="574" t="s">
        <v>1693</v>
      </c>
      <c r="B389" s="576">
        <v>25724</v>
      </c>
      <c r="C389" s="576">
        <v>0</v>
      </c>
    </row>
    <row r="390" spans="1:3" hidden="1" outlineLevel="2" x14ac:dyDescent="0.25">
      <c r="A390" s="574" t="s">
        <v>1693</v>
      </c>
      <c r="B390" s="576">
        <v>53117</v>
      </c>
      <c r="C390" s="576">
        <v>0</v>
      </c>
    </row>
    <row r="391" spans="1:3" hidden="1" outlineLevel="2" x14ac:dyDescent="0.25">
      <c r="A391" s="574" t="s">
        <v>1693</v>
      </c>
      <c r="B391" s="576">
        <v>3384.61</v>
      </c>
      <c r="C391" s="576">
        <v>0</v>
      </c>
    </row>
    <row r="392" spans="1:3" hidden="1" outlineLevel="2" x14ac:dyDescent="0.25">
      <c r="A392" s="574" t="s">
        <v>1693</v>
      </c>
      <c r="B392" s="576">
        <v>-3384.61</v>
      </c>
      <c r="C392" s="576">
        <v>0</v>
      </c>
    </row>
    <row r="393" spans="1:3" hidden="1" outlineLevel="2" x14ac:dyDescent="0.25">
      <c r="A393" s="574" t="s">
        <v>1693</v>
      </c>
      <c r="B393" s="576">
        <v>1911.6</v>
      </c>
      <c r="C393" s="576">
        <v>0</v>
      </c>
    </row>
    <row r="394" spans="1:3" hidden="1" outlineLevel="2" x14ac:dyDescent="0.25">
      <c r="A394" s="574" t="s">
        <v>1693</v>
      </c>
      <c r="B394" s="576">
        <v>5070.76</v>
      </c>
      <c r="C394" s="576">
        <v>0</v>
      </c>
    </row>
    <row r="395" spans="1:3" hidden="1" outlineLevel="2" x14ac:dyDescent="0.25">
      <c r="A395" s="574" t="s">
        <v>1693</v>
      </c>
      <c r="B395" s="576">
        <v>1686.15</v>
      </c>
      <c r="C395" s="576">
        <v>0</v>
      </c>
    </row>
    <row r="396" spans="1:3" hidden="1" outlineLevel="2" x14ac:dyDescent="0.25">
      <c r="A396" s="574" t="s">
        <v>1693</v>
      </c>
      <c r="B396" s="576">
        <v>2301</v>
      </c>
      <c r="C396" s="576">
        <v>0</v>
      </c>
    </row>
    <row r="397" spans="1:3" hidden="1" outlineLevel="2" x14ac:dyDescent="0.25">
      <c r="A397" s="574" t="s">
        <v>1693</v>
      </c>
      <c r="B397" s="576">
        <v>13452</v>
      </c>
      <c r="C397" s="576">
        <v>0</v>
      </c>
    </row>
    <row r="398" spans="1:3" hidden="1" outlineLevel="2" x14ac:dyDescent="0.25">
      <c r="A398" s="574" t="s">
        <v>1693</v>
      </c>
      <c r="B398" s="576">
        <v>1652000</v>
      </c>
      <c r="C398" s="576">
        <v>0</v>
      </c>
    </row>
    <row r="399" spans="1:3" hidden="1" outlineLevel="2" x14ac:dyDescent="0.25">
      <c r="A399" s="574" t="s">
        <v>1693</v>
      </c>
      <c r="B399" s="576">
        <v>1309.8</v>
      </c>
      <c r="C399" s="576">
        <v>0</v>
      </c>
    </row>
    <row r="400" spans="1:3" hidden="1" outlineLevel="2" x14ac:dyDescent="0.25">
      <c r="A400" s="574" t="s">
        <v>1693</v>
      </c>
      <c r="B400" s="576">
        <v>654.9</v>
      </c>
      <c r="C400" s="576">
        <v>0</v>
      </c>
    </row>
    <row r="401" spans="1:3" hidden="1" outlineLevel="2" x14ac:dyDescent="0.25">
      <c r="A401" s="574" t="s">
        <v>1693</v>
      </c>
      <c r="B401" s="576">
        <v>17683.48</v>
      </c>
      <c r="C401" s="576">
        <v>0</v>
      </c>
    </row>
    <row r="402" spans="1:3" hidden="1" outlineLevel="2" x14ac:dyDescent="0.25">
      <c r="A402" s="574" t="s">
        <v>1693</v>
      </c>
      <c r="B402" s="576">
        <v>123900</v>
      </c>
      <c r="C402" s="576">
        <v>0</v>
      </c>
    </row>
    <row r="403" spans="1:3" hidden="1" outlineLevel="2" x14ac:dyDescent="0.25">
      <c r="A403" s="574" t="s">
        <v>1693</v>
      </c>
      <c r="B403" s="576">
        <v>204140</v>
      </c>
      <c r="C403" s="576">
        <v>0</v>
      </c>
    </row>
    <row r="404" spans="1:3" hidden="1" outlineLevel="2" x14ac:dyDescent="0.25">
      <c r="A404" s="574" t="s">
        <v>1693</v>
      </c>
      <c r="B404" s="576">
        <v>46964</v>
      </c>
      <c r="C404" s="576">
        <v>0</v>
      </c>
    </row>
    <row r="405" spans="1:3" hidden="1" outlineLevel="2" x14ac:dyDescent="0.25">
      <c r="A405" s="574" t="s">
        <v>1693</v>
      </c>
      <c r="B405" s="576">
        <v>176779.1</v>
      </c>
      <c r="C405" s="576">
        <v>0</v>
      </c>
    </row>
    <row r="406" spans="1:3" hidden="1" outlineLevel="2" x14ac:dyDescent="0.25">
      <c r="A406" s="574" t="s">
        <v>1693</v>
      </c>
      <c r="B406" s="576">
        <v>115640</v>
      </c>
      <c r="C406" s="576">
        <v>0</v>
      </c>
    </row>
    <row r="407" spans="1:3" hidden="1" outlineLevel="2" x14ac:dyDescent="0.25">
      <c r="A407" s="574" t="s">
        <v>1693</v>
      </c>
      <c r="B407" s="576">
        <v>37760</v>
      </c>
      <c r="C407" s="576">
        <v>0</v>
      </c>
    </row>
    <row r="408" spans="1:3" hidden="1" outlineLevel="2" x14ac:dyDescent="0.25">
      <c r="A408" s="574" t="s">
        <v>1693</v>
      </c>
      <c r="B408" s="576">
        <v>44250</v>
      </c>
      <c r="C408" s="576">
        <v>0</v>
      </c>
    </row>
    <row r="409" spans="1:3" hidden="1" outlineLevel="2" x14ac:dyDescent="0.25">
      <c r="A409" s="574" t="s">
        <v>1693</v>
      </c>
      <c r="B409" s="576">
        <v>-44250</v>
      </c>
      <c r="C409" s="576">
        <v>0</v>
      </c>
    </row>
    <row r="410" spans="1:3" hidden="1" outlineLevel="2" x14ac:dyDescent="0.25">
      <c r="A410" s="574" t="s">
        <v>1693</v>
      </c>
      <c r="B410" s="576">
        <v>29526.84</v>
      </c>
      <c r="C410" s="576">
        <v>0</v>
      </c>
    </row>
    <row r="411" spans="1:3" hidden="1" outlineLevel="2" x14ac:dyDescent="0.25">
      <c r="A411" s="574" t="s">
        <v>1693</v>
      </c>
      <c r="B411" s="576">
        <v>31624</v>
      </c>
      <c r="C411" s="576">
        <v>0</v>
      </c>
    </row>
    <row r="412" spans="1:3" hidden="1" outlineLevel="2" x14ac:dyDescent="0.25">
      <c r="A412" s="574" t="s">
        <v>1693</v>
      </c>
      <c r="B412" s="576">
        <v>570648</v>
      </c>
      <c r="C412" s="576">
        <v>0</v>
      </c>
    </row>
    <row r="413" spans="1:3" hidden="1" outlineLevel="2" x14ac:dyDescent="0.25">
      <c r="A413" s="574" t="s">
        <v>1693</v>
      </c>
      <c r="B413" s="576">
        <v>925120</v>
      </c>
      <c r="C413" s="576">
        <v>0</v>
      </c>
    </row>
    <row r="414" spans="1:3" hidden="1" outlineLevel="2" x14ac:dyDescent="0.25">
      <c r="A414" s="574" t="s">
        <v>1693</v>
      </c>
      <c r="B414" s="576">
        <v>843200</v>
      </c>
      <c r="C414" s="576">
        <v>0</v>
      </c>
    </row>
    <row r="415" spans="1:3" hidden="1" outlineLevel="2" x14ac:dyDescent="0.25">
      <c r="A415" s="574" t="s">
        <v>1693</v>
      </c>
      <c r="B415" s="576">
        <v>-843200</v>
      </c>
      <c r="C415" s="576">
        <v>0</v>
      </c>
    </row>
    <row r="416" spans="1:3" hidden="1" outlineLevel="2" x14ac:dyDescent="0.25">
      <c r="A416" s="574" t="s">
        <v>1693</v>
      </c>
      <c r="B416" s="576">
        <v>110520</v>
      </c>
      <c r="C416" s="576">
        <v>0</v>
      </c>
    </row>
    <row r="417" spans="1:3" hidden="1" outlineLevel="2" x14ac:dyDescent="0.25">
      <c r="A417" s="574" t="s">
        <v>1693</v>
      </c>
      <c r="B417" s="576">
        <v>-110520</v>
      </c>
      <c r="C417" s="576">
        <v>0</v>
      </c>
    </row>
    <row r="418" spans="1:3" hidden="1" outlineLevel="2" x14ac:dyDescent="0.25">
      <c r="A418" s="574" t="s">
        <v>1693</v>
      </c>
      <c r="B418" s="576">
        <v>110520</v>
      </c>
      <c r="C418" s="576">
        <v>0</v>
      </c>
    </row>
    <row r="419" spans="1:3" hidden="1" outlineLevel="2" x14ac:dyDescent="0.25">
      <c r="A419" s="574" t="s">
        <v>1693</v>
      </c>
      <c r="B419" s="576">
        <v>250348.79999999999</v>
      </c>
      <c r="C419" s="576">
        <v>0</v>
      </c>
    </row>
    <row r="420" spans="1:3" hidden="1" outlineLevel="2" x14ac:dyDescent="0.25">
      <c r="A420" s="574" t="s">
        <v>1693</v>
      </c>
      <c r="B420" s="576">
        <v>253818</v>
      </c>
      <c r="C420" s="576">
        <v>0</v>
      </c>
    </row>
    <row r="421" spans="1:3" hidden="1" outlineLevel="2" x14ac:dyDescent="0.25">
      <c r="A421" s="574" t="s">
        <v>1693</v>
      </c>
      <c r="B421" s="576">
        <v>225852</v>
      </c>
      <c r="C421" s="576">
        <v>0</v>
      </c>
    </row>
    <row r="422" spans="1:3" hidden="1" outlineLevel="2" x14ac:dyDescent="0.25">
      <c r="A422" s="574" t="s">
        <v>1693</v>
      </c>
      <c r="B422" s="576">
        <v>224200</v>
      </c>
      <c r="C422" s="576">
        <v>0</v>
      </c>
    </row>
    <row r="423" spans="1:3" hidden="1" outlineLevel="2" x14ac:dyDescent="0.25">
      <c r="A423" s="574" t="s">
        <v>1693</v>
      </c>
      <c r="B423" s="576">
        <v>211438.5</v>
      </c>
      <c r="C423" s="576">
        <v>0</v>
      </c>
    </row>
    <row r="424" spans="1:3" hidden="1" outlineLevel="2" x14ac:dyDescent="0.25">
      <c r="A424" s="574" t="s">
        <v>1693</v>
      </c>
      <c r="B424" s="576">
        <v>177000</v>
      </c>
      <c r="C424" s="576">
        <v>0</v>
      </c>
    </row>
    <row r="425" spans="1:3" hidden="1" outlineLevel="2" x14ac:dyDescent="0.25">
      <c r="A425" s="574" t="s">
        <v>1693</v>
      </c>
      <c r="B425" s="576">
        <v>236964</v>
      </c>
      <c r="C425" s="576">
        <v>0</v>
      </c>
    </row>
    <row r="426" spans="1:3" hidden="1" outlineLevel="2" x14ac:dyDescent="0.25">
      <c r="A426" s="574" t="s">
        <v>1693</v>
      </c>
      <c r="B426" s="576">
        <v>26850.9</v>
      </c>
      <c r="C426" s="576">
        <v>0</v>
      </c>
    </row>
    <row r="427" spans="1:3" hidden="1" outlineLevel="2" x14ac:dyDescent="0.25">
      <c r="A427" s="574" t="s">
        <v>1693</v>
      </c>
      <c r="B427" s="576">
        <v>221250</v>
      </c>
      <c r="C427" s="576">
        <v>0</v>
      </c>
    </row>
    <row r="428" spans="1:3" hidden="1" outlineLevel="2" x14ac:dyDescent="0.25">
      <c r="A428" s="574" t="s">
        <v>1693</v>
      </c>
      <c r="B428" s="576">
        <v>19925.009999999998</v>
      </c>
      <c r="C428" s="576">
        <v>0</v>
      </c>
    </row>
    <row r="429" spans="1:3" hidden="1" outlineLevel="2" x14ac:dyDescent="0.25">
      <c r="A429" s="574" t="s">
        <v>1693</v>
      </c>
      <c r="B429" s="576">
        <v>50256</v>
      </c>
      <c r="C429" s="576">
        <v>0</v>
      </c>
    </row>
    <row r="430" spans="1:3" hidden="1" outlineLevel="2" x14ac:dyDescent="0.25">
      <c r="A430" s="574" t="s">
        <v>1693</v>
      </c>
      <c r="B430" s="576">
        <v>222500</v>
      </c>
      <c r="C430" s="576">
        <v>0</v>
      </c>
    </row>
    <row r="431" spans="1:3" hidden="1" outlineLevel="2" x14ac:dyDescent="0.25">
      <c r="A431" s="574" t="s">
        <v>1693</v>
      </c>
      <c r="B431" s="576">
        <v>106554</v>
      </c>
      <c r="C431" s="576">
        <v>0</v>
      </c>
    </row>
    <row r="432" spans="1:3" hidden="1" outlineLevel="2" x14ac:dyDescent="0.25">
      <c r="A432" s="574" t="s">
        <v>1693</v>
      </c>
      <c r="B432" s="576">
        <v>249900</v>
      </c>
      <c r="C432" s="576">
        <v>0</v>
      </c>
    </row>
    <row r="433" spans="1:3" hidden="1" outlineLevel="2" x14ac:dyDescent="0.25">
      <c r="A433" s="574" t="s">
        <v>1693</v>
      </c>
      <c r="B433" s="576">
        <v>77760</v>
      </c>
      <c r="C433" s="576">
        <v>0</v>
      </c>
    </row>
    <row r="434" spans="1:3" hidden="1" outlineLevel="2" x14ac:dyDescent="0.25">
      <c r="A434" s="574" t="s">
        <v>1693</v>
      </c>
      <c r="B434" s="576">
        <v>186971</v>
      </c>
      <c r="C434" s="576">
        <v>0</v>
      </c>
    </row>
    <row r="435" spans="1:3" hidden="1" outlineLevel="2" x14ac:dyDescent="0.25">
      <c r="A435" s="574" t="s">
        <v>1693</v>
      </c>
      <c r="B435" s="576">
        <v>92699.62</v>
      </c>
      <c r="C435" s="576">
        <v>0</v>
      </c>
    </row>
    <row r="436" spans="1:3" hidden="1" outlineLevel="2" x14ac:dyDescent="0.25">
      <c r="A436" s="574" t="s">
        <v>1693</v>
      </c>
      <c r="B436" s="576">
        <v>29990.880000000001</v>
      </c>
      <c r="C436" s="576">
        <v>0</v>
      </c>
    </row>
    <row r="437" spans="1:3" hidden="1" outlineLevel="2" x14ac:dyDescent="0.25">
      <c r="A437" s="574" t="s">
        <v>1693</v>
      </c>
      <c r="B437" s="576">
        <v>15635</v>
      </c>
      <c r="C437" s="576">
        <v>0</v>
      </c>
    </row>
    <row r="438" spans="1:3" hidden="1" outlineLevel="2" x14ac:dyDescent="0.25">
      <c r="A438" s="574" t="s">
        <v>1693</v>
      </c>
      <c r="B438" s="576">
        <v>212400</v>
      </c>
      <c r="C438" s="576">
        <v>0</v>
      </c>
    </row>
    <row r="439" spans="1:3" hidden="1" outlineLevel="2" x14ac:dyDescent="0.25">
      <c r="A439" s="574" t="s">
        <v>1693</v>
      </c>
      <c r="B439" s="576">
        <v>-212400</v>
      </c>
      <c r="C439" s="576">
        <v>0</v>
      </c>
    </row>
    <row r="440" spans="1:3" hidden="1" outlineLevel="2" x14ac:dyDescent="0.25">
      <c r="A440" s="574" t="s">
        <v>1693</v>
      </c>
      <c r="B440" s="576">
        <v>843200</v>
      </c>
      <c r="C440" s="576">
        <v>0</v>
      </c>
    </row>
    <row r="441" spans="1:3" hidden="1" outlineLevel="2" x14ac:dyDescent="0.25">
      <c r="A441" s="574" t="s">
        <v>1693</v>
      </c>
      <c r="B441" s="576">
        <v>78750</v>
      </c>
      <c r="C441" s="576">
        <v>0</v>
      </c>
    </row>
    <row r="442" spans="1:3" hidden="1" outlineLevel="2" x14ac:dyDescent="0.25">
      <c r="A442" s="574" t="s">
        <v>1693</v>
      </c>
      <c r="B442" s="576">
        <v>44250</v>
      </c>
      <c r="C442" s="576">
        <v>0</v>
      </c>
    </row>
    <row r="443" spans="1:3" hidden="1" outlineLevel="2" x14ac:dyDescent="0.25">
      <c r="A443" s="574" t="s">
        <v>1693</v>
      </c>
      <c r="B443" s="576">
        <v>177000</v>
      </c>
      <c r="C443" s="576">
        <v>0</v>
      </c>
    </row>
    <row r="444" spans="1:3" hidden="1" outlineLevel="2" x14ac:dyDescent="0.25">
      <c r="A444" s="574" t="s">
        <v>1693</v>
      </c>
      <c r="B444" s="576">
        <v>15557.41</v>
      </c>
      <c r="C444" s="576">
        <v>0</v>
      </c>
    </row>
    <row r="445" spans="1:3" hidden="1" outlineLevel="2" x14ac:dyDescent="0.25">
      <c r="A445" s="574" t="s">
        <v>1693</v>
      </c>
      <c r="B445" s="576">
        <v>10553.92</v>
      </c>
      <c r="C445" s="576">
        <v>0</v>
      </c>
    </row>
    <row r="446" spans="1:3" hidden="1" outlineLevel="2" x14ac:dyDescent="0.25">
      <c r="A446" s="574" t="s">
        <v>1693</v>
      </c>
      <c r="B446" s="576">
        <v>70800</v>
      </c>
      <c r="C446" s="576">
        <v>0</v>
      </c>
    </row>
    <row r="447" spans="1:3" hidden="1" outlineLevel="2" x14ac:dyDescent="0.25">
      <c r="A447" s="574" t="s">
        <v>1693</v>
      </c>
      <c r="B447" s="576">
        <v>89970</v>
      </c>
      <c r="C447" s="576">
        <v>0</v>
      </c>
    </row>
    <row r="448" spans="1:3" hidden="1" outlineLevel="2" x14ac:dyDescent="0.25">
      <c r="A448" s="574" t="s">
        <v>1693</v>
      </c>
      <c r="B448" s="576">
        <v>202134</v>
      </c>
      <c r="C448" s="576">
        <v>0</v>
      </c>
    </row>
    <row r="449" spans="1:3" hidden="1" outlineLevel="2" x14ac:dyDescent="0.25">
      <c r="A449" s="574" t="s">
        <v>1693</v>
      </c>
      <c r="B449" s="576">
        <v>441947.76</v>
      </c>
      <c r="C449" s="576">
        <v>0</v>
      </c>
    </row>
    <row r="450" spans="1:3" hidden="1" outlineLevel="2" x14ac:dyDescent="0.25">
      <c r="A450" s="574" t="s">
        <v>1693</v>
      </c>
      <c r="B450" s="576">
        <v>257250</v>
      </c>
      <c r="C450" s="576">
        <v>0</v>
      </c>
    </row>
    <row r="451" spans="1:3" hidden="1" outlineLevel="2" x14ac:dyDescent="0.25">
      <c r="A451" s="574" t="s">
        <v>1693</v>
      </c>
      <c r="B451" s="576">
        <v>212400</v>
      </c>
      <c r="C451" s="576">
        <v>0</v>
      </c>
    </row>
    <row r="452" spans="1:3" hidden="1" outlineLevel="2" x14ac:dyDescent="0.25">
      <c r="A452" s="574" t="s">
        <v>1693</v>
      </c>
      <c r="B452" s="576">
        <v>241900</v>
      </c>
      <c r="C452" s="576">
        <v>0</v>
      </c>
    </row>
    <row r="453" spans="1:3" hidden="1" outlineLevel="2" x14ac:dyDescent="0.25">
      <c r="A453" s="574" t="s">
        <v>1693</v>
      </c>
      <c r="B453" s="576">
        <v>182168.4</v>
      </c>
      <c r="C453" s="576">
        <v>0</v>
      </c>
    </row>
    <row r="454" spans="1:3" hidden="1" outlineLevel="2" x14ac:dyDescent="0.25">
      <c r="A454" s="574" t="s">
        <v>1693</v>
      </c>
      <c r="B454" s="576">
        <v>240012</v>
      </c>
      <c r="C454" s="576">
        <v>0</v>
      </c>
    </row>
    <row r="455" spans="1:3" hidden="1" outlineLevel="2" x14ac:dyDescent="0.25">
      <c r="A455" s="574" t="s">
        <v>1693</v>
      </c>
      <c r="B455" s="576">
        <v>109740</v>
      </c>
      <c r="C455" s="576">
        <v>0</v>
      </c>
    </row>
    <row r="456" spans="1:3" hidden="1" outlineLevel="2" x14ac:dyDescent="0.25">
      <c r="A456" s="574" t="s">
        <v>1693</v>
      </c>
      <c r="B456" s="576">
        <v>64900</v>
      </c>
      <c r="C456" s="576">
        <v>0</v>
      </c>
    </row>
    <row r="457" spans="1:3" hidden="1" outlineLevel="2" x14ac:dyDescent="0.25">
      <c r="A457" s="574" t="s">
        <v>1693</v>
      </c>
      <c r="B457" s="576">
        <v>188800</v>
      </c>
      <c r="C457" s="576">
        <v>0</v>
      </c>
    </row>
    <row r="458" spans="1:3" hidden="1" outlineLevel="2" x14ac:dyDescent="0.25">
      <c r="A458" s="574" t="s">
        <v>1693</v>
      </c>
      <c r="B458" s="576">
        <v>141600</v>
      </c>
      <c r="C458" s="576">
        <v>0</v>
      </c>
    </row>
    <row r="459" spans="1:3" hidden="1" outlineLevel="2" x14ac:dyDescent="0.25">
      <c r="A459" s="574" t="s">
        <v>1693</v>
      </c>
      <c r="B459" s="576">
        <v>82600</v>
      </c>
      <c r="C459" s="576">
        <v>0</v>
      </c>
    </row>
    <row r="460" spans="1:3" hidden="1" outlineLevel="2" x14ac:dyDescent="0.25">
      <c r="A460" s="574" t="s">
        <v>1693</v>
      </c>
      <c r="B460" s="576">
        <v>137175</v>
      </c>
      <c r="C460" s="576">
        <v>0</v>
      </c>
    </row>
    <row r="461" spans="1:3" hidden="1" outlineLevel="2" x14ac:dyDescent="0.25">
      <c r="A461" s="574" t="s">
        <v>1693</v>
      </c>
      <c r="B461" s="576">
        <v>212400</v>
      </c>
      <c r="C461" s="576">
        <v>0</v>
      </c>
    </row>
    <row r="462" spans="1:3" hidden="1" outlineLevel="2" x14ac:dyDescent="0.25">
      <c r="A462" s="574" t="s">
        <v>1693</v>
      </c>
      <c r="B462" s="576">
        <v>60531.05</v>
      </c>
      <c r="C462" s="576">
        <v>0</v>
      </c>
    </row>
    <row r="463" spans="1:3" hidden="1" outlineLevel="2" x14ac:dyDescent="0.25">
      <c r="A463" s="574" t="s">
        <v>1693</v>
      </c>
      <c r="B463" s="576">
        <v>204140</v>
      </c>
      <c r="C463" s="576">
        <v>0</v>
      </c>
    </row>
    <row r="464" spans="1:3" hidden="1" outlineLevel="2" x14ac:dyDescent="0.25">
      <c r="A464" s="574" t="s">
        <v>1693</v>
      </c>
      <c r="B464" s="576">
        <v>210000</v>
      </c>
      <c r="C464" s="576">
        <v>0</v>
      </c>
    </row>
    <row r="465" spans="1:3" hidden="1" outlineLevel="2" x14ac:dyDescent="0.25">
      <c r="A465" s="574" t="s">
        <v>1693</v>
      </c>
      <c r="B465" s="576">
        <v>566400</v>
      </c>
      <c r="C465" s="576">
        <v>0</v>
      </c>
    </row>
    <row r="466" spans="1:3" hidden="1" outlineLevel="2" x14ac:dyDescent="0.25">
      <c r="A466" s="574" t="s">
        <v>1693</v>
      </c>
      <c r="B466" s="576">
        <v>88500</v>
      </c>
      <c r="C466" s="576">
        <v>0</v>
      </c>
    </row>
    <row r="467" spans="1:3" hidden="1" outlineLevel="2" x14ac:dyDescent="0.25">
      <c r="A467" s="574" t="s">
        <v>1693</v>
      </c>
      <c r="B467" s="576">
        <v>240000</v>
      </c>
      <c r="C467" s="576">
        <v>0</v>
      </c>
    </row>
    <row r="468" spans="1:3" hidden="1" outlineLevel="2" x14ac:dyDescent="0.25">
      <c r="A468" s="574" t="s">
        <v>1693</v>
      </c>
      <c r="B468" s="576">
        <v>448800</v>
      </c>
      <c r="C468" s="576">
        <v>0</v>
      </c>
    </row>
    <row r="469" spans="1:3" hidden="1" outlineLevel="2" x14ac:dyDescent="0.25">
      <c r="A469" s="574" t="s">
        <v>1693</v>
      </c>
      <c r="B469" s="576">
        <v>204000</v>
      </c>
      <c r="C469" s="576">
        <v>0</v>
      </c>
    </row>
    <row r="470" spans="1:3" hidden="1" outlineLevel="2" x14ac:dyDescent="0.25">
      <c r="A470" s="574" t="s">
        <v>1693</v>
      </c>
      <c r="B470" s="576">
        <v>108000</v>
      </c>
      <c r="C470" s="576">
        <v>0</v>
      </c>
    </row>
    <row r="471" spans="1:3" hidden="1" outlineLevel="2" x14ac:dyDescent="0.25">
      <c r="A471" s="574" t="s">
        <v>1693</v>
      </c>
      <c r="B471" s="576">
        <v>9676</v>
      </c>
      <c r="C471" s="576">
        <v>0</v>
      </c>
    </row>
    <row r="472" spans="1:3" hidden="1" outlineLevel="2" x14ac:dyDescent="0.25">
      <c r="A472" s="574" t="s">
        <v>1693</v>
      </c>
      <c r="B472" s="576">
        <v>438724</v>
      </c>
      <c r="C472" s="576">
        <v>0</v>
      </c>
    </row>
    <row r="473" spans="1:3" hidden="1" outlineLevel="2" x14ac:dyDescent="0.25">
      <c r="A473" s="574" t="s">
        <v>1693</v>
      </c>
      <c r="B473" s="576">
        <v>283200</v>
      </c>
      <c r="C473" s="576">
        <v>0</v>
      </c>
    </row>
    <row r="474" spans="1:3" hidden="1" outlineLevel="2" x14ac:dyDescent="0.25">
      <c r="A474" s="574" t="s">
        <v>1693</v>
      </c>
      <c r="B474" s="576">
        <v>9676</v>
      </c>
      <c r="C474" s="576">
        <v>0</v>
      </c>
    </row>
    <row r="475" spans="1:3" hidden="1" outlineLevel="2" x14ac:dyDescent="0.25">
      <c r="A475" s="574" t="s">
        <v>1693</v>
      </c>
      <c r="B475" s="576">
        <v>12375</v>
      </c>
      <c r="C475" s="576">
        <v>0</v>
      </c>
    </row>
    <row r="476" spans="1:3" hidden="1" outlineLevel="2" x14ac:dyDescent="0.25">
      <c r="A476" s="574" t="s">
        <v>1693</v>
      </c>
      <c r="B476" s="576">
        <v>21505.5</v>
      </c>
      <c r="C476" s="576">
        <v>0</v>
      </c>
    </row>
    <row r="477" spans="1:3" hidden="1" outlineLevel="2" x14ac:dyDescent="0.25">
      <c r="A477" s="574" t="s">
        <v>1693</v>
      </c>
      <c r="B477" s="576">
        <v>46108.5</v>
      </c>
      <c r="C477" s="576">
        <v>0</v>
      </c>
    </row>
    <row r="478" spans="1:3" hidden="1" outlineLevel="2" x14ac:dyDescent="0.25">
      <c r="A478" s="574" t="s">
        <v>1693</v>
      </c>
      <c r="B478" s="576">
        <v>229462.8</v>
      </c>
      <c r="C478" s="576">
        <v>0</v>
      </c>
    </row>
    <row r="479" spans="1:3" hidden="1" outlineLevel="2" x14ac:dyDescent="0.25">
      <c r="A479" s="574" t="s">
        <v>1693</v>
      </c>
      <c r="B479" s="576">
        <v>29874</v>
      </c>
      <c r="C479" s="576">
        <v>0</v>
      </c>
    </row>
    <row r="480" spans="1:3" hidden="1" outlineLevel="2" x14ac:dyDescent="0.25">
      <c r="A480" s="574" t="s">
        <v>1693</v>
      </c>
      <c r="B480" s="576">
        <v>21240</v>
      </c>
      <c r="C480" s="576">
        <v>0</v>
      </c>
    </row>
    <row r="481" spans="1:3" hidden="1" outlineLevel="2" x14ac:dyDescent="0.25">
      <c r="A481" s="574" t="s">
        <v>1693</v>
      </c>
      <c r="B481" s="576">
        <v>56748.800000000003</v>
      </c>
      <c r="C481" s="576">
        <v>0</v>
      </c>
    </row>
    <row r="482" spans="1:3" hidden="1" outlineLevel="2" x14ac:dyDescent="0.25">
      <c r="A482" s="574" t="s">
        <v>1693</v>
      </c>
      <c r="B482" s="576">
        <v>169215.6</v>
      </c>
      <c r="C482" s="576">
        <v>0</v>
      </c>
    </row>
    <row r="483" spans="1:3" hidden="1" outlineLevel="2" x14ac:dyDescent="0.25">
      <c r="A483" s="574" t="s">
        <v>1693</v>
      </c>
      <c r="B483" s="576">
        <v>212400</v>
      </c>
      <c r="C483" s="576">
        <v>0</v>
      </c>
    </row>
    <row r="484" spans="1:3" hidden="1" outlineLevel="2" x14ac:dyDescent="0.25">
      <c r="A484" s="574" t="s">
        <v>1693</v>
      </c>
      <c r="B484" s="576">
        <v>198594</v>
      </c>
      <c r="C484" s="576">
        <v>0</v>
      </c>
    </row>
    <row r="485" spans="1:3" hidden="1" outlineLevel="2" x14ac:dyDescent="0.25">
      <c r="A485" s="574" t="s">
        <v>1693</v>
      </c>
      <c r="B485" s="576">
        <v>346330</v>
      </c>
      <c r="C485" s="576">
        <v>0</v>
      </c>
    </row>
    <row r="486" spans="1:3" hidden="1" outlineLevel="2" x14ac:dyDescent="0.25">
      <c r="A486" s="574" t="s">
        <v>1693</v>
      </c>
      <c r="B486" s="576">
        <v>30927.8</v>
      </c>
      <c r="C486" s="576">
        <v>0</v>
      </c>
    </row>
    <row r="487" spans="1:3" hidden="1" outlineLevel="2" x14ac:dyDescent="0.25">
      <c r="A487" s="574" t="s">
        <v>1693</v>
      </c>
      <c r="B487" s="576">
        <v>208683</v>
      </c>
      <c r="C487" s="576">
        <v>0</v>
      </c>
    </row>
    <row r="488" spans="1:3" hidden="1" outlineLevel="2" x14ac:dyDescent="0.25">
      <c r="A488" s="574" t="s">
        <v>1693</v>
      </c>
      <c r="B488" s="576">
        <v>100138.2</v>
      </c>
      <c r="C488" s="576">
        <v>0</v>
      </c>
    </row>
    <row r="489" spans="1:3" hidden="1" outlineLevel="2" x14ac:dyDescent="0.25">
      <c r="A489" s="574" t="s">
        <v>1693</v>
      </c>
      <c r="B489" s="576">
        <v>208280.01</v>
      </c>
      <c r="C489" s="576">
        <v>0</v>
      </c>
    </row>
    <row r="490" spans="1:3" hidden="1" outlineLevel="2" x14ac:dyDescent="0.25">
      <c r="A490" s="574" t="s">
        <v>1693</v>
      </c>
      <c r="B490" s="576">
        <v>206500</v>
      </c>
      <c r="C490" s="576">
        <v>0</v>
      </c>
    </row>
    <row r="491" spans="1:3" hidden="1" outlineLevel="2" x14ac:dyDescent="0.25">
      <c r="A491" s="574" t="s">
        <v>1693</v>
      </c>
      <c r="B491" s="576">
        <v>249275</v>
      </c>
      <c r="C491" s="576">
        <v>0</v>
      </c>
    </row>
    <row r="492" spans="1:3" hidden="1" outlineLevel="2" x14ac:dyDescent="0.25">
      <c r="A492" s="574" t="s">
        <v>1693</v>
      </c>
      <c r="B492" s="576">
        <v>112100</v>
      </c>
      <c r="C492" s="576">
        <v>0</v>
      </c>
    </row>
    <row r="493" spans="1:3" hidden="1" outlineLevel="2" x14ac:dyDescent="0.25">
      <c r="A493" s="574" t="s">
        <v>1693</v>
      </c>
      <c r="B493" s="576">
        <v>92040</v>
      </c>
      <c r="C493" s="576">
        <v>0</v>
      </c>
    </row>
    <row r="494" spans="1:3" hidden="1" outlineLevel="2" x14ac:dyDescent="0.25">
      <c r="A494" s="574" t="s">
        <v>1693</v>
      </c>
      <c r="B494" s="576">
        <v>125409</v>
      </c>
      <c r="C494" s="576">
        <v>0</v>
      </c>
    </row>
    <row r="495" spans="1:3" hidden="1" outlineLevel="2" x14ac:dyDescent="0.25">
      <c r="A495" s="574" t="s">
        <v>1693</v>
      </c>
      <c r="B495" s="576">
        <v>219461.59</v>
      </c>
      <c r="C495" s="576">
        <v>0</v>
      </c>
    </row>
    <row r="496" spans="1:3" hidden="1" outlineLevel="2" x14ac:dyDescent="0.25">
      <c r="A496" s="574" t="s">
        <v>1693</v>
      </c>
      <c r="B496" s="576">
        <v>50150</v>
      </c>
      <c r="C496" s="576">
        <v>0</v>
      </c>
    </row>
    <row r="497" spans="1:3" hidden="1" outlineLevel="2" x14ac:dyDescent="0.25">
      <c r="A497" s="574" t="s">
        <v>1693</v>
      </c>
      <c r="B497" s="576">
        <v>172870</v>
      </c>
      <c r="C497" s="576">
        <v>0</v>
      </c>
    </row>
    <row r="498" spans="1:3" hidden="1" outlineLevel="2" x14ac:dyDescent="0.25">
      <c r="A498" s="574" t="s">
        <v>1693</v>
      </c>
      <c r="B498" s="576">
        <v>-172870</v>
      </c>
      <c r="C498" s="576">
        <v>0</v>
      </c>
    </row>
    <row r="499" spans="1:3" hidden="1" outlineLevel="2" x14ac:dyDescent="0.25">
      <c r="A499" s="574" t="s">
        <v>1693</v>
      </c>
      <c r="B499" s="576">
        <v>22254.799999999999</v>
      </c>
      <c r="C499" s="576">
        <v>0</v>
      </c>
    </row>
    <row r="500" spans="1:3" hidden="1" outlineLevel="2" x14ac:dyDescent="0.25">
      <c r="A500" s="574" t="s">
        <v>1693</v>
      </c>
      <c r="B500" s="576">
        <v>88500</v>
      </c>
      <c r="C500" s="576">
        <v>0</v>
      </c>
    </row>
    <row r="501" spans="1:3" hidden="1" outlineLevel="2" x14ac:dyDescent="0.25">
      <c r="A501" s="574" t="s">
        <v>1693</v>
      </c>
      <c r="B501" s="576">
        <v>88500</v>
      </c>
      <c r="C501" s="576">
        <v>0</v>
      </c>
    </row>
    <row r="502" spans="1:3" hidden="1" outlineLevel="2" x14ac:dyDescent="0.25">
      <c r="A502" s="574" t="s">
        <v>1693</v>
      </c>
      <c r="B502" s="576">
        <v>216382.5</v>
      </c>
      <c r="C502" s="576">
        <v>0</v>
      </c>
    </row>
    <row r="503" spans="1:3" hidden="1" outlineLevel="2" x14ac:dyDescent="0.25">
      <c r="A503" s="574" t="s">
        <v>1693</v>
      </c>
      <c r="B503" s="576">
        <v>159300</v>
      </c>
      <c r="C503" s="576">
        <v>0</v>
      </c>
    </row>
    <row r="504" spans="1:3" hidden="1" outlineLevel="2" x14ac:dyDescent="0.25">
      <c r="A504" s="574" t="s">
        <v>1693</v>
      </c>
      <c r="B504" s="576">
        <v>136300.71</v>
      </c>
      <c r="C504" s="576">
        <v>0</v>
      </c>
    </row>
    <row r="505" spans="1:3" hidden="1" outlineLevel="2" x14ac:dyDescent="0.25">
      <c r="A505" s="574" t="s">
        <v>1693</v>
      </c>
      <c r="B505" s="576">
        <v>-136300.71</v>
      </c>
      <c r="C505" s="576">
        <v>0</v>
      </c>
    </row>
    <row r="506" spans="1:3" hidden="1" outlineLevel="2" x14ac:dyDescent="0.25">
      <c r="A506" s="574" t="s">
        <v>1693</v>
      </c>
      <c r="B506" s="576">
        <v>213875</v>
      </c>
      <c r="C506" s="576">
        <v>0</v>
      </c>
    </row>
    <row r="507" spans="1:3" hidden="1" outlineLevel="2" x14ac:dyDescent="0.25">
      <c r="A507" s="574" t="s">
        <v>1693</v>
      </c>
      <c r="B507" s="576">
        <v>133038.64000000001</v>
      </c>
      <c r="C507" s="576">
        <v>0</v>
      </c>
    </row>
    <row r="508" spans="1:3" hidden="1" outlineLevel="2" x14ac:dyDescent="0.25">
      <c r="A508" s="574" t="s">
        <v>1693</v>
      </c>
      <c r="B508" s="576">
        <v>46798.8</v>
      </c>
      <c r="C508" s="576">
        <v>0</v>
      </c>
    </row>
    <row r="509" spans="1:3" hidden="1" outlineLevel="2" x14ac:dyDescent="0.25">
      <c r="A509" s="574" t="s">
        <v>1693</v>
      </c>
      <c r="B509" s="576">
        <v>172870</v>
      </c>
      <c r="C509" s="576">
        <v>0</v>
      </c>
    </row>
    <row r="510" spans="1:3" hidden="1" outlineLevel="2" x14ac:dyDescent="0.25">
      <c r="A510" s="574" t="s">
        <v>1693</v>
      </c>
      <c r="B510" s="576">
        <v>219981.5</v>
      </c>
      <c r="C510" s="576">
        <v>0</v>
      </c>
    </row>
    <row r="511" spans="1:3" hidden="1" outlineLevel="2" x14ac:dyDescent="0.25">
      <c r="A511" s="574" t="s">
        <v>1693</v>
      </c>
      <c r="B511" s="576">
        <v>84960</v>
      </c>
      <c r="C511" s="576">
        <v>0</v>
      </c>
    </row>
    <row r="512" spans="1:3" hidden="1" outlineLevel="2" x14ac:dyDescent="0.25">
      <c r="A512" s="574" t="s">
        <v>1693</v>
      </c>
      <c r="B512" s="576">
        <v>76800</v>
      </c>
      <c r="C512" s="576">
        <v>0</v>
      </c>
    </row>
    <row r="513" spans="1:3" hidden="1" outlineLevel="2" x14ac:dyDescent="0.25">
      <c r="A513" s="574" t="s">
        <v>1693</v>
      </c>
      <c r="B513" s="576">
        <v>21830</v>
      </c>
      <c r="C513" s="576">
        <v>0</v>
      </c>
    </row>
    <row r="514" spans="1:3" hidden="1" outlineLevel="2" x14ac:dyDescent="0.25">
      <c r="A514" s="574" t="s">
        <v>1693</v>
      </c>
      <c r="B514" s="576">
        <v>69906.5</v>
      </c>
      <c r="C514" s="576">
        <v>0</v>
      </c>
    </row>
    <row r="515" spans="1:3" hidden="1" outlineLevel="2" x14ac:dyDescent="0.25">
      <c r="A515" s="574" t="s">
        <v>1693</v>
      </c>
      <c r="B515" s="576">
        <v>28320</v>
      </c>
      <c r="C515" s="576">
        <v>0</v>
      </c>
    </row>
    <row r="516" spans="1:3" hidden="1" outlineLevel="2" x14ac:dyDescent="0.25">
      <c r="A516" s="574" t="s">
        <v>1693</v>
      </c>
      <c r="B516" s="576">
        <v>1267200</v>
      </c>
      <c r="C516" s="576">
        <v>0</v>
      </c>
    </row>
    <row r="517" spans="1:3" hidden="1" outlineLevel="2" x14ac:dyDescent="0.25">
      <c r="A517" s="574" t="s">
        <v>1693</v>
      </c>
      <c r="B517" s="576">
        <v>141600</v>
      </c>
      <c r="C517" s="576">
        <v>0</v>
      </c>
    </row>
    <row r="518" spans="1:3" hidden="1" outlineLevel="2" x14ac:dyDescent="0.25">
      <c r="A518" s="574" t="s">
        <v>1693</v>
      </c>
      <c r="B518" s="576">
        <v>257565.68</v>
      </c>
      <c r="C518" s="576">
        <v>0</v>
      </c>
    </row>
    <row r="519" spans="1:3" hidden="1" outlineLevel="2" x14ac:dyDescent="0.25">
      <c r="A519" s="574" t="s">
        <v>1693</v>
      </c>
      <c r="B519" s="576">
        <v>11894.4</v>
      </c>
      <c r="C519" s="576">
        <v>0</v>
      </c>
    </row>
    <row r="520" spans="1:3" hidden="1" outlineLevel="2" x14ac:dyDescent="0.25">
      <c r="A520" s="574" t="s">
        <v>1693</v>
      </c>
      <c r="B520" s="576">
        <v>241835.1</v>
      </c>
      <c r="C520" s="576">
        <v>0</v>
      </c>
    </row>
    <row r="521" spans="1:3" hidden="1" outlineLevel="2" x14ac:dyDescent="0.25">
      <c r="A521" s="574" t="s">
        <v>1693</v>
      </c>
      <c r="B521" s="576">
        <v>360490</v>
      </c>
      <c r="C521" s="576">
        <v>0</v>
      </c>
    </row>
    <row r="522" spans="1:3" hidden="1" outlineLevel="2" x14ac:dyDescent="0.25">
      <c r="A522" s="574" t="s">
        <v>1693</v>
      </c>
      <c r="B522" s="576">
        <v>106200</v>
      </c>
      <c r="C522" s="576">
        <v>0</v>
      </c>
    </row>
    <row r="523" spans="1:3" hidden="1" outlineLevel="2" x14ac:dyDescent="0.25">
      <c r="A523" s="574" t="s">
        <v>1693</v>
      </c>
      <c r="B523" s="576">
        <v>32164.44</v>
      </c>
      <c r="C523" s="576">
        <v>0</v>
      </c>
    </row>
    <row r="524" spans="1:3" hidden="1" outlineLevel="2" x14ac:dyDescent="0.25">
      <c r="A524" s="574" t="s">
        <v>1693</v>
      </c>
      <c r="B524" s="576">
        <v>11321.45</v>
      </c>
      <c r="C524" s="576">
        <v>0</v>
      </c>
    </row>
    <row r="525" spans="1:3" hidden="1" outlineLevel="2" x14ac:dyDescent="0.25">
      <c r="A525" s="574" t="s">
        <v>1693</v>
      </c>
      <c r="B525" s="576">
        <v>113740.2</v>
      </c>
      <c r="C525" s="576">
        <v>0</v>
      </c>
    </row>
    <row r="526" spans="1:3" hidden="1" outlineLevel="2" x14ac:dyDescent="0.25">
      <c r="A526" s="574" t="s">
        <v>1693</v>
      </c>
      <c r="B526" s="576">
        <v>14160</v>
      </c>
      <c r="C526" s="576">
        <v>0</v>
      </c>
    </row>
    <row r="527" spans="1:3" hidden="1" outlineLevel="2" x14ac:dyDescent="0.25">
      <c r="A527" s="574" t="s">
        <v>1693</v>
      </c>
      <c r="B527" s="576">
        <v>129918</v>
      </c>
      <c r="C527" s="576">
        <v>0</v>
      </c>
    </row>
    <row r="528" spans="1:3" hidden="1" outlineLevel="2" x14ac:dyDescent="0.25">
      <c r="A528" s="574" t="s">
        <v>1693</v>
      </c>
      <c r="B528" s="576">
        <v>77610.960000000006</v>
      </c>
      <c r="C528" s="576">
        <v>0</v>
      </c>
    </row>
    <row r="529" spans="1:3" hidden="1" outlineLevel="2" x14ac:dyDescent="0.25">
      <c r="A529" s="574" t="s">
        <v>1693</v>
      </c>
      <c r="B529" s="576">
        <v>202960</v>
      </c>
      <c r="C529" s="576">
        <v>0</v>
      </c>
    </row>
    <row r="530" spans="1:3" hidden="1" outlineLevel="2" x14ac:dyDescent="0.25">
      <c r="A530" s="574" t="s">
        <v>1693</v>
      </c>
      <c r="B530" s="576">
        <v>36550.5</v>
      </c>
      <c r="C530" s="576">
        <v>0</v>
      </c>
    </row>
    <row r="531" spans="1:3" hidden="1" outlineLevel="2" x14ac:dyDescent="0.25">
      <c r="A531" s="574" t="s">
        <v>1693</v>
      </c>
      <c r="B531" s="576">
        <v>202960</v>
      </c>
      <c r="C531" s="576">
        <v>0</v>
      </c>
    </row>
    <row r="532" spans="1:3" hidden="1" outlineLevel="2" x14ac:dyDescent="0.25">
      <c r="A532" s="574" t="s">
        <v>1693</v>
      </c>
      <c r="B532" s="576">
        <v>48246.66</v>
      </c>
      <c r="C532" s="576">
        <v>0</v>
      </c>
    </row>
    <row r="533" spans="1:3" hidden="1" outlineLevel="2" x14ac:dyDescent="0.25">
      <c r="A533" s="574" t="s">
        <v>1693</v>
      </c>
      <c r="B533" s="576">
        <v>46964</v>
      </c>
      <c r="C533" s="576">
        <v>0</v>
      </c>
    </row>
    <row r="534" spans="1:3" hidden="1" outlineLevel="2" x14ac:dyDescent="0.25">
      <c r="A534" s="574" t="s">
        <v>1693</v>
      </c>
      <c r="B534" s="576">
        <v>90000</v>
      </c>
      <c r="C534" s="576">
        <v>0</v>
      </c>
    </row>
    <row r="535" spans="1:3" hidden="1" outlineLevel="2" x14ac:dyDescent="0.25">
      <c r="A535" s="574" t="s">
        <v>1693</v>
      </c>
      <c r="B535" s="576">
        <v>165542</v>
      </c>
      <c r="C535" s="576">
        <v>0</v>
      </c>
    </row>
    <row r="536" spans="1:3" hidden="1" outlineLevel="2" x14ac:dyDescent="0.25">
      <c r="A536" s="574" t="s">
        <v>1693</v>
      </c>
      <c r="B536" s="576">
        <v>8850</v>
      </c>
      <c r="C536" s="576">
        <v>0</v>
      </c>
    </row>
    <row r="537" spans="1:3" hidden="1" outlineLevel="2" x14ac:dyDescent="0.25">
      <c r="A537" s="574" t="s">
        <v>1693</v>
      </c>
      <c r="B537" s="576">
        <v>10150.01</v>
      </c>
      <c r="C537" s="576">
        <v>0</v>
      </c>
    </row>
    <row r="538" spans="1:3" hidden="1" outlineLevel="2" x14ac:dyDescent="0.25">
      <c r="A538" s="574" t="s">
        <v>1693</v>
      </c>
      <c r="B538" s="576">
        <v>29000</v>
      </c>
      <c r="C538" s="576">
        <v>0</v>
      </c>
    </row>
    <row r="539" spans="1:3" hidden="1" outlineLevel="2" x14ac:dyDescent="0.25">
      <c r="A539" s="574" t="s">
        <v>1693</v>
      </c>
      <c r="B539" s="576">
        <v>94400</v>
      </c>
      <c r="C539" s="576">
        <v>0</v>
      </c>
    </row>
    <row r="540" spans="1:3" hidden="1" outlineLevel="2" x14ac:dyDescent="0.25">
      <c r="A540" s="574" t="s">
        <v>1693</v>
      </c>
      <c r="B540" s="576">
        <v>208270</v>
      </c>
      <c r="C540" s="576">
        <v>0</v>
      </c>
    </row>
    <row r="541" spans="1:3" hidden="1" outlineLevel="2" x14ac:dyDescent="0.25">
      <c r="A541" s="574" t="s">
        <v>1693</v>
      </c>
      <c r="B541" s="576">
        <v>9027</v>
      </c>
      <c r="C541" s="576">
        <v>0</v>
      </c>
    </row>
    <row r="542" spans="1:3" hidden="1" outlineLevel="2" x14ac:dyDescent="0.25">
      <c r="A542" s="574" t="s">
        <v>1693</v>
      </c>
      <c r="B542" s="576">
        <v>88500</v>
      </c>
      <c r="C542" s="576">
        <v>0</v>
      </c>
    </row>
    <row r="543" spans="1:3" hidden="1" outlineLevel="2" x14ac:dyDescent="0.25">
      <c r="A543" s="574" t="s">
        <v>1693</v>
      </c>
      <c r="B543" s="576">
        <v>33630</v>
      </c>
      <c r="C543" s="576">
        <v>0</v>
      </c>
    </row>
    <row r="544" spans="1:3" hidden="1" outlineLevel="2" x14ac:dyDescent="0.25">
      <c r="A544" s="574" t="s">
        <v>1693</v>
      </c>
      <c r="B544" s="576">
        <v>92040</v>
      </c>
      <c r="C544" s="576">
        <v>0</v>
      </c>
    </row>
    <row r="545" spans="1:3" hidden="1" outlineLevel="2" x14ac:dyDescent="0.25">
      <c r="A545" s="574" t="s">
        <v>1693</v>
      </c>
      <c r="B545" s="576">
        <v>238000</v>
      </c>
      <c r="C545" s="576">
        <v>0</v>
      </c>
    </row>
    <row r="546" spans="1:3" hidden="1" outlineLevel="2" x14ac:dyDescent="0.25">
      <c r="A546" s="574" t="s">
        <v>1693</v>
      </c>
      <c r="B546" s="576">
        <v>93220</v>
      </c>
      <c r="C546" s="576">
        <v>0</v>
      </c>
    </row>
    <row r="547" spans="1:3" hidden="1" outlineLevel="2" x14ac:dyDescent="0.25">
      <c r="A547" s="574" t="s">
        <v>1693</v>
      </c>
      <c r="B547" s="576">
        <v>188800</v>
      </c>
      <c r="C547" s="576">
        <v>0</v>
      </c>
    </row>
    <row r="548" spans="1:3" hidden="1" outlineLevel="2" x14ac:dyDescent="0.25">
      <c r="A548" s="574" t="s">
        <v>1693</v>
      </c>
      <c r="B548" s="576">
        <v>52510</v>
      </c>
      <c r="C548" s="576">
        <v>0</v>
      </c>
    </row>
    <row r="549" spans="1:3" hidden="1" outlineLevel="2" x14ac:dyDescent="0.25">
      <c r="A549" s="574" t="s">
        <v>1693</v>
      </c>
      <c r="B549" s="576">
        <v>52510</v>
      </c>
      <c r="C549" s="576">
        <v>0</v>
      </c>
    </row>
    <row r="550" spans="1:3" hidden="1" outlineLevel="2" x14ac:dyDescent="0.25">
      <c r="A550" s="574" t="s">
        <v>1693</v>
      </c>
      <c r="B550" s="576">
        <v>462538.76</v>
      </c>
      <c r="C550" s="576">
        <v>0</v>
      </c>
    </row>
    <row r="551" spans="1:3" hidden="1" outlineLevel="2" x14ac:dyDescent="0.25">
      <c r="A551" s="574" t="s">
        <v>1693</v>
      </c>
      <c r="B551" s="576">
        <v>-462538.76</v>
      </c>
      <c r="C551" s="576">
        <v>0</v>
      </c>
    </row>
    <row r="552" spans="1:3" hidden="1" outlineLevel="2" x14ac:dyDescent="0.25">
      <c r="A552" s="574" t="s">
        <v>1693</v>
      </c>
      <c r="B552" s="576">
        <v>7670</v>
      </c>
      <c r="C552" s="576">
        <v>0</v>
      </c>
    </row>
    <row r="553" spans="1:3" hidden="1" outlineLevel="2" x14ac:dyDescent="0.25">
      <c r="A553" s="574" t="s">
        <v>1693</v>
      </c>
      <c r="B553" s="576">
        <v>462538.76</v>
      </c>
      <c r="C553" s="576">
        <v>0</v>
      </c>
    </row>
    <row r="554" spans="1:3" hidden="1" outlineLevel="2" x14ac:dyDescent="0.25">
      <c r="A554" s="574" t="s">
        <v>1693</v>
      </c>
      <c r="B554" s="576">
        <v>223746.57</v>
      </c>
      <c r="C554" s="576">
        <v>0</v>
      </c>
    </row>
    <row r="555" spans="1:3" hidden="1" outlineLevel="2" x14ac:dyDescent="0.25">
      <c r="A555" s="574" t="s">
        <v>1693</v>
      </c>
      <c r="B555" s="576">
        <v>6372</v>
      </c>
      <c r="C555" s="576">
        <v>0</v>
      </c>
    </row>
    <row r="556" spans="1:3" hidden="1" outlineLevel="2" x14ac:dyDescent="0.25">
      <c r="A556" s="574" t="s">
        <v>1693</v>
      </c>
      <c r="B556" s="576">
        <v>39736.5</v>
      </c>
      <c r="C556" s="576">
        <v>0</v>
      </c>
    </row>
    <row r="557" spans="1:3" hidden="1" outlineLevel="2" x14ac:dyDescent="0.25">
      <c r="A557" s="574" t="s">
        <v>1693</v>
      </c>
      <c r="B557" s="576">
        <v>46610</v>
      </c>
      <c r="C557" s="576">
        <v>0</v>
      </c>
    </row>
    <row r="558" spans="1:3" hidden="1" outlineLevel="2" x14ac:dyDescent="0.25">
      <c r="A558" s="574" t="s">
        <v>1693</v>
      </c>
      <c r="B558" s="576">
        <v>64793.8</v>
      </c>
      <c r="C558" s="576">
        <v>0</v>
      </c>
    </row>
    <row r="559" spans="1:3" outlineLevel="1" collapsed="1" x14ac:dyDescent="0.25">
      <c r="A559" s="580" t="s">
        <v>3684</v>
      </c>
      <c r="B559" s="576">
        <f>SUBTOTAL(9,B360:B558)</f>
        <v>29682785.630000014</v>
      </c>
      <c r="C559" s="576"/>
    </row>
    <row r="560" spans="1:3" hidden="1" outlineLevel="2" x14ac:dyDescent="0.25">
      <c r="A560" s="574" t="s">
        <v>1694</v>
      </c>
      <c r="B560" s="576">
        <v>153395.56</v>
      </c>
      <c r="C560" s="576">
        <v>0</v>
      </c>
    </row>
    <row r="561" spans="1:3" hidden="1" outlineLevel="2" x14ac:dyDescent="0.25">
      <c r="A561" s="574" t="s">
        <v>1694</v>
      </c>
      <c r="B561" s="576">
        <v>25905.67</v>
      </c>
      <c r="C561" s="576">
        <v>0</v>
      </c>
    </row>
    <row r="562" spans="1:3" hidden="1" outlineLevel="2" x14ac:dyDescent="0.25">
      <c r="A562" s="574" t="s">
        <v>1694</v>
      </c>
      <c r="B562" s="576">
        <v>182900</v>
      </c>
      <c r="C562" s="576">
        <v>0</v>
      </c>
    </row>
    <row r="563" spans="1:3" hidden="1" outlineLevel="2" x14ac:dyDescent="0.25">
      <c r="A563" s="574" t="s">
        <v>1694</v>
      </c>
      <c r="B563" s="576">
        <v>137104.73000000001</v>
      </c>
      <c r="C563" s="576">
        <v>0</v>
      </c>
    </row>
    <row r="564" spans="1:3" hidden="1" outlineLevel="2" x14ac:dyDescent="0.25">
      <c r="A564" s="574" t="s">
        <v>1694</v>
      </c>
      <c r="B564" s="576">
        <v>-137104.73000000001</v>
      </c>
      <c r="C564" s="576">
        <v>0</v>
      </c>
    </row>
    <row r="565" spans="1:3" hidden="1" outlineLevel="2" x14ac:dyDescent="0.25">
      <c r="A565" s="574" t="s">
        <v>1694</v>
      </c>
      <c r="B565" s="576">
        <v>461911</v>
      </c>
      <c r="C565" s="576">
        <v>0</v>
      </c>
    </row>
    <row r="566" spans="1:3" hidden="1" outlineLevel="2" x14ac:dyDescent="0.25">
      <c r="A566" s="574" t="s">
        <v>1694</v>
      </c>
      <c r="B566" s="576">
        <v>102070</v>
      </c>
      <c r="C566" s="576">
        <v>0</v>
      </c>
    </row>
    <row r="567" spans="1:3" hidden="1" outlineLevel="2" x14ac:dyDescent="0.25">
      <c r="A567" s="574" t="s">
        <v>1694</v>
      </c>
      <c r="B567" s="576">
        <v>632940.19999999995</v>
      </c>
      <c r="C567" s="576">
        <v>0</v>
      </c>
    </row>
    <row r="568" spans="1:3" hidden="1" outlineLevel="2" x14ac:dyDescent="0.25">
      <c r="A568" s="574" t="s">
        <v>1694</v>
      </c>
      <c r="B568" s="576">
        <v>61950</v>
      </c>
      <c r="C568" s="576">
        <v>0</v>
      </c>
    </row>
    <row r="569" spans="1:3" hidden="1" outlineLevel="2" x14ac:dyDescent="0.25">
      <c r="A569" s="574" t="s">
        <v>1694</v>
      </c>
      <c r="B569" s="576">
        <v>219008</v>
      </c>
      <c r="C569" s="576">
        <v>0</v>
      </c>
    </row>
    <row r="570" spans="1:3" hidden="1" outlineLevel="2" x14ac:dyDescent="0.25">
      <c r="A570" s="574" t="s">
        <v>1694</v>
      </c>
      <c r="B570" s="576">
        <v>156350</v>
      </c>
      <c r="C570" s="576">
        <v>0</v>
      </c>
    </row>
    <row r="571" spans="1:3" hidden="1" outlineLevel="2" x14ac:dyDescent="0.25">
      <c r="A571" s="574" t="s">
        <v>1694</v>
      </c>
      <c r="B571" s="576">
        <v>20650</v>
      </c>
      <c r="C571" s="576">
        <v>0</v>
      </c>
    </row>
    <row r="572" spans="1:3" hidden="1" outlineLevel="2" x14ac:dyDescent="0.25">
      <c r="A572" s="574" t="s">
        <v>1694</v>
      </c>
      <c r="B572" s="576">
        <v>80719.08</v>
      </c>
      <c r="C572" s="576">
        <v>0</v>
      </c>
    </row>
    <row r="573" spans="1:3" hidden="1" outlineLevel="2" x14ac:dyDescent="0.25">
      <c r="A573" s="574" t="s">
        <v>1694</v>
      </c>
      <c r="B573" s="576">
        <v>182267.51999999999</v>
      </c>
      <c r="C573" s="576">
        <v>0</v>
      </c>
    </row>
    <row r="574" spans="1:3" hidden="1" outlineLevel="2" x14ac:dyDescent="0.25">
      <c r="A574" s="574" t="s">
        <v>1694</v>
      </c>
      <c r="B574" s="576">
        <v>94400</v>
      </c>
      <c r="C574" s="576">
        <v>0</v>
      </c>
    </row>
    <row r="575" spans="1:3" hidden="1" outlineLevel="2" x14ac:dyDescent="0.25">
      <c r="A575" s="574" t="s">
        <v>1694</v>
      </c>
      <c r="B575" s="576">
        <v>243906</v>
      </c>
      <c r="C575" s="576">
        <v>0</v>
      </c>
    </row>
    <row r="576" spans="1:3" hidden="1" outlineLevel="2" x14ac:dyDescent="0.25">
      <c r="A576" s="574" t="s">
        <v>1694</v>
      </c>
      <c r="B576" s="576">
        <v>153282</v>
      </c>
      <c r="C576" s="576">
        <v>0</v>
      </c>
    </row>
    <row r="577" spans="1:3" hidden="1" outlineLevel="2" x14ac:dyDescent="0.25">
      <c r="A577" s="574" t="s">
        <v>1694</v>
      </c>
      <c r="B577" s="576">
        <v>126000.4</v>
      </c>
      <c r="C577" s="576">
        <v>0</v>
      </c>
    </row>
    <row r="578" spans="1:3" hidden="1" outlineLevel="2" x14ac:dyDescent="0.25">
      <c r="A578" s="574" t="s">
        <v>1694</v>
      </c>
      <c r="B578" s="576">
        <v>92004.6</v>
      </c>
      <c r="C578" s="576">
        <v>0</v>
      </c>
    </row>
    <row r="579" spans="1:3" hidden="1" outlineLevel="2" x14ac:dyDescent="0.25">
      <c r="A579" s="574" t="s">
        <v>1694</v>
      </c>
      <c r="B579" s="576">
        <v>16620.3</v>
      </c>
      <c r="C579" s="576">
        <v>0</v>
      </c>
    </row>
    <row r="580" spans="1:3" hidden="1" outlineLevel="2" x14ac:dyDescent="0.25">
      <c r="A580" s="574" t="s">
        <v>1694</v>
      </c>
      <c r="B580" s="576">
        <v>149956.29999999999</v>
      </c>
      <c r="C580" s="576">
        <v>0</v>
      </c>
    </row>
    <row r="581" spans="1:3" hidden="1" outlineLevel="2" x14ac:dyDescent="0.25">
      <c r="A581" s="574" t="s">
        <v>1694</v>
      </c>
      <c r="B581" s="576">
        <v>15222</v>
      </c>
      <c r="C581" s="576">
        <v>0</v>
      </c>
    </row>
    <row r="582" spans="1:3" hidden="1" outlineLevel="2" x14ac:dyDescent="0.25">
      <c r="A582" s="574" t="s">
        <v>1694</v>
      </c>
      <c r="B582" s="576">
        <v>211459.92</v>
      </c>
      <c r="C582" s="576">
        <v>0</v>
      </c>
    </row>
    <row r="583" spans="1:3" hidden="1" outlineLevel="2" x14ac:dyDescent="0.25">
      <c r="A583" s="574" t="s">
        <v>1694</v>
      </c>
      <c r="B583" s="576">
        <v>140847.16</v>
      </c>
      <c r="C583" s="576">
        <v>0</v>
      </c>
    </row>
    <row r="584" spans="1:3" hidden="1" outlineLevel="2" x14ac:dyDescent="0.25">
      <c r="A584" s="574" t="s">
        <v>1694</v>
      </c>
      <c r="B584" s="576">
        <v>5966.32</v>
      </c>
      <c r="C584" s="576">
        <v>0</v>
      </c>
    </row>
    <row r="585" spans="1:3" hidden="1" outlineLevel="2" x14ac:dyDescent="0.25">
      <c r="A585" s="574" t="s">
        <v>1694</v>
      </c>
      <c r="B585" s="576">
        <v>55414.61</v>
      </c>
      <c r="C585" s="576">
        <v>0</v>
      </c>
    </row>
    <row r="586" spans="1:3" hidden="1" outlineLevel="2" x14ac:dyDescent="0.25">
      <c r="A586" s="574" t="s">
        <v>1694</v>
      </c>
      <c r="B586" s="576">
        <v>108258.6</v>
      </c>
      <c r="C586" s="576">
        <v>0</v>
      </c>
    </row>
    <row r="587" spans="1:3" hidden="1" outlineLevel="2" x14ac:dyDescent="0.25">
      <c r="A587" s="574" t="s">
        <v>1694</v>
      </c>
      <c r="B587" s="576">
        <v>27159.97</v>
      </c>
      <c r="C587" s="576">
        <v>0</v>
      </c>
    </row>
    <row r="588" spans="1:3" hidden="1" outlineLevel="2" x14ac:dyDescent="0.25">
      <c r="A588" s="574" t="s">
        <v>1694</v>
      </c>
      <c r="B588" s="576">
        <v>49721.73</v>
      </c>
      <c r="C588" s="576">
        <v>0</v>
      </c>
    </row>
    <row r="589" spans="1:3" hidden="1" outlineLevel="2" x14ac:dyDescent="0.25">
      <c r="A589" s="574" t="s">
        <v>1694</v>
      </c>
      <c r="B589" s="576">
        <v>230079.11</v>
      </c>
      <c r="C589" s="576">
        <v>0</v>
      </c>
    </row>
    <row r="590" spans="1:3" hidden="1" outlineLevel="2" x14ac:dyDescent="0.25">
      <c r="A590" s="574" t="s">
        <v>1694</v>
      </c>
      <c r="B590" s="576">
        <v>57702</v>
      </c>
      <c r="C590" s="576">
        <v>0</v>
      </c>
    </row>
    <row r="591" spans="1:3" hidden="1" outlineLevel="2" x14ac:dyDescent="0.25">
      <c r="A591" s="574" t="s">
        <v>1694</v>
      </c>
      <c r="B591" s="576">
        <v>49453.8</v>
      </c>
      <c r="C591" s="576">
        <v>0</v>
      </c>
    </row>
    <row r="592" spans="1:3" hidden="1" outlineLevel="2" x14ac:dyDescent="0.25">
      <c r="A592" s="574" t="s">
        <v>1694</v>
      </c>
      <c r="B592" s="576">
        <v>61140.99</v>
      </c>
      <c r="C592" s="576">
        <v>0</v>
      </c>
    </row>
    <row r="593" spans="1:3" hidden="1" outlineLevel="2" x14ac:dyDescent="0.25">
      <c r="A593" s="574" t="s">
        <v>1694</v>
      </c>
      <c r="B593" s="576">
        <v>51212</v>
      </c>
      <c r="C593" s="576">
        <v>0</v>
      </c>
    </row>
    <row r="594" spans="1:3" hidden="1" outlineLevel="2" x14ac:dyDescent="0.25">
      <c r="A594" s="574" t="s">
        <v>1694</v>
      </c>
      <c r="B594" s="576">
        <v>26028.68</v>
      </c>
      <c r="C594" s="576">
        <v>0</v>
      </c>
    </row>
    <row r="595" spans="1:3" hidden="1" outlineLevel="2" x14ac:dyDescent="0.25">
      <c r="A595" s="574" t="s">
        <v>1694</v>
      </c>
      <c r="B595" s="576">
        <v>77880</v>
      </c>
      <c r="C595" s="576">
        <v>0</v>
      </c>
    </row>
    <row r="596" spans="1:3" hidden="1" outlineLevel="2" x14ac:dyDescent="0.25">
      <c r="A596" s="574" t="s">
        <v>1694</v>
      </c>
      <c r="B596" s="576">
        <v>1016157</v>
      </c>
      <c r="C596" s="576">
        <v>0</v>
      </c>
    </row>
    <row r="597" spans="1:3" hidden="1" outlineLevel="2" x14ac:dyDescent="0.25">
      <c r="A597" s="574" t="s">
        <v>1694</v>
      </c>
      <c r="B597" s="576">
        <v>124872.68</v>
      </c>
      <c r="C597" s="576">
        <v>0</v>
      </c>
    </row>
    <row r="598" spans="1:3" outlineLevel="1" collapsed="1" x14ac:dyDescent="0.25">
      <c r="A598" s="580" t="s">
        <v>3685</v>
      </c>
      <c r="B598" s="576">
        <f>SUBTOTAL(9,B560:B597)</f>
        <v>5464813.1999999993</v>
      </c>
      <c r="C598" s="576"/>
    </row>
    <row r="599" spans="1:3" hidden="1" outlineLevel="2" x14ac:dyDescent="0.25">
      <c r="A599" s="574" t="s">
        <v>2656</v>
      </c>
      <c r="B599" s="576">
        <v>52307.68</v>
      </c>
      <c r="C599" s="576">
        <v>0</v>
      </c>
    </row>
    <row r="600" spans="1:3" hidden="1" outlineLevel="2" x14ac:dyDescent="0.25">
      <c r="A600" s="574" t="s">
        <v>2656</v>
      </c>
      <c r="B600" s="576">
        <v>-52307.68</v>
      </c>
      <c r="C600" s="576">
        <v>0</v>
      </c>
    </row>
    <row r="601" spans="1:3" hidden="1" outlineLevel="2" x14ac:dyDescent="0.25">
      <c r="A601" s="574" t="s">
        <v>2656</v>
      </c>
      <c r="B601" s="576">
        <v>52307.69</v>
      </c>
      <c r="C601" s="576">
        <v>0</v>
      </c>
    </row>
    <row r="602" spans="1:3" outlineLevel="1" collapsed="1" x14ac:dyDescent="0.25">
      <c r="A602" s="580" t="s">
        <v>3686</v>
      </c>
      <c r="B602" s="576">
        <f>SUBTOTAL(9,B599:B601)</f>
        <v>52307.69</v>
      </c>
      <c r="C602" s="576"/>
    </row>
    <row r="603" spans="1:3" hidden="1" outlineLevel="2" x14ac:dyDescent="0.25">
      <c r="A603" s="574" t="s">
        <v>1695</v>
      </c>
      <c r="B603" s="576">
        <v>43891.28</v>
      </c>
      <c r="C603" s="576">
        <v>0</v>
      </c>
    </row>
    <row r="604" spans="1:3" hidden="1" outlineLevel="2" x14ac:dyDescent="0.25">
      <c r="A604" s="574" t="s">
        <v>1695</v>
      </c>
      <c r="B604" s="576">
        <v>306337.44</v>
      </c>
      <c r="C604" s="576">
        <v>0</v>
      </c>
    </row>
    <row r="605" spans="1:3" hidden="1" outlineLevel="2" x14ac:dyDescent="0.25">
      <c r="A605" s="574" t="s">
        <v>1695</v>
      </c>
      <c r="B605" s="576">
        <v>105480</v>
      </c>
      <c r="C605" s="576">
        <v>0</v>
      </c>
    </row>
    <row r="606" spans="1:3" hidden="1" outlineLevel="2" x14ac:dyDescent="0.25">
      <c r="A606" s="574" t="s">
        <v>1695</v>
      </c>
      <c r="B606" s="576">
        <v>1176714.4099999999</v>
      </c>
      <c r="C606" s="576">
        <v>0</v>
      </c>
    </row>
    <row r="607" spans="1:3" hidden="1" outlineLevel="2" x14ac:dyDescent="0.25">
      <c r="A607" s="574" t="s">
        <v>1695</v>
      </c>
      <c r="B607" s="576">
        <v>1230928.8</v>
      </c>
      <c r="C607" s="576">
        <v>0</v>
      </c>
    </row>
    <row r="608" spans="1:3" hidden="1" outlineLevel="2" x14ac:dyDescent="0.25">
      <c r="A608" s="574" t="s">
        <v>1695</v>
      </c>
      <c r="B608" s="576">
        <v>1132800</v>
      </c>
      <c r="C608" s="576">
        <v>0</v>
      </c>
    </row>
    <row r="609" spans="1:3" hidden="1" outlineLevel="2" x14ac:dyDescent="0.25">
      <c r="A609" s="574" t="s">
        <v>1695</v>
      </c>
      <c r="B609" s="576">
        <v>32544.400000000001</v>
      </c>
      <c r="C609" s="576">
        <v>0</v>
      </c>
    </row>
    <row r="610" spans="1:3" hidden="1" outlineLevel="2" x14ac:dyDescent="0.25">
      <c r="A610" s="574" t="s">
        <v>1695</v>
      </c>
      <c r="B610" s="576">
        <v>-32544.400000000001</v>
      </c>
      <c r="C610" s="576">
        <v>0</v>
      </c>
    </row>
    <row r="611" spans="1:3" hidden="1" outlineLevel="2" x14ac:dyDescent="0.25">
      <c r="A611" s="574" t="s">
        <v>1695</v>
      </c>
      <c r="B611" s="576">
        <v>489346</v>
      </c>
      <c r="C611" s="576">
        <v>0</v>
      </c>
    </row>
    <row r="612" spans="1:3" hidden="1" outlineLevel="2" x14ac:dyDescent="0.25">
      <c r="A612" s="574" t="s">
        <v>1695</v>
      </c>
      <c r="B612" s="576">
        <v>120836.72</v>
      </c>
      <c r="C612" s="576">
        <v>0</v>
      </c>
    </row>
    <row r="613" spans="1:3" hidden="1" outlineLevel="2" x14ac:dyDescent="0.25">
      <c r="A613" s="574" t="s">
        <v>1695</v>
      </c>
      <c r="B613" s="576">
        <v>32544.400000000001</v>
      </c>
      <c r="C613" s="576">
        <v>0</v>
      </c>
    </row>
    <row r="614" spans="1:3" hidden="1" outlineLevel="2" x14ac:dyDescent="0.25">
      <c r="A614" s="574" t="s">
        <v>1695</v>
      </c>
      <c r="B614" s="576">
        <v>239693.4</v>
      </c>
      <c r="C614" s="576">
        <v>0</v>
      </c>
    </row>
    <row r="615" spans="1:3" hidden="1" outlineLevel="2" x14ac:dyDescent="0.25">
      <c r="A615" s="574" t="s">
        <v>1695</v>
      </c>
      <c r="B615" s="576">
        <v>929250</v>
      </c>
      <c r="C615" s="576">
        <v>0</v>
      </c>
    </row>
    <row r="616" spans="1:3" hidden="1" outlineLevel="2" x14ac:dyDescent="0.25">
      <c r="A616" s="574" t="s">
        <v>1695</v>
      </c>
      <c r="B616" s="576">
        <v>371700</v>
      </c>
      <c r="C616" s="576">
        <v>0</v>
      </c>
    </row>
    <row r="617" spans="1:3" hidden="1" outlineLevel="2" x14ac:dyDescent="0.25">
      <c r="A617" s="574" t="s">
        <v>1695</v>
      </c>
      <c r="B617" s="576">
        <v>1031320</v>
      </c>
      <c r="C617" s="576">
        <v>0</v>
      </c>
    </row>
    <row r="618" spans="1:3" hidden="1" outlineLevel="2" x14ac:dyDescent="0.25">
      <c r="A618" s="574" t="s">
        <v>1695</v>
      </c>
      <c r="B618" s="576">
        <v>-1031320</v>
      </c>
      <c r="C618" s="576">
        <v>0</v>
      </c>
    </row>
    <row r="619" spans="1:3" hidden="1" outlineLevel="2" x14ac:dyDescent="0.25">
      <c r="A619" s="574" t="s">
        <v>1695</v>
      </c>
      <c r="B619" s="576">
        <v>609673.18000000005</v>
      </c>
      <c r="C619" s="576">
        <v>0</v>
      </c>
    </row>
    <row r="620" spans="1:3" hidden="1" outlineLevel="2" x14ac:dyDescent="0.25">
      <c r="A620" s="574" t="s">
        <v>1695</v>
      </c>
      <c r="B620" s="576">
        <v>94341</v>
      </c>
      <c r="C620" s="576">
        <v>0</v>
      </c>
    </row>
    <row r="621" spans="1:3" hidden="1" outlineLevel="2" x14ac:dyDescent="0.25">
      <c r="A621" s="574" t="s">
        <v>1695</v>
      </c>
      <c r="B621" s="576">
        <v>454300</v>
      </c>
      <c r="C621" s="576">
        <v>0</v>
      </c>
    </row>
    <row r="622" spans="1:3" hidden="1" outlineLevel="2" x14ac:dyDescent="0.25">
      <c r="A622" s="574" t="s">
        <v>1695</v>
      </c>
      <c r="B622" s="576">
        <v>23010</v>
      </c>
      <c r="C622" s="576">
        <v>0</v>
      </c>
    </row>
    <row r="623" spans="1:3" hidden="1" outlineLevel="2" x14ac:dyDescent="0.25">
      <c r="A623" s="574" t="s">
        <v>1695</v>
      </c>
      <c r="B623" s="576">
        <v>1468274</v>
      </c>
      <c r="C623" s="576">
        <v>0</v>
      </c>
    </row>
    <row r="624" spans="1:3" hidden="1" outlineLevel="2" x14ac:dyDescent="0.25">
      <c r="A624" s="574" t="s">
        <v>1695</v>
      </c>
      <c r="B624" s="576">
        <v>115886.79</v>
      </c>
      <c r="C624" s="576">
        <v>0</v>
      </c>
    </row>
    <row r="625" spans="1:3" hidden="1" outlineLevel="2" x14ac:dyDescent="0.25">
      <c r="A625" s="574" t="s">
        <v>1695</v>
      </c>
      <c r="B625" s="576">
        <v>1031320</v>
      </c>
      <c r="C625" s="576">
        <v>0</v>
      </c>
    </row>
    <row r="626" spans="1:3" hidden="1" outlineLevel="2" x14ac:dyDescent="0.25">
      <c r="A626" s="574" t="s">
        <v>1695</v>
      </c>
      <c r="B626" s="576">
        <v>1227200</v>
      </c>
      <c r="C626" s="576">
        <v>0</v>
      </c>
    </row>
    <row r="627" spans="1:3" hidden="1" outlineLevel="2" x14ac:dyDescent="0.25">
      <c r="A627" s="574" t="s">
        <v>1695</v>
      </c>
      <c r="B627" s="576">
        <v>194657.52</v>
      </c>
      <c r="C627" s="576">
        <v>0</v>
      </c>
    </row>
    <row r="628" spans="1:3" hidden="1" outlineLevel="2" x14ac:dyDescent="0.25">
      <c r="A628" s="574" t="s">
        <v>1695</v>
      </c>
      <c r="B628" s="576">
        <v>24544</v>
      </c>
      <c r="C628" s="576">
        <v>0</v>
      </c>
    </row>
    <row r="629" spans="1:3" hidden="1" outlineLevel="2" x14ac:dyDescent="0.25">
      <c r="A629" s="574" t="s">
        <v>1695</v>
      </c>
      <c r="B629" s="576">
        <v>67496</v>
      </c>
      <c r="C629" s="576">
        <v>0</v>
      </c>
    </row>
    <row r="630" spans="1:3" hidden="1" outlineLevel="2" x14ac:dyDescent="0.25">
      <c r="A630" s="574" t="s">
        <v>1695</v>
      </c>
      <c r="B630" s="576">
        <v>108855</v>
      </c>
      <c r="C630" s="576">
        <v>0</v>
      </c>
    </row>
    <row r="631" spans="1:3" hidden="1" outlineLevel="2" x14ac:dyDescent="0.25">
      <c r="A631" s="574" t="s">
        <v>1695</v>
      </c>
      <c r="B631" s="576">
        <v>212227.72</v>
      </c>
      <c r="C631" s="576">
        <v>0</v>
      </c>
    </row>
    <row r="632" spans="1:3" hidden="1" outlineLevel="2" x14ac:dyDescent="0.25">
      <c r="A632" s="574" t="s">
        <v>1695</v>
      </c>
      <c r="B632" s="576">
        <v>1500000.66</v>
      </c>
      <c r="C632" s="576">
        <v>0</v>
      </c>
    </row>
    <row r="633" spans="1:3" hidden="1" outlineLevel="2" x14ac:dyDescent="0.25">
      <c r="A633" s="574" t="s">
        <v>1695</v>
      </c>
      <c r="B633" s="576">
        <v>1228664.6200000001</v>
      </c>
      <c r="C633" s="576">
        <v>0</v>
      </c>
    </row>
    <row r="634" spans="1:3" hidden="1" outlineLevel="2" x14ac:dyDescent="0.25">
      <c r="A634" s="574" t="s">
        <v>1695</v>
      </c>
      <c r="B634" s="576">
        <v>32656.5</v>
      </c>
      <c r="C634" s="576">
        <v>0</v>
      </c>
    </row>
    <row r="635" spans="1:3" hidden="1" outlineLevel="2" x14ac:dyDescent="0.25">
      <c r="A635" s="574" t="s">
        <v>1695</v>
      </c>
      <c r="B635" s="576">
        <v>-32656.5</v>
      </c>
      <c r="C635" s="576">
        <v>0</v>
      </c>
    </row>
    <row r="636" spans="1:3" hidden="1" outlineLevel="2" x14ac:dyDescent="0.25">
      <c r="A636" s="574" t="s">
        <v>1695</v>
      </c>
      <c r="B636" s="576">
        <v>177000</v>
      </c>
      <c r="C636" s="576">
        <v>0</v>
      </c>
    </row>
    <row r="637" spans="1:3" hidden="1" outlineLevel="2" x14ac:dyDescent="0.25">
      <c r="A637" s="574" t="s">
        <v>1695</v>
      </c>
      <c r="B637" s="576">
        <v>32656.5</v>
      </c>
      <c r="C637" s="576">
        <v>0</v>
      </c>
    </row>
    <row r="638" spans="1:3" hidden="1" outlineLevel="2" x14ac:dyDescent="0.25">
      <c r="A638" s="574" t="s">
        <v>1695</v>
      </c>
      <c r="B638" s="576">
        <v>103580.4</v>
      </c>
      <c r="C638" s="576">
        <v>0</v>
      </c>
    </row>
    <row r="639" spans="1:3" outlineLevel="1" collapsed="1" x14ac:dyDescent="0.25">
      <c r="A639" s="580" t="s">
        <v>3687</v>
      </c>
      <c r="B639" s="576">
        <f>SUBTOTAL(9,B603:B638)</f>
        <v>14853209.839999998</v>
      </c>
      <c r="C639" s="576"/>
    </row>
    <row r="640" spans="1:3" hidden="1" outlineLevel="2" x14ac:dyDescent="0.25">
      <c r="A640" s="574" t="s">
        <v>1696</v>
      </c>
      <c r="B640" s="576">
        <v>64605</v>
      </c>
      <c r="C640" s="576">
        <v>0</v>
      </c>
    </row>
    <row r="641" spans="1:3" hidden="1" outlineLevel="2" x14ac:dyDescent="0.25">
      <c r="A641" s="574" t="s">
        <v>1696</v>
      </c>
      <c r="B641" s="576">
        <v>181720</v>
      </c>
      <c r="C641" s="576">
        <v>0</v>
      </c>
    </row>
    <row r="642" spans="1:3" hidden="1" outlineLevel="2" x14ac:dyDescent="0.25">
      <c r="A642" s="574" t="s">
        <v>1696</v>
      </c>
      <c r="B642" s="576">
        <v>14750</v>
      </c>
      <c r="C642" s="576">
        <v>0</v>
      </c>
    </row>
    <row r="643" spans="1:3" hidden="1" outlineLevel="2" x14ac:dyDescent="0.25">
      <c r="A643" s="574" t="s">
        <v>1696</v>
      </c>
      <c r="B643" s="576">
        <v>157062.72</v>
      </c>
      <c r="C643" s="576">
        <v>0</v>
      </c>
    </row>
    <row r="644" spans="1:3" hidden="1" outlineLevel="2" x14ac:dyDescent="0.25">
      <c r="A644" s="574" t="s">
        <v>1696</v>
      </c>
      <c r="B644" s="576">
        <v>77880</v>
      </c>
      <c r="C644" s="576">
        <v>0</v>
      </c>
    </row>
    <row r="645" spans="1:3" outlineLevel="1" collapsed="1" x14ac:dyDescent="0.25">
      <c r="A645" s="580" t="s">
        <v>3688</v>
      </c>
      <c r="B645" s="576">
        <f>SUBTOTAL(9,B640:B644)</f>
        <v>496017.72</v>
      </c>
      <c r="C645" s="576"/>
    </row>
    <row r="646" spans="1:3" hidden="1" outlineLevel="2" x14ac:dyDescent="0.25">
      <c r="A646" s="574" t="s">
        <v>2686</v>
      </c>
      <c r="B646" s="576">
        <v>5310</v>
      </c>
      <c r="C646" s="576">
        <v>0</v>
      </c>
    </row>
    <row r="647" spans="1:3" outlineLevel="1" collapsed="1" x14ac:dyDescent="0.25">
      <c r="A647" s="580" t="s">
        <v>3689</v>
      </c>
      <c r="B647" s="576">
        <f>SUBTOTAL(9,B646:B646)</f>
        <v>5310</v>
      </c>
      <c r="C647" s="576"/>
    </row>
    <row r="648" spans="1:3" x14ac:dyDescent="0.25">
      <c r="A648" s="580" t="s">
        <v>3690</v>
      </c>
      <c r="B648" s="576">
        <f>SUBTOTAL(9,B2:B646)</f>
        <v>454404442.74999982</v>
      </c>
      <c r="C648" s="576"/>
    </row>
    <row r="650" spans="1:3" x14ac:dyDescent="0.25">
      <c r="B650" s="577">
        <f>SUBTOTAL(9,B2:B649)</f>
        <v>454404442.74999982</v>
      </c>
      <c r="C650" s="577">
        <f>SUBTOTAL(9,C2:C649)</f>
        <v>0</v>
      </c>
    </row>
  </sheetData>
  <sortState ref="A2:G626">
    <sortCondition ref="A2:A626"/>
  </sortState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L317"/>
  <sheetViews>
    <sheetView topLeftCell="A49" zoomScaleNormal="100" workbookViewId="0">
      <selection activeCell="J23" sqref="J23"/>
    </sheetView>
  </sheetViews>
  <sheetFormatPr baseColWidth="10" defaultColWidth="9.140625" defaultRowHeight="12.75" x14ac:dyDescent="0.2"/>
  <cols>
    <col min="1" max="3" width="9.140625" style="168" customWidth="1"/>
    <col min="4" max="4" width="14.42578125" style="168" bestFit="1" customWidth="1"/>
    <col min="5" max="6" width="9.140625" style="168" customWidth="1"/>
    <col min="7" max="7" width="20.85546875" style="168" bestFit="1" customWidth="1"/>
    <col min="8" max="8" width="15" style="167" bestFit="1" customWidth="1"/>
    <col min="9" max="9" width="17.28515625" style="168" bestFit="1" customWidth="1"/>
    <col min="10" max="10" width="12.85546875" style="167" bestFit="1" customWidth="1"/>
    <col min="11" max="11" width="12.85546875" style="168" bestFit="1" customWidth="1"/>
    <col min="12" max="256" width="9.140625" style="168"/>
    <col min="257" max="259" width="9.140625" style="168" customWidth="1"/>
    <col min="260" max="260" width="14.42578125" style="168" bestFit="1" customWidth="1"/>
    <col min="261" max="262" width="9.140625" style="168" customWidth="1"/>
    <col min="263" max="263" width="20.85546875" style="168" bestFit="1" customWidth="1"/>
    <col min="264" max="264" width="15" style="168" bestFit="1" customWidth="1"/>
    <col min="265" max="265" width="17.28515625" style="168" bestFit="1" customWidth="1"/>
    <col min="266" max="267" width="12.85546875" style="168" bestFit="1" customWidth="1"/>
    <col min="268" max="512" width="9.140625" style="168"/>
    <col min="513" max="515" width="9.140625" style="168" customWidth="1"/>
    <col min="516" max="516" width="14.42578125" style="168" bestFit="1" customWidth="1"/>
    <col min="517" max="518" width="9.140625" style="168" customWidth="1"/>
    <col min="519" max="519" width="20.85546875" style="168" bestFit="1" customWidth="1"/>
    <col min="520" max="520" width="15" style="168" bestFit="1" customWidth="1"/>
    <col min="521" max="521" width="17.28515625" style="168" bestFit="1" customWidth="1"/>
    <col min="522" max="523" width="12.85546875" style="168" bestFit="1" customWidth="1"/>
    <col min="524" max="768" width="9.140625" style="168"/>
    <col min="769" max="771" width="9.140625" style="168" customWidth="1"/>
    <col min="772" max="772" width="14.42578125" style="168" bestFit="1" customWidth="1"/>
    <col min="773" max="774" width="9.140625" style="168" customWidth="1"/>
    <col min="775" max="775" width="20.85546875" style="168" bestFit="1" customWidth="1"/>
    <col min="776" max="776" width="15" style="168" bestFit="1" customWidth="1"/>
    <col min="777" max="777" width="17.28515625" style="168" bestFit="1" customWidth="1"/>
    <col min="778" max="779" width="12.85546875" style="168" bestFit="1" customWidth="1"/>
    <col min="780" max="1024" width="9.140625" style="168"/>
    <col min="1025" max="1027" width="9.140625" style="168" customWidth="1"/>
    <col min="1028" max="1028" width="14.42578125" style="168" bestFit="1" customWidth="1"/>
    <col min="1029" max="1030" width="9.140625" style="168" customWidth="1"/>
    <col min="1031" max="1031" width="20.85546875" style="168" bestFit="1" customWidth="1"/>
    <col min="1032" max="1032" width="15" style="168" bestFit="1" customWidth="1"/>
    <col min="1033" max="1033" width="17.28515625" style="168" bestFit="1" customWidth="1"/>
    <col min="1034" max="1035" width="12.85546875" style="168" bestFit="1" customWidth="1"/>
    <col min="1036" max="1280" width="9.140625" style="168"/>
    <col min="1281" max="1283" width="9.140625" style="168" customWidth="1"/>
    <col min="1284" max="1284" width="14.42578125" style="168" bestFit="1" customWidth="1"/>
    <col min="1285" max="1286" width="9.140625" style="168" customWidth="1"/>
    <col min="1287" max="1287" width="20.85546875" style="168" bestFit="1" customWidth="1"/>
    <col min="1288" max="1288" width="15" style="168" bestFit="1" customWidth="1"/>
    <col min="1289" max="1289" width="17.28515625" style="168" bestFit="1" customWidth="1"/>
    <col min="1290" max="1291" width="12.85546875" style="168" bestFit="1" customWidth="1"/>
    <col min="1292" max="1536" width="9.140625" style="168"/>
    <col min="1537" max="1539" width="9.140625" style="168" customWidth="1"/>
    <col min="1540" max="1540" width="14.42578125" style="168" bestFit="1" customWidth="1"/>
    <col min="1541" max="1542" width="9.140625" style="168" customWidth="1"/>
    <col min="1543" max="1543" width="20.85546875" style="168" bestFit="1" customWidth="1"/>
    <col min="1544" max="1544" width="15" style="168" bestFit="1" customWidth="1"/>
    <col min="1545" max="1545" width="17.28515625" style="168" bestFit="1" customWidth="1"/>
    <col min="1546" max="1547" width="12.85546875" style="168" bestFit="1" customWidth="1"/>
    <col min="1548" max="1792" width="9.140625" style="168"/>
    <col min="1793" max="1795" width="9.140625" style="168" customWidth="1"/>
    <col min="1796" max="1796" width="14.42578125" style="168" bestFit="1" customWidth="1"/>
    <col min="1797" max="1798" width="9.140625" style="168" customWidth="1"/>
    <col min="1799" max="1799" width="20.85546875" style="168" bestFit="1" customWidth="1"/>
    <col min="1800" max="1800" width="15" style="168" bestFit="1" customWidth="1"/>
    <col min="1801" max="1801" width="17.28515625" style="168" bestFit="1" customWidth="1"/>
    <col min="1802" max="1803" width="12.85546875" style="168" bestFit="1" customWidth="1"/>
    <col min="1804" max="2048" width="9.140625" style="168"/>
    <col min="2049" max="2051" width="9.140625" style="168" customWidth="1"/>
    <col min="2052" max="2052" width="14.42578125" style="168" bestFit="1" customWidth="1"/>
    <col min="2053" max="2054" width="9.140625" style="168" customWidth="1"/>
    <col min="2055" max="2055" width="20.85546875" style="168" bestFit="1" customWidth="1"/>
    <col min="2056" max="2056" width="15" style="168" bestFit="1" customWidth="1"/>
    <col min="2057" max="2057" width="17.28515625" style="168" bestFit="1" customWidth="1"/>
    <col min="2058" max="2059" width="12.85546875" style="168" bestFit="1" customWidth="1"/>
    <col min="2060" max="2304" width="9.140625" style="168"/>
    <col min="2305" max="2307" width="9.140625" style="168" customWidth="1"/>
    <col min="2308" max="2308" width="14.42578125" style="168" bestFit="1" customWidth="1"/>
    <col min="2309" max="2310" width="9.140625" style="168" customWidth="1"/>
    <col min="2311" max="2311" width="20.85546875" style="168" bestFit="1" customWidth="1"/>
    <col min="2312" max="2312" width="15" style="168" bestFit="1" customWidth="1"/>
    <col min="2313" max="2313" width="17.28515625" style="168" bestFit="1" customWidth="1"/>
    <col min="2314" max="2315" width="12.85546875" style="168" bestFit="1" customWidth="1"/>
    <col min="2316" max="2560" width="9.140625" style="168"/>
    <col min="2561" max="2563" width="9.140625" style="168" customWidth="1"/>
    <col min="2564" max="2564" width="14.42578125" style="168" bestFit="1" customWidth="1"/>
    <col min="2565" max="2566" width="9.140625" style="168" customWidth="1"/>
    <col min="2567" max="2567" width="20.85546875" style="168" bestFit="1" customWidth="1"/>
    <col min="2568" max="2568" width="15" style="168" bestFit="1" customWidth="1"/>
    <col min="2569" max="2569" width="17.28515625" style="168" bestFit="1" customWidth="1"/>
    <col min="2570" max="2571" width="12.85546875" style="168" bestFit="1" customWidth="1"/>
    <col min="2572" max="2816" width="9.140625" style="168"/>
    <col min="2817" max="2819" width="9.140625" style="168" customWidth="1"/>
    <col min="2820" max="2820" width="14.42578125" style="168" bestFit="1" customWidth="1"/>
    <col min="2821" max="2822" width="9.140625" style="168" customWidth="1"/>
    <col min="2823" max="2823" width="20.85546875" style="168" bestFit="1" customWidth="1"/>
    <col min="2824" max="2824" width="15" style="168" bestFit="1" customWidth="1"/>
    <col min="2825" max="2825" width="17.28515625" style="168" bestFit="1" customWidth="1"/>
    <col min="2826" max="2827" width="12.85546875" style="168" bestFit="1" customWidth="1"/>
    <col min="2828" max="3072" width="9.140625" style="168"/>
    <col min="3073" max="3075" width="9.140625" style="168" customWidth="1"/>
    <col min="3076" max="3076" width="14.42578125" style="168" bestFit="1" customWidth="1"/>
    <col min="3077" max="3078" width="9.140625" style="168" customWidth="1"/>
    <col min="3079" max="3079" width="20.85546875" style="168" bestFit="1" customWidth="1"/>
    <col min="3080" max="3080" width="15" style="168" bestFit="1" customWidth="1"/>
    <col min="3081" max="3081" width="17.28515625" style="168" bestFit="1" customWidth="1"/>
    <col min="3082" max="3083" width="12.85546875" style="168" bestFit="1" customWidth="1"/>
    <col min="3084" max="3328" width="9.140625" style="168"/>
    <col min="3329" max="3331" width="9.140625" style="168" customWidth="1"/>
    <col min="3332" max="3332" width="14.42578125" style="168" bestFit="1" customWidth="1"/>
    <col min="3333" max="3334" width="9.140625" style="168" customWidth="1"/>
    <col min="3335" max="3335" width="20.85546875" style="168" bestFit="1" customWidth="1"/>
    <col min="3336" max="3336" width="15" style="168" bestFit="1" customWidth="1"/>
    <col min="3337" max="3337" width="17.28515625" style="168" bestFit="1" customWidth="1"/>
    <col min="3338" max="3339" width="12.85546875" style="168" bestFit="1" customWidth="1"/>
    <col min="3340" max="3584" width="9.140625" style="168"/>
    <col min="3585" max="3587" width="9.140625" style="168" customWidth="1"/>
    <col min="3588" max="3588" width="14.42578125" style="168" bestFit="1" customWidth="1"/>
    <col min="3589" max="3590" width="9.140625" style="168" customWidth="1"/>
    <col min="3591" max="3591" width="20.85546875" style="168" bestFit="1" customWidth="1"/>
    <col min="3592" max="3592" width="15" style="168" bestFit="1" customWidth="1"/>
    <col min="3593" max="3593" width="17.28515625" style="168" bestFit="1" customWidth="1"/>
    <col min="3594" max="3595" width="12.85546875" style="168" bestFit="1" customWidth="1"/>
    <col min="3596" max="3840" width="9.140625" style="168"/>
    <col min="3841" max="3843" width="9.140625" style="168" customWidth="1"/>
    <col min="3844" max="3844" width="14.42578125" style="168" bestFit="1" customWidth="1"/>
    <col min="3845" max="3846" width="9.140625" style="168" customWidth="1"/>
    <col min="3847" max="3847" width="20.85546875" style="168" bestFit="1" customWidth="1"/>
    <col min="3848" max="3848" width="15" style="168" bestFit="1" customWidth="1"/>
    <col min="3849" max="3849" width="17.28515625" style="168" bestFit="1" customWidth="1"/>
    <col min="3850" max="3851" width="12.85546875" style="168" bestFit="1" customWidth="1"/>
    <col min="3852" max="4096" width="9.140625" style="168"/>
    <col min="4097" max="4099" width="9.140625" style="168" customWidth="1"/>
    <col min="4100" max="4100" width="14.42578125" style="168" bestFit="1" customWidth="1"/>
    <col min="4101" max="4102" width="9.140625" style="168" customWidth="1"/>
    <col min="4103" max="4103" width="20.85546875" style="168" bestFit="1" customWidth="1"/>
    <col min="4104" max="4104" width="15" style="168" bestFit="1" customWidth="1"/>
    <col min="4105" max="4105" width="17.28515625" style="168" bestFit="1" customWidth="1"/>
    <col min="4106" max="4107" width="12.85546875" style="168" bestFit="1" customWidth="1"/>
    <col min="4108" max="4352" width="9.140625" style="168"/>
    <col min="4353" max="4355" width="9.140625" style="168" customWidth="1"/>
    <col min="4356" max="4356" width="14.42578125" style="168" bestFit="1" customWidth="1"/>
    <col min="4357" max="4358" width="9.140625" style="168" customWidth="1"/>
    <col min="4359" max="4359" width="20.85546875" style="168" bestFit="1" customWidth="1"/>
    <col min="4360" max="4360" width="15" style="168" bestFit="1" customWidth="1"/>
    <col min="4361" max="4361" width="17.28515625" style="168" bestFit="1" customWidth="1"/>
    <col min="4362" max="4363" width="12.85546875" style="168" bestFit="1" customWidth="1"/>
    <col min="4364" max="4608" width="9.140625" style="168"/>
    <col min="4609" max="4611" width="9.140625" style="168" customWidth="1"/>
    <col min="4612" max="4612" width="14.42578125" style="168" bestFit="1" customWidth="1"/>
    <col min="4613" max="4614" width="9.140625" style="168" customWidth="1"/>
    <col min="4615" max="4615" width="20.85546875" style="168" bestFit="1" customWidth="1"/>
    <col min="4616" max="4616" width="15" style="168" bestFit="1" customWidth="1"/>
    <col min="4617" max="4617" width="17.28515625" style="168" bestFit="1" customWidth="1"/>
    <col min="4618" max="4619" width="12.85546875" style="168" bestFit="1" customWidth="1"/>
    <col min="4620" max="4864" width="9.140625" style="168"/>
    <col min="4865" max="4867" width="9.140625" style="168" customWidth="1"/>
    <col min="4868" max="4868" width="14.42578125" style="168" bestFit="1" customWidth="1"/>
    <col min="4869" max="4870" width="9.140625" style="168" customWidth="1"/>
    <col min="4871" max="4871" width="20.85546875" style="168" bestFit="1" customWidth="1"/>
    <col min="4872" max="4872" width="15" style="168" bestFit="1" customWidth="1"/>
    <col min="4873" max="4873" width="17.28515625" style="168" bestFit="1" customWidth="1"/>
    <col min="4874" max="4875" width="12.85546875" style="168" bestFit="1" customWidth="1"/>
    <col min="4876" max="5120" width="9.140625" style="168"/>
    <col min="5121" max="5123" width="9.140625" style="168" customWidth="1"/>
    <col min="5124" max="5124" width="14.42578125" style="168" bestFit="1" customWidth="1"/>
    <col min="5125" max="5126" width="9.140625" style="168" customWidth="1"/>
    <col min="5127" max="5127" width="20.85546875" style="168" bestFit="1" customWidth="1"/>
    <col min="5128" max="5128" width="15" style="168" bestFit="1" customWidth="1"/>
    <col min="5129" max="5129" width="17.28515625" style="168" bestFit="1" customWidth="1"/>
    <col min="5130" max="5131" width="12.85546875" style="168" bestFit="1" customWidth="1"/>
    <col min="5132" max="5376" width="9.140625" style="168"/>
    <col min="5377" max="5379" width="9.140625" style="168" customWidth="1"/>
    <col min="5380" max="5380" width="14.42578125" style="168" bestFit="1" customWidth="1"/>
    <col min="5381" max="5382" width="9.140625" style="168" customWidth="1"/>
    <col min="5383" max="5383" width="20.85546875" style="168" bestFit="1" customWidth="1"/>
    <col min="5384" max="5384" width="15" style="168" bestFit="1" customWidth="1"/>
    <col min="5385" max="5385" width="17.28515625" style="168" bestFit="1" customWidth="1"/>
    <col min="5386" max="5387" width="12.85546875" style="168" bestFit="1" customWidth="1"/>
    <col min="5388" max="5632" width="9.140625" style="168"/>
    <col min="5633" max="5635" width="9.140625" style="168" customWidth="1"/>
    <col min="5636" max="5636" width="14.42578125" style="168" bestFit="1" customWidth="1"/>
    <col min="5637" max="5638" width="9.140625" style="168" customWidth="1"/>
    <col min="5639" max="5639" width="20.85546875" style="168" bestFit="1" customWidth="1"/>
    <col min="5640" max="5640" width="15" style="168" bestFit="1" customWidth="1"/>
    <col min="5641" max="5641" width="17.28515625" style="168" bestFit="1" customWidth="1"/>
    <col min="5642" max="5643" width="12.85546875" style="168" bestFit="1" customWidth="1"/>
    <col min="5644" max="5888" width="9.140625" style="168"/>
    <col min="5889" max="5891" width="9.140625" style="168" customWidth="1"/>
    <col min="5892" max="5892" width="14.42578125" style="168" bestFit="1" customWidth="1"/>
    <col min="5893" max="5894" width="9.140625" style="168" customWidth="1"/>
    <col min="5895" max="5895" width="20.85546875" style="168" bestFit="1" customWidth="1"/>
    <col min="5896" max="5896" width="15" style="168" bestFit="1" customWidth="1"/>
    <col min="5897" max="5897" width="17.28515625" style="168" bestFit="1" customWidth="1"/>
    <col min="5898" max="5899" width="12.85546875" style="168" bestFit="1" customWidth="1"/>
    <col min="5900" max="6144" width="9.140625" style="168"/>
    <col min="6145" max="6147" width="9.140625" style="168" customWidth="1"/>
    <col min="6148" max="6148" width="14.42578125" style="168" bestFit="1" customWidth="1"/>
    <col min="6149" max="6150" width="9.140625" style="168" customWidth="1"/>
    <col min="6151" max="6151" width="20.85546875" style="168" bestFit="1" customWidth="1"/>
    <col min="6152" max="6152" width="15" style="168" bestFit="1" customWidth="1"/>
    <col min="6153" max="6153" width="17.28515625" style="168" bestFit="1" customWidth="1"/>
    <col min="6154" max="6155" width="12.85546875" style="168" bestFit="1" customWidth="1"/>
    <col min="6156" max="6400" width="9.140625" style="168"/>
    <col min="6401" max="6403" width="9.140625" style="168" customWidth="1"/>
    <col min="6404" max="6404" width="14.42578125" style="168" bestFit="1" customWidth="1"/>
    <col min="6405" max="6406" width="9.140625" style="168" customWidth="1"/>
    <col min="6407" max="6407" width="20.85546875" style="168" bestFit="1" customWidth="1"/>
    <col min="6408" max="6408" width="15" style="168" bestFit="1" customWidth="1"/>
    <col min="6409" max="6409" width="17.28515625" style="168" bestFit="1" customWidth="1"/>
    <col min="6410" max="6411" width="12.85546875" style="168" bestFit="1" customWidth="1"/>
    <col min="6412" max="6656" width="9.140625" style="168"/>
    <col min="6657" max="6659" width="9.140625" style="168" customWidth="1"/>
    <col min="6660" max="6660" width="14.42578125" style="168" bestFit="1" customWidth="1"/>
    <col min="6661" max="6662" width="9.140625" style="168" customWidth="1"/>
    <col min="6663" max="6663" width="20.85546875" style="168" bestFit="1" customWidth="1"/>
    <col min="6664" max="6664" width="15" style="168" bestFit="1" customWidth="1"/>
    <col min="6665" max="6665" width="17.28515625" style="168" bestFit="1" customWidth="1"/>
    <col min="6666" max="6667" width="12.85546875" style="168" bestFit="1" customWidth="1"/>
    <col min="6668" max="6912" width="9.140625" style="168"/>
    <col min="6913" max="6915" width="9.140625" style="168" customWidth="1"/>
    <col min="6916" max="6916" width="14.42578125" style="168" bestFit="1" customWidth="1"/>
    <col min="6917" max="6918" width="9.140625" style="168" customWidth="1"/>
    <col min="6919" max="6919" width="20.85546875" style="168" bestFit="1" customWidth="1"/>
    <col min="6920" max="6920" width="15" style="168" bestFit="1" customWidth="1"/>
    <col min="6921" max="6921" width="17.28515625" style="168" bestFit="1" customWidth="1"/>
    <col min="6922" max="6923" width="12.85546875" style="168" bestFit="1" customWidth="1"/>
    <col min="6924" max="7168" width="9.140625" style="168"/>
    <col min="7169" max="7171" width="9.140625" style="168" customWidth="1"/>
    <col min="7172" max="7172" width="14.42578125" style="168" bestFit="1" customWidth="1"/>
    <col min="7173" max="7174" width="9.140625" style="168" customWidth="1"/>
    <col min="7175" max="7175" width="20.85546875" style="168" bestFit="1" customWidth="1"/>
    <col min="7176" max="7176" width="15" style="168" bestFit="1" customWidth="1"/>
    <col min="7177" max="7177" width="17.28515625" style="168" bestFit="1" customWidth="1"/>
    <col min="7178" max="7179" width="12.85546875" style="168" bestFit="1" customWidth="1"/>
    <col min="7180" max="7424" width="9.140625" style="168"/>
    <col min="7425" max="7427" width="9.140625" style="168" customWidth="1"/>
    <col min="7428" max="7428" width="14.42578125" style="168" bestFit="1" customWidth="1"/>
    <col min="7429" max="7430" width="9.140625" style="168" customWidth="1"/>
    <col min="7431" max="7431" width="20.85546875" style="168" bestFit="1" customWidth="1"/>
    <col min="7432" max="7432" width="15" style="168" bestFit="1" customWidth="1"/>
    <col min="7433" max="7433" width="17.28515625" style="168" bestFit="1" customWidth="1"/>
    <col min="7434" max="7435" width="12.85546875" style="168" bestFit="1" customWidth="1"/>
    <col min="7436" max="7680" width="9.140625" style="168"/>
    <col min="7681" max="7683" width="9.140625" style="168" customWidth="1"/>
    <col min="7684" max="7684" width="14.42578125" style="168" bestFit="1" customWidth="1"/>
    <col min="7685" max="7686" width="9.140625" style="168" customWidth="1"/>
    <col min="7687" max="7687" width="20.85546875" style="168" bestFit="1" customWidth="1"/>
    <col min="7688" max="7688" width="15" style="168" bestFit="1" customWidth="1"/>
    <col min="7689" max="7689" width="17.28515625" style="168" bestFit="1" customWidth="1"/>
    <col min="7690" max="7691" width="12.85546875" style="168" bestFit="1" customWidth="1"/>
    <col min="7692" max="7936" width="9.140625" style="168"/>
    <col min="7937" max="7939" width="9.140625" style="168" customWidth="1"/>
    <col min="7940" max="7940" width="14.42578125" style="168" bestFit="1" customWidth="1"/>
    <col min="7941" max="7942" width="9.140625" style="168" customWidth="1"/>
    <col min="7943" max="7943" width="20.85546875" style="168" bestFit="1" customWidth="1"/>
    <col min="7944" max="7944" width="15" style="168" bestFit="1" customWidth="1"/>
    <col min="7945" max="7945" width="17.28515625" style="168" bestFit="1" customWidth="1"/>
    <col min="7946" max="7947" width="12.85546875" style="168" bestFit="1" customWidth="1"/>
    <col min="7948" max="8192" width="9.140625" style="168"/>
    <col min="8193" max="8195" width="9.140625" style="168" customWidth="1"/>
    <col min="8196" max="8196" width="14.42578125" style="168" bestFit="1" customWidth="1"/>
    <col min="8197" max="8198" width="9.140625" style="168" customWidth="1"/>
    <col min="8199" max="8199" width="20.85546875" style="168" bestFit="1" customWidth="1"/>
    <col min="8200" max="8200" width="15" style="168" bestFit="1" customWidth="1"/>
    <col min="8201" max="8201" width="17.28515625" style="168" bestFit="1" customWidth="1"/>
    <col min="8202" max="8203" width="12.85546875" style="168" bestFit="1" customWidth="1"/>
    <col min="8204" max="8448" width="9.140625" style="168"/>
    <col min="8449" max="8451" width="9.140625" style="168" customWidth="1"/>
    <col min="8452" max="8452" width="14.42578125" style="168" bestFit="1" customWidth="1"/>
    <col min="8453" max="8454" width="9.140625" style="168" customWidth="1"/>
    <col min="8455" max="8455" width="20.85546875" style="168" bestFit="1" customWidth="1"/>
    <col min="8456" max="8456" width="15" style="168" bestFit="1" customWidth="1"/>
    <col min="8457" max="8457" width="17.28515625" style="168" bestFit="1" customWidth="1"/>
    <col min="8458" max="8459" width="12.85546875" style="168" bestFit="1" customWidth="1"/>
    <col min="8460" max="8704" width="9.140625" style="168"/>
    <col min="8705" max="8707" width="9.140625" style="168" customWidth="1"/>
    <col min="8708" max="8708" width="14.42578125" style="168" bestFit="1" customWidth="1"/>
    <col min="8709" max="8710" width="9.140625" style="168" customWidth="1"/>
    <col min="8711" max="8711" width="20.85546875" style="168" bestFit="1" customWidth="1"/>
    <col min="8712" max="8712" width="15" style="168" bestFit="1" customWidth="1"/>
    <col min="8713" max="8713" width="17.28515625" style="168" bestFit="1" customWidth="1"/>
    <col min="8714" max="8715" width="12.85546875" style="168" bestFit="1" customWidth="1"/>
    <col min="8716" max="8960" width="9.140625" style="168"/>
    <col min="8961" max="8963" width="9.140625" style="168" customWidth="1"/>
    <col min="8964" max="8964" width="14.42578125" style="168" bestFit="1" customWidth="1"/>
    <col min="8965" max="8966" width="9.140625" style="168" customWidth="1"/>
    <col min="8967" max="8967" width="20.85546875" style="168" bestFit="1" customWidth="1"/>
    <col min="8968" max="8968" width="15" style="168" bestFit="1" customWidth="1"/>
    <col min="8969" max="8969" width="17.28515625" style="168" bestFit="1" customWidth="1"/>
    <col min="8970" max="8971" width="12.85546875" style="168" bestFit="1" customWidth="1"/>
    <col min="8972" max="9216" width="9.140625" style="168"/>
    <col min="9217" max="9219" width="9.140625" style="168" customWidth="1"/>
    <col min="9220" max="9220" width="14.42578125" style="168" bestFit="1" customWidth="1"/>
    <col min="9221" max="9222" width="9.140625" style="168" customWidth="1"/>
    <col min="9223" max="9223" width="20.85546875" style="168" bestFit="1" customWidth="1"/>
    <col min="9224" max="9224" width="15" style="168" bestFit="1" customWidth="1"/>
    <col min="9225" max="9225" width="17.28515625" style="168" bestFit="1" customWidth="1"/>
    <col min="9226" max="9227" width="12.85546875" style="168" bestFit="1" customWidth="1"/>
    <col min="9228" max="9472" width="9.140625" style="168"/>
    <col min="9473" max="9475" width="9.140625" style="168" customWidth="1"/>
    <col min="9476" max="9476" width="14.42578125" style="168" bestFit="1" customWidth="1"/>
    <col min="9477" max="9478" width="9.140625" style="168" customWidth="1"/>
    <col min="9479" max="9479" width="20.85546875" style="168" bestFit="1" customWidth="1"/>
    <col min="9480" max="9480" width="15" style="168" bestFit="1" customWidth="1"/>
    <col min="9481" max="9481" width="17.28515625" style="168" bestFit="1" customWidth="1"/>
    <col min="9482" max="9483" width="12.85546875" style="168" bestFit="1" customWidth="1"/>
    <col min="9484" max="9728" width="9.140625" style="168"/>
    <col min="9729" max="9731" width="9.140625" style="168" customWidth="1"/>
    <col min="9732" max="9732" width="14.42578125" style="168" bestFit="1" customWidth="1"/>
    <col min="9733" max="9734" width="9.140625" style="168" customWidth="1"/>
    <col min="9735" max="9735" width="20.85546875" style="168" bestFit="1" customWidth="1"/>
    <col min="9736" max="9736" width="15" style="168" bestFit="1" customWidth="1"/>
    <col min="9737" max="9737" width="17.28515625" style="168" bestFit="1" customWidth="1"/>
    <col min="9738" max="9739" width="12.85546875" style="168" bestFit="1" customWidth="1"/>
    <col min="9740" max="9984" width="9.140625" style="168"/>
    <col min="9985" max="9987" width="9.140625" style="168" customWidth="1"/>
    <col min="9988" max="9988" width="14.42578125" style="168" bestFit="1" customWidth="1"/>
    <col min="9989" max="9990" width="9.140625" style="168" customWidth="1"/>
    <col min="9991" max="9991" width="20.85546875" style="168" bestFit="1" customWidth="1"/>
    <col min="9992" max="9992" width="15" style="168" bestFit="1" customWidth="1"/>
    <col min="9993" max="9993" width="17.28515625" style="168" bestFit="1" customWidth="1"/>
    <col min="9994" max="9995" width="12.85546875" style="168" bestFit="1" customWidth="1"/>
    <col min="9996" max="10240" width="9.140625" style="168"/>
    <col min="10241" max="10243" width="9.140625" style="168" customWidth="1"/>
    <col min="10244" max="10244" width="14.42578125" style="168" bestFit="1" customWidth="1"/>
    <col min="10245" max="10246" width="9.140625" style="168" customWidth="1"/>
    <col min="10247" max="10247" width="20.85546875" style="168" bestFit="1" customWidth="1"/>
    <col min="10248" max="10248" width="15" style="168" bestFit="1" customWidth="1"/>
    <col min="10249" max="10249" width="17.28515625" style="168" bestFit="1" customWidth="1"/>
    <col min="10250" max="10251" width="12.85546875" style="168" bestFit="1" customWidth="1"/>
    <col min="10252" max="10496" width="9.140625" style="168"/>
    <col min="10497" max="10499" width="9.140625" style="168" customWidth="1"/>
    <col min="10500" max="10500" width="14.42578125" style="168" bestFit="1" customWidth="1"/>
    <col min="10501" max="10502" width="9.140625" style="168" customWidth="1"/>
    <col min="10503" max="10503" width="20.85546875" style="168" bestFit="1" customWidth="1"/>
    <col min="10504" max="10504" width="15" style="168" bestFit="1" customWidth="1"/>
    <col min="10505" max="10505" width="17.28515625" style="168" bestFit="1" customWidth="1"/>
    <col min="10506" max="10507" width="12.85546875" style="168" bestFit="1" customWidth="1"/>
    <col min="10508" max="10752" width="9.140625" style="168"/>
    <col min="10753" max="10755" width="9.140625" style="168" customWidth="1"/>
    <col min="10756" max="10756" width="14.42578125" style="168" bestFit="1" customWidth="1"/>
    <col min="10757" max="10758" width="9.140625" style="168" customWidth="1"/>
    <col min="10759" max="10759" width="20.85546875" style="168" bestFit="1" customWidth="1"/>
    <col min="10760" max="10760" width="15" style="168" bestFit="1" customWidth="1"/>
    <col min="10761" max="10761" width="17.28515625" style="168" bestFit="1" customWidth="1"/>
    <col min="10762" max="10763" width="12.85546875" style="168" bestFit="1" customWidth="1"/>
    <col min="10764" max="11008" width="9.140625" style="168"/>
    <col min="11009" max="11011" width="9.140625" style="168" customWidth="1"/>
    <col min="11012" max="11012" width="14.42578125" style="168" bestFit="1" customWidth="1"/>
    <col min="11013" max="11014" width="9.140625" style="168" customWidth="1"/>
    <col min="11015" max="11015" width="20.85546875" style="168" bestFit="1" customWidth="1"/>
    <col min="11016" max="11016" width="15" style="168" bestFit="1" customWidth="1"/>
    <col min="11017" max="11017" width="17.28515625" style="168" bestFit="1" customWidth="1"/>
    <col min="11018" max="11019" width="12.85546875" style="168" bestFit="1" customWidth="1"/>
    <col min="11020" max="11264" width="9.140625" style="168"/>
    <col min="11265" max="11267" width="9.140625" style="168" customWidth="1"/>
    <col min="11268" max="11268" width="14.42578125" style="168" bestFit="1" customWidth="1"/>
    <col min="11269" max="11270" width="9.140625" style="168" customWidth="1"/>
    <col min="11271" max="11271" width="20.85546875" style="168" bestFit="1" customWidth="1"/>
    <col min="11272" max="11272" width="15" style="168" bestFit="1" customWidth="1"/>
    <col min="11273" max="11273" width="17.28515625" style="168" bestFit="1" customWidth="1"/>
    <col min="11274" max="11275" width="12.85546875" style="168" bestFit="1" customWidth="1"/>
    <col min="11276" max="11520" width="9.140625" style="168"/>
    <col min="11521" max="11523" width="9.140625" style="168" customWidth="1"/>
    <col min="11524" max="11524" width="14.42578125" style="168" bestFit="1" customWidth="1"/>
    <col min="11525" max="11526" width="9.140625" style="168" customWidth="1"/>
    <col min="11527" max="11527" width="20.85546875" style="168" bestFit="1" customWidth="1"/>
    <col min="11528" max="11528" width="15" style="168" bestFit="1" customWidth="1"/>
    <col min="11529" max="11529" width="17.28515625" style="168" bestFit="1" customWidth="1"/>
    <col min="11530" max="11531" width="12.85546875" style="168" bestFit="1" customWidth="1"/>
    <col min="11532" max="11776" width="9.140625" style="168"/>
    <col min="11777" max="11779" width="9.140625" style="168" customWidth="1"/>
    <col min="11780" max="11780" width="14.42578125" style="168" bestFit="1" customWidth="1"/>
    <col min="11781" max="11782" width="9.140625" style="168" customWidth="1"/>
    <col min="11783" max="11783" width="20.85546875" style="168" bestFit="1" customWidth="1"/>
    <col min="11784" max="11784" width="15" style="168" bestFit="1" customWidth="1"/>
    <col min="11785" max="11785" width="17.28515625" style="168" bestFit="1" customWidth="1"/>
    <col min="11786" max="11787" width="12.85546875" style="168" bestFit="1" customWidth="1"/>
    <col min="11788" max="12032" width="9.140625" style="168"/>
    <col min="12033" max="12035" width="9.140625" style="168" customWidth="1"/>
    <col min="12036" max="12036" width="14.42578125" style="168" bestFit="1" customWidth="1"/>
    <col min="12037" max="12038" width="9.140625" style="168" customWidth="1"/>
    <col min="12039" max="12039" width="20.85546875" style="168" bestFit="1" customWidth="1"/>
    <col min="12040" max="12040" width="15" style="168" bestFit="1" customWidth="1"/>
    <col min="12041" max="12041" width="17.28515625" style="168" bestFit="1" customWidth="1"/>
    <col min="12042" max="12043" width="12.85546875" style="168" bestFit="1" customWidth="1"/>
    <col min="12044" max="12288" width="9.140625" style="168"/>
    <col min="12289" max="12291" width="9.140625" style="168" customWidth="1"/>
    <col min="12292" max="12292" width="14.42578125" style="168" bestFit="1" customWidth="1"/>
    <col min="12293" max="12294" width="9.140625" style="168" customWidth="1"/>
    <col min="12295" max="12295" width="20.85546875" style="168" bestFit="1" customWidth="1"/>
    <col min="12296" max="12296" width="15" style="168" bestFit="1" customWidth="1"/>
    <col min="12297" max="12297" width="17.28515625" style="168" bestFit="1" customWidth="1"/>
    <col min="12298" max="12299" width="12.85546875" style="168" bestFit="1" customWidth="1"/>
    <col min="12300" max="12544" width="9.140625" style="168"/>
    <col min="12545" max="12547" width="9.140625" style="168" customWidth="1"/>
    <col min="12548" max="12548" width="14.42578125" style="168" bestFit="1" customWidth="1"/>
    <col min="12549" max="12550" width="9.140625" style="168" customWidth="1"/>
    <col min="12551" max="12551" width="20.85546875" style="168" bestFit="1" customWidth="1"/>
    <col min="12552" max="12552" width="15" style="168" bestFit="1" customWidth="1"/>
    <col min="12553" max="12553" width="17.28515625" style="168" bestFit="1" customWidth="1"/>
    <col min="12554" max="12555" width="12.85546875" style="168" bestFit="1" customWidth="1"/>
    <col min="12556" max="12800" width="9.140625" style="168"/>
    <col min="12801" max="12803" width="9.140625" style="168" customWidth="1"/>
    <col min="12804" max="12804" width="14.42578125" style="168" bestFit="1" customWidth="1"/>
    <col min="12805" max="12806" width="9.140625" style="168" customWidth="1"/>
    <col min="12807" max="12807" width="20.85546875" style="168" bestFit="1" customWidth="1"/>
    <col min="12808" max="12808" width="15" style="168" bestFit="1" customWidth="1"/>
    <col min="12809" max="12809" width="17.28515625" style="168" bestFit="1" customWidth="1"/>
    <col min="12810" max="12811" width="12.85546875" style="168" bestFit="1" customWidth="1"/>
    <col min="12812" max="13056" width="9.140625" style="168"/>
    <col min="13057" max="13059" width="9.140625" style="168" customWidth="1"/>
    <col min="13060" max="13060" width="14.42578125" style="168" bestFit="1" customWidth="1"/>
    <col min="13061" max="13062" width="9.140625" style="168" customWidth="1"/>
    <col min="13063" max="13063" width="20.85546875" style="168" bestFit="1" customWidth="1"/>
    <col min="13064" max="13064" width="15" style="168" bestFit="1" customWidth="1"/>
    <col min="13065" max="13065" width="17.28515625" style="168" bestFit="1" customWidth="1"/>
    <col min="13066" max="13067" width="12.85546875" style="168" bestFit="1" customWidth="1"/>
    <col min="13068" max="13312" width="9.140625" style="168"/>
    <col min="13313" max="13315" width="9.140625" style="168" customWidth="1"/>
    <col min="13316" max="13316" width="14.42578125" style="168" bestFit="1" customWidth="1"/>
    <col min="13317" max="13318" width="9.140625" style="168" customWidth="1"/>
    <col min="13319" max="13319" width="20.85546875" style="168" bestFit="1" customWidth="1"/>
    <col min="13320" max="13320" width="15" style="168" bestFit="1" customWidth="1"/>
    <col min="13321" max="13321" width="17.28515625" style="168" bestFit="1" customWidth="1"/>
    <col min="13322" max="13323" width="12.85546875" style="168" bestFit="1" customWidth="1"/>
    <col min="13324" max="13568" width="9.140625" style="168"/>
    <col min="13569" max="13571" width="9.140625" style="168" customWidth="1"/>
    <col min="13572" max="13572" width="14.42578125" style="168" bestFit="1" customWidth="1"/>
    <col min="13573" max="13574" width="9.140625" style="168" customWidth="1"/>
    <col min="13575" max="13575" width="20.85546875" style="168" bestFit="1" customWidth="1"/>
    <col min="13576" max="13576" width="15" style="168" bestFit="1" customWidth="1"/>
    <col min="13577" max="13577" width="17.28515625" style="168" bestFit="1" customWidth="1"/>
    <col min="13578" max="13579" width="12.85546875" style="168" bestFit="1" customWidth="1"/>
    <col min="13580" max="13824" width="9.140625" style="168"/>
    <col min="13825" max="13827" width="9.140625" style="168" customWidth="1"/>
    <col min="13828" max="13828" width="14.42578125" style="168" bestFit="1" customWidth="1"/>
    <col min="13829" max="13830" width="9.140625" style="168" customWidth="1"/>
    <col min="13831" max="13831" width="20.85546875" style="168" bestFit="1" customWidth="1"/>
    <col min="13832" max="13832" width="15" style="168" bestFit="1" customWidth="1"/>
    <col min="13833" max="13833" width="17.28515625" style="168" bestFit="1" customWidth="1"/>
    <col min="13834" max="13835" width="12.85546875" style="168" bestFit="1" customWidth="1"/>
    <col min="13836" max="14080" width="9.140625" style="168"/>
    <col min="14081" max="14083" width="9.140625" style="168" customWidth="1"/>
    <col min="14084" max="14084" width="14.42578125" style="168" bestFit="1" customWidth="1"/>
    <col min="14085" max="14086" width="9.140625" style="168" customWidth="1"/>
    <col min="14087" max="14087" width="20.85546875" style="168" bestFit="1" customWidth="1"/>
    <col min="14088" max="14088" width="15" style="168" bestFit="1" customWidth="1"/>
    <col min="14089" max="14089" width="17.28515625" style="168" bestFit="1" customWidth="1"/>
    <col min="14090" max="14091" width="12.85546875" style="168" bestFit="1" customWidth="1"/>
    <col min="14092" max="14336" width="9.140625" style="168"/>
    <col min="14337" max="14339" width="9.140625" style="168" customWidth="1"/>
    <col min="14340" max="14340" width="14.42578125" style="168" bestFit="1" customWidth="1"/>
    <col min="14341" max="14342" width="9.140625" style="168" customWidth="1"/>
    <col min="14343" max="14343" width="20.85546875" style="168" bestFit="1" customWidth="1"/>
    <col min="14344" max="14344" width="15" style="168" bestFit="1" customWidth="1"/>
    <col min="14345" max="14345" width="17.28515625" style="168" bestFit="1" customWidth="1"/>
    <col min="14346" max="14347" width="12.85546875" style="168" bestFit="1" customWidth="1"/>
    <col min="14348" max="14592" width="9.140625" style="168"/>
    <col min="14593" max="14595" width="9.140625" style="168" customWidth="1"/>
    <col min="14596" max="14596" width="14.42578125" style="168" bestFit="1" customWidth="1"/>
    <col min="14597" max="14598" width="9.140625" style="168" customWidth="1"/>
    <col min="14599" max="14599" width="20.85546875" style="168" bestFit="1" customWidth="1"/>
    <col min="14600" max="14600" width="15" style="168" bestFit="1" customWidth="1"/>
    <col min="14601" max="14601" width="17.28515625" style="168" bestFit="1" customWidth="1"/>
    <col min="14602" max="14603" width="12.85546875" style="168" bestFit="1" customWidth="1"/>
    <col min="14604" max="14848" width="9.140625" style="168"/>
    <col min="14849" max="14851" width="9.140625" style="168" customWidth="1"/>
    <col min="14852" max="14852" width="14.42578125" style="168" bestFit="1" customWidth="1"/>
    <col min="14853" max="14854" width="9.140625" style="168" customWidth="1"/>
    <col min="14855" max="14855" width="20.85546875" style="168" bestFit="1" customWidth="1"/>
    <col min="14856" max="14856" width="15" style="168" bestFit="1" customWidth="1"/>
    <col min="14857" max="14857" width="17.28515625" style="168" bestFit="1" customWidth="1"/>
    <col min="14858" max="14859" width="12.85546875" style="168" bestFit="1" customWidth="1"/>
    <col min="14860" max="15104" width="9.140625" style="168"/>
    <col min="15105" max="15107" width="9.140625" style="168" customWidth="1"/>
    <col min="15108" max="15108" width="14.42578125" style="168" bestFit="1" customWidth="1"/>
    <col min="15109" max="15110" width="9.140625" style="168" customWidth="1"/>
    <col min="15111" max="15111" width="20.85546875" style="168" bestFit="1" customWidth="1"/>
    <col min="15112" max="15112" width="15" style="168" bestFit="1" customWidth="1"/>
    <col min="15113" max="15113" width="17.28515625" style="168" bestFit="1" customWidth="1"/>
    <col min="15114" max="15115" width="12.85546875" style="168" bestFit="1" customWidth="1"/>
    <col min="15116" max="15360" width="9.140625" style="168"/>
    <col min="15361" max="15363" width="9.140625" style="168" customWidth="1"/>
    <col min="15364" max="15364" width="14.42578125" style="168" bestFit="1" customWidth="1"/>
    <col min="15365" max="15366" width="9.140625" style="168" customWidth="1"/>
    <col min="15367" max="15367" width="20.85546875" style="168" bestFit="1" customWidth="1"/>
    <col min="15368" max="15368" width="15" style="168" bestFit="1" customWidth="1"/>
    <col min="15369" max="15369" width="17.28515625" style="168" bestFit="1" customWidth="1"/>
    <col min="15370" max="15371" width="12.85546875" style="168" bestFit="1" customWidth="1"/>
    <col min="15372" max="15616" width="9.140625" style="168"/>
    <col min="15617" max="15619" width="9.140625" style="168" customWidth="1"/>
    <col min="15620" max="15620" width="14.42578125" style="168" bestFit="1" customWidth="1"/>
    <col min="15621" max="15622" width="9.140625" style="168" customWidth="1"/>
    <col min="15623" max="15623" width="20.85546875" style="168" bestFit="1" customWidth="1"/>
    <col min="15624" max="15624" width="15" style="168" bestFit="1" customWidth="1"/>
    <col min="15625" max="15625" width="17.28515625" style="168" bestFit="1" customWidth="1"/>
    <col min="15626" max="15627" width="12.85546875" style="168" bestFit="1" customWidth="1"/>
    <col min="15628" max="15872" width="9.140625" style="168"/>
    <col min="15873" max="15875" width="9.140625" style="168" customWidth="1"/>
    <col min="15876" max="15876" width="14.42578125" style="168" bestFit="1" customWidth="1"/>
    <col min="15877" max="15878" width="9.140625" style="168" customWidth="1"/>
    <col min="15879" max="15879" width="20.85546875" style="168" bestFit="1" customWidth="1"/>
    <col min="15880" max="15880" width="15" style="168" bestFit="1" customWidth="1"/>
    <col min="15881" max="15881" width="17.28515625" style="168" bestFit="1" customWidth="1"/>
    <col min="15882" max="15883" width="12.85546875" style="168" bestFit="1" customWidth="1"/>
    <col min="15884" max="16128" width="9.140625" style="168"/>
    <col min="16129" max="16131" width="9.140625" style="168" customWidth="1"/>
    <col min="16132" max="16132" width="14.42578125" style="168" bestFit="1" customWidth="1"/>
    <col min="16133" max="16134" width="9.140625" style="168" customWidth="1"/>
    <col min="16135" max="16135" width="20.85546875" style="168" bestFit="1" customWidth="1"/>
    <col min="16136" max="16136" width="15" style="168" bestFit="1" customWidth="1"/>
    <col min="16137" max="16137" width="17.28515625" style="168" bestFit="1" customWidth="1"/>
    <col min="16138" max="16139" width="12.85546875" style="168" bestFit="1" customWidth="1"/>
    <col min="16140" max="16384" width="9.140625" style="168"/>
  </cols>
  <sheetData>
    <row r="6" spans="1:9" ht="24.75" thickBot="1" x14ac:dyDescent="0.45">
      <c r="A6" s="1040" t="s">
        <v>229</v>
      </c>
      <c r="B6" s="1040"/>
      <c r="C6" s="1040"/>
      <c r="D6" s="1040"/>
      <c r="E6" s="1040"/>
      <c r="F6" s="1040"/>
      <c r="G6" s="1040"/>
    </row>
    <row r="7" spans="1:9" ht="14.25" thickBot="1" x14ac:dyDescent="0.3">
      <c r="A7" s="1005" t="s">
        <v>450</v>
      </c>
      <c r="B7" s="1006"/>
      <c r="C7" s="1006"/>
      <c r="D7" s="1006"/>
      <c r="E7" s="1006"/>
      <c r="F7" s="1006"/>
      <c r="G7" s="1007"/>
    </row>
    <row r="8" spans="1:9" ht="13.5" x14ac:dyDescent="0.25">
      <c r="A8" s="1008"/>
      <c r="B8" s="1009"/>
      <c r="C8" s="1009"/>
      <c r="D8" s="1009"/>
      <c r="E8" s="1009"/>
      <c r="F8" s="1009"/>
      <c r="G8" s="1010"/>
    </row>
    <row r="9" spans="1:9" x14ac:dyDescent="0.2">
      <c r="A9" s="169"/>
      <c r="B9" s="170"/>
      <c r="C9" s="171"/>
      <c r="D9" s="172"/>
      <c r="E9" s="172"/>
      <c r="F9" s="172"/>
      <c r="G9" s="173"/>
    </row>
    <row r="10" spans="1:9" x14ac:dyDescent="0.2">
      <c r="A10" s="174" t="s">
        <v>399</v>
      </c>
      <c r="B10" s="175" t="s">
        <v>400</v>
      </c>
      <c r="C10" s="175"/>
      <c r="D10" s="175"/>
      <c r="E10" s="176" t="s">
        <v>439</v>
      </c>
      <c r="F10" s="171"/>
      <c r="G10" s="177"/>
    </row>
    <row r="11" spans="1:9" x14ac:dyDescent="0.2">
      <c r="A11" s="174"/>
      <c r="B11" s="175"/>
      <c r="C11" s="175"/>
      <c r="D11" s="175"/>
      <c r="E11" s="176"/>
      <c r="F11" s="171"/>
      <c r="G11" s="177"/>
    </row>
    <row r="12" spans="1:9" x14ac:dyDescent="0.2">
      <c r="A12" s="1011"/>
      <c r="B12" s="1001"/>
      <c r="C12" s="1001"/>
      <c r="D12" s="1001"/>
      <c r="E12" s="1001"/>
      <c r="F12" s="1001"/>
      <c r="G12" s="178" t="s">
        <v>402</v>
      </c>
    </row>
    <row r="13" spans="1:9" x14ac:dyDescent="0.2">
      <c r="A13" s="179" t="s">
        <v>453</v>
      </c>
      <c r="B13" s="180"/>
      <c r="C13" s="180"/>
      <c r="D13" s="180"/>
      <c r="E13" s="181"/>
      <c r="F13" s="181"/>
      <c r="G13" s="182">
        <v>282.63</v>
      </c>
      <c r="H13" s="183"/>
      <c r="I13" s="184"/>
    </row>
    <row r="14" spans="1:9" x14ac:dyDescent="0.2">
      <c r="A14" s="185" t="s">
        <v>404</v>
      </c>
      <c r="B14" s="186"/>
      <c r="C14" s="186"/>
      <c r="D14" s="186"/>
      <c r="E14" s="187"/>
      <c r="F14" s="187"/>
      <c r="G14" s="188"/>
      <c r="H14" s="189"/>
      <c r="I14" s="171"/>
    </row>
    <row r="15" spans="1:9" x14ac:dyDescent="0.2">
      <c r="A15" s="190"/>
      <c r="B15" s="187"/>
      <c r="C15" s="187"/>
      <c r="D15" s="187"/>
      <c r="E15" s="1012"/>
      <c r="F15" s="1012"/>
      <c r="G15" s="191">
        <v>0</v>
      </c>
      <c r="H15" s="183"/>
    </row>
    <row r="16" spans="1:9" x14ac:dyDescent="0.2">
      <c r="A16" s="190" t="s">
        <v>406</v>
      </c>
      <c r="B16" s="187"/>
      <c r="C16" s="187"/>
      <c r="D16" s="187"/>
      <c r="E16" s="264"/>
      <c r="F16" s="264"/>
      <c r="G16" s="193">
        <f>+[5]Hoja4!D7</f>
        <v>0</v>
      </c>
      <c r="H16" s="183"/>
    </row>
    <row r="17" spans="1:11" x14ac:dyDescent="0.2">
      <c r="A17" s="190" t="s">
        <v>407</v>
      </c>
      <c r="B17" s="187"/>
      <c r="C17" s="187"/>
      <c r="D17" s="187"/>
      <c r="E17" s="264"/>
      <c r="F17" s="264"/>
      <c r="G17" s="194">
        <f>+'[5]TRANSFERENCIA RECIBIDAS'!B10</f>
        <v>3999142.37</v>
      </c>
    </row>
    <row r="18" spans="1:11" x14ac:dyDescent="0.2">
      <c r="A18" s="190" t="s">
        <v>408</v>
      </c>
      <c r="B18" s="187"/>
      <c r="C18" s="187"/>
      <c r="D18" s="187"/>
      <c r="E18" s="264"/>
      <c r="F18" s="264"/>
      <c r="G18" s="195"/>
    </row>
    <row r="19" spans="1:11" x14ac:dyDescent="0.2">
      <c r="A19" s="179"/>
      <c r="B19" s="180"/>
      <c r="C19" s="180"/>
      <c r="D19" s="180"/>
      <c r="E19" s="187"/>
      <c r="F19" s="187"/>
      <c r="G19" s="196">
        <f>+G13+G15+G18+G17+G16</f>
        <v>3999425</v>
      </c>
    </row>
    <row r="20" spans="1:11" x14ac:dyDescent="0.2">
      <c r="A20" s="185" t="s">
        <v>409</v>
      </c>
      <c r="B20" s="186"/>
      <c r="C20" s="187"/>
      <c r="D20" s="187"/>
      <c r="E20" s="187"/>
      <c r="F20" s="187"/>
      <c r="G20" s="188"/>
      <c r="I20" s="197"/>
      <c r="K20" s="167"/>
    </row>
    <row r="21" spans="1:11" x14ac:dyDescent="0.2">
      <c r="A21" s="190" t="s">
        <v>410</v>
      </c>
      <c r="B21" s="187"/>
      <c r="C21" s="186"/>
      <c r="D21" s="186"/>
      <c r="E21" s="187"/>
      <c r="F21" s="187"/>
      <c r="G21" s="198">
        <f>+'[5]CHEQUES EMITIDO '!D14</f>
        <v>0</v>
      </c>
      <c r="I21" s="199"/>
      <c r="K21" s="167"/>
    </row>
    <row r="22" spans="1:11" x14ac:dyDescent="0.2">
      <c r="A22" s="200" t="s">
        <v>411</v>
      </c>
      <c r="B22" s="201"/>
      <c r="C22" s="202"/>
      <c r="D22" s="203"/>
      <c r="E22" s="201"/>
      <c r="F22" s="201"/>
      <c r="G22" s="204">
        <f>+'[5]NOMINA '!D9</f>
        <v>0</v>
      </c>
      <c r="I22" s="199"/>
    </row>
    <row r="23" spans="1:11" x14ac:dyDescent="0.2">
      <c r="A23" s="205" t="s">
        <v>412</v>
      </c>
      <c r="B23" s="206"/>
      <c r="C23" s="206"/>
      <c r="D23" s="201"/>
      <c r="E23" s="207"/>
      <c r="F23" s="208"/>
      <c r="G23" s="209">
        <f>+[5]comisiones!E33</f>
        <v>6277.0399999999991</v>
      </c>
      <c r="I23" s="199"/>
    </row>
    <row r="24" spans="1:11" x14ac:dyDescent="0.2">
      <c r="A24" s="205" t="s">
        <v>413</v>
      </c>
      <c r="B24" s="206"/>
      <c r="C24" s="206"/>
      <c r="D24" s="201"/>
      <c r="E24" s="207"/>
      <c r="F24" s="207"/>
      <c r="G24" s="209">
        <f>+[5]TRANSFERENCIAS!D18</f>
        <v>3992925</v>
      </c>
      <c r="I24" s="199"/>
      <c r="J24" s="211"/>
      <c r="K24" s="167"/>
    </row>
    <row r="25" spans="1:11" x14ac:dyDescent="0.2">
      <c r="A25" s="190" t="s">
        <v>414</v>
      </c>
      <c r="B25" s="206"/>
      <c r="C25" s="206"/>
      <c r="D25" s="201"/>
      <c r="E25" s="207"/>
      <c r="F25" s="207"/>
      <c r="G25" s="209"/>
      <c r="I25" s="199"/>
      <c r="J25" s="211"/>
    </row>
    <row r="26" spans="1:11" x14ac:dyDescent="0.2">
      <c r="A26" s="212" t="s">
        <v>415</v>
      </c>
      <c r="B26" s="213"/>
      <c r="C26" s="213"/>
      <c r="D26" s="213"/>
      <c r="E26" s="213"/>
      <c r="F26" s="213"/>
      <c r="G26" s="214">
        <f>SUM(G21:G25)</f>
        <v>3999202.04</v>
      </c>
      <c r="I26" s="199"/>
      <c r="J26" s="211"/>
    </row>
    <row r="27" spans="1:11" ht="13.5" thickBot="1" x14ac:dyDescent="0.25">
      <c r="A27" s="998" t="s">
        <v>416</v>
      </c>
      <c r="B27" s="999"/>
      <c r="C27" s="215"/>
      <c r="D27" s="215"/>
      <c r="E27" s="1000"/>
      <c r="F27" s="1000"/>
      <c r="G27" s="216">
        <f>G19-G26</f>
        <v>222.95999999996275</v>
      </c>
      <c r="I27" s="184"/>
    </row>
    <row r="28" spans="1:11" ht="15.75" thickTop="1" x14ac:dyDescent="0.25">
      <c r="A28" s="217"/>
      <c r="B28" s="218"/>
      <c r="C28" s="215"/>
      <c r="D28" s="215"/>
      <c r="E28" s="262"/>
      <c r="F28" s="262"/>
      <c r="G28" s="220"/>
      <c r="H28" s="221"/>
      <c r="I28" s="222"/>
    </row>
    <row r="29" spans="1:11" ht="15" x14ac:dyDescent="0.25">
      <c r="A29" s="217"/>
      <c r="B29" s="218"/>
      <c r="C29" s="215"/>
      <c r="D29" s="215"/>
      <c r="E29" s="223"/>
      <c r="F29" s="262"/>
      <c r="G29" s="220"/>
      <c r="I29" s="224"/>
    </row>
    <row r="30" spans="1:11" x14ac:dyDescent="0.2">
      <c r="A30" s="190"/>
      <c r="B30" s="187"/>
      <c r="C30" s="187"/>
      <c r="D30" s="187"/>
      <c r="E30" s="187"/>
      <c r="F30" s="187"/>
      <c r="G30" s="178" t="s">
        <v>417</v>
      </c>
    </row>
    <row r="31" spans="1:11" ht="15" x14ac:dyDescent="0.25">
      <c r="A31" s="179" t="s">
        <v>418</v>
      </c>
      <c r="B31" s="180"/>
      <c r="C31" s="180"/>
      <c r="D31" s="180"/>
      <c r="E31" s="1001"/>
      <c r="F31" s="1001"/>
      <c r="G31" s="266">
        <v>222.96</v>
      </c>
      <c r="H31" s="226"/>
      <c r="I31" s="184"/>
    </row>
    <row r="32" spans="1:11" x14ac:dyDescent="0.2">
      <c r="A32" s="185" t="s">
        <v>404</v>
      </c>
      <c r="B32" s="186"/>
      <c r="C32" s="186"/>
      <c r="D32" s="186"/>
      <c r="E32" s="187"/>
      <c r="F32" s="187"/>
      <c r="G32" s="227"/>
    </row>
    <row r="33" spans="1:12" x14ac:dyDescent="0.2">
      <c r="A33" s="190" t="s">
        <v>419</v>
      </c>
      <c r="B33" s="187"/>
      <c r="C33" s="187"/>
      <c r="D33" s="187"/>
      <c r="E33" s="1001"/>
      <c r="F33" s="1001"/>
      <c r="G33" s="188"/>
    </row>
    <row r="34" spans="1:12" x14ac:dyDescent="0.2">
      <c r="A34" s="190"/>
      <c r="B34" s="187"/>
      <c r="C34" s="187"/>
      <c r="D34" s="187"/>
      <c r="E34" s="263"/>
      <c r="F34" s="263"/>
      <c r="G34" s="188"/>
    </row>
    <row r="35" spans="1:12" x14ac:dyDescent="0.2">
      <c r="A35" s="179" t="s">
        <v>420</v>
      </c>
      <c r="B35" s="180"/>
      <c r="C35" s="180"/>
      <c r="D35" s="180"/>
      <c r="E35" s="1042"/>
      <c r="F35" s="1042"/>
      <c r="G35" s="229">
        <f>SUM(G31:G34)</f>
        <v>222.96</v>
      </c>
    </row>
    <row r="36" spans="1:12" x14ac:dyDescent="0.2">
      <c r="A36" s="190"/>
      <c r="B36" s="187"/>
      <c r="C36" s="187"/>
      <c r="D36" s="187"/>
      <c r="E36" s="187"/>
      <c r="F36" s="187"/>
      <c r="G36" s="227"/>
    </row>
    <row r="37" spans="1:12" x14ac:dyDescent="0.2">
      <c r="A37" s="185" t="s">
        <v>409</v>
      </c>
      <c r="B37" s="186"/>
      <c r="C37" s="186"/>
      <c r="D37" s="186"/>
      <c r="E37" s="187"/>
      <c r="F37" s="187"/>
      <c r="G37" s="188"/>
    </row>
    <row r="38" spans="1:12" x14ac:dyDescent="0.2">
      <c r="A38" s="205" t="s">
        <v>421</v>
      </c>
      <c r="B38" s="187"/>
      <c r="C38" s="187"/>
      <c r="D38" s="187"/>
      <c r="E38" s="261"/>
      <c r="F38" s="261"/>
      <c r="G38" s="231">
        <v>0</v>
      </c>
      <c r="I38" s="232"/>
      <c r="J38" s="233"/>
      <c r="K38" s="234"/>
      <c r="L38" s="235"/>
    </row>
    <row r="39" spans="1:12" x14ac:dyDescent="0.2">
      <c r="A39" s="205" t="s">
        <v>422</v>
      </c>
      <c r="B39" s="187"/>
      <c r="C39" s="187"/>
      <c r="D39" s="187"/>
      <c r="E39" s="261"/>
      <c r="F39" s="261"/>
      <c r="G39" s="231">
        <v>0</v>
      </c>
      <c r="I39" s="232"/>
      <c r="J39" s="233"/>
      <c r="K39" s="234"/>
      <c r="L39" s="235"/>
    </row>
    <row r="40" spans="1:12" x14ac:dyDescent="0.2">
      <c r="A40" s="190"/>
      <c r="B40" s="187"/>
      <c r="C40" s="187"/>
      <c r="D40" s="187"/>
      <c r="E40" s="261"/>
      <c r="F40" s="261"/>
      <c r="G40" s="182">
        <f>SUM(G38:G39)</f>
        <v>0</v>
      </c>
      <c r="I40" s="232"/>
      <c r="J40" s="233"/>
      <c r="K40" s="234"/>
      <c r="L40" s="235"/>
    </row>
    <row r="41" spans="1:12" x14ac:dyDescent="0.2">
      <c r="A41" s="190"/>
      <c r="B41" s="187"/>
      <c r="C41" s="187"/>
      <c r="D41" s="187"/>
      <c r="E41" s="261"/>
      <c r="F41" s="261"/>
      <c r="G41" s="188"/>
      <c r="I41" s="232"/>
      <c r="J41" s="233"/>
      <c r="L41" s="235"/>
    </row>
    <row r="42" spans="1:12" ht="13.5" thickBot="1" x14ac:dyDescent="0.25">
      <c r="A42" s="998" t="s">
        <v>416</v>
      </c>
      <c r="B42" s="999"/>
      <c r="C42" s="215"/>
      <c r="D42" s="215"/>
      <c r="E42" s="236"/>
      <c r="F42" s="236"/>
      <c r="G42" s="216">
        <f>G35+G40</f>
        <v>222.96</v>
      </c>
      <c r="I42" s="184"/>
    </row>
    <row r="43" spans="1:12" ht="14.25" thickTop="1" thickBot="1" x14ac:dyDescent="0.25">
      <c r="A43" s="237"/>
      <c r="B43" s="238"/>
      <c r="C43" s="238"/>
      <c r="D43" s="238"/>
      <c r="E43" s="239"/>
      <c r="F43" s="239"/>
      <c r="G43" s="240"/>
      <c r="H43" s="183"/>
    </row>
    <row r="44" spans="1:12" x14ac:dyDescent="0.2">
      <c r="A44" s="180"/>
      <c r="B44" s="180"/>
      <c r="C44" s="180"/>
      <c r="D44" s="180"/>
      <c r="E44" s="187"/>
      <c r="F44" s="187"/>
      <c r="G44" s="241"/>
      <c r="H44" s="242"/>
    </row>
    <row r="45" spans="1:12" x14ac:dyDescent="0.2">
      <c r="A45" s="180"/>
      <c r="B45" s="180"/>
      <c r="C45" s="180"/>
      <c r="D45" s="180"/>
      <c r="E45" s="187"/>
      <c r="F45" s="187"/>
      <c r="G45" s="241"/>
      <c r="I45" s="243"/>
    </row>
    <row r="46" spans="1:12" x14ac:dyDescent="0.2">
      <c r="A46" s="180"/>
      <c r="B46" s="180"/>
      <c r="C46" s="180"/>
      <c r="D46" s="180"/>
      <c r="E46" s="187"/>
      <c r="F46" s="187"/>
      <c r="G46" s="241"/>
    </row>
    <row r="47" spans="1:12" x14ac:dyDescent="0.2">
      <c r="A47" s="180" t="s">
        <v>430</v>
      </c>
      <c r="B47" s="180"/>
      <c r="C47" s="180"/>
      <c r="D47" s="1043" t="s">
        <v>213</v>
      </c>
      <c r="E47" s="1043"/>
      <c r="F47" s="1043"/>
      <c r="G47" s="1043"/>
    </row>
    <row r="48" spans="1:12" x14ac:dyDescent="0.2">
      <c r="A48" s="180"/>
      <c r="B48" s="180"/>
      <c r="C48" s="180"/>
      <c r="D48" s="1041" t="s">
        <v>214</v>
      </c>
      <c r="E48" s="1041"/>
      <c r="F48" s="1041"/>
      <c r="G48" s="1041"/>
    </row>
    <row r="50" spans="1:7" x14ac:dyDescent="0.2">
      <c r="A50" s="244"/>
      <c r="B50" s="244"/>
    </row>
    <row r="51" spans="1:7" x14ac:dyDescent="0.2">
      <c r="A51" s="244"/>
      <c r="B51" s="244"/>
    </row>
    <row r="52" spans="1:7" x14ac:dyDescent="0.2">
      <c r="A52" s="244"/>
      <c r="B52" s="244"/>
    </row>
    <row r="53" spans="1:7" x14ac:dyDescent="0.2">
      <c r="A53" s="244"/>
      <c r="B53" s="244"/>
    </row>
    <row r="54" spans="1:7" x14ac:dyDescent="0.2">
      <c r="A54" s="244" t="s">
        <v>432</v>
      </c>
      <c r="B54" s="244"/>
      <c r="D54" s="1043" t="s">
        <v>433</v>
      </c>
      <c r="E54" s="1043"/>
      <c r="F54" s="1043"/>
      <c r="G54" s="1043"/>
    </row>
    <row r="55" spans="1:7" x14ac:dyDescent="0.2">
      <c r="A55" s="244"/>
      <c r="B55" s="244"/>
      <c r="D55" s="1041" t="s">
        <v>434</v>
      </c>
      <c r="E55" s="1041"/>
      <c r="F55" s="1041"/>
      <c r="G55" s="1041"/>
    </row>
    <row r="314" spans="11:11" x14ac:dyDescent="0.2">
      <c r="K314" s="184"/>
    </row>
    <row r="315" spans="11:11" x14ac:dyDescent="0.2">
      <c r="K315" s="184"/>
    </row>
    <row r="316" spans="11:11" x14ac:dyDescent="0.2">
      <c r="K316" s="184"/>
    </row>
    <row r="317" spans="11:11" x14ac:dyDescent="0.2">
      <c r="K317" s="184"/>
    </row>
  </sheetData>
  <mergeCells count="15">
    <mergeCell ref="D48:G48"/>
    <mergeCell ref="D55:G55"/>
    <mergeCell ref="A27:B27"/>
    <mergeCell ref="E27:F27"/>
    <mergeCell ref="E31:F31"/>
    <mergeCell ref="E33:F33"/>
    <mergeCell ref="E35:F35"/>
    <mergeCell ref="A42:B42"/>
    <mergeCell ref="D47:G47"/>
    <mergeCell ref="D54:G54"/>
    <mergeCell ref="A6:G6"/>
    <mergeCell ref="A7:G7"/>
    <mergeCell ref="A8:G8"/>
    <mergeCell ref="A12:F12"/>
    <mergeCell ref="E15:F15"/>
  </mergeCells>
  <pageMargins left="0.7" right="0.7" top="0.75" bottom="0.75" header="0.3" footer="0.3"/>
  <pageSetup orientation="portrait" r:id="rId1"/>
  <rowBreaks count="1" manualBreakCount="1">
    <brk id="43" max="16383" man="1"/>
  </rowBreaks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L318"/>
  <sheetViews>
    <sheetView topLeftCell="A16" workbookViewId="0">
      <selection activeCell="H23" sqref="H23"/>
    </sheetView>
  </sheetViews>
  <sheetFormatPr baseColWidth="10" defaultColWidth="9.140625" defaultRowHeight="12.75" x14ac:dyDescent="0.2"/>
  <cols>
    <col min="1" max="3" width="9.140625" style="168" customWidth="1"/>
    <col min="4" max="4" width="14.42578125" style="168" bestFit="1" customWidth="1"/>
    <col min="5" max="6" width="9.140625" style="168" customWidth="1"/>
    <col min="7" max="7" width="20.85546875" style="168" bestFit="1" customWidth="1"/>
    <col min="8" max="8" width="15" style="167" bestFit="1" customWidth="1"/>
    <col min="9" max="9" width="17.28515625" style="167" bestFit="1" customWidth="1"/>
    <col min="10" max="10" width="12.85546875" style="167" bestFit="1" customWidth="1"/>
    <col min="11" max="11" width="12.85546875" style="168" bestFit="1" customWidth="1"/>
    <col min="12" max="256" width="9.140625" style="168"/>
    <col min="257" max="259" width="9.140625" style="168" customWidth="1"/>
    <col min="260" max="260" width="14.42578125" style="168" bestFit="1" customWidth="1"/>
    <col min="261" max="262" width="9.140625" style="168" customWidth="1"/>
    <col min="263" max="263" width="20.85546875" style="168" bestFit="1" customWidth="1"/>
    <col min="264" max="264" width="15" style="168" bestFit="1" customWidth="1"/>
    <col min="265" max="265" width="17.28515625" style="168" bestFit="1" customWidth="1"/>
    <col min="266" max="267" width="12.85546875" style="168" bestFit="1" customWidth="1"/>
    <col min="268" max="512" width="9.140625" style="168"/>
    <col min="513" max="515" width="9.140625" style="168" customWidth="1"/>
    <col min="516" max="516" width="14.42578125" style="168" bestFit="1" customWidth="1"/>
    <col min="517" max="518" width="9.140625" style="168" customWidth="1"/>
    <col min="519" max="519" width="20.85546875" style="168" bestFit="1" customWidth="1"/>
    <col min="520" max="520" width="15" style="168" bestFit="1" customWidth="1"/>
    <col min="521" max="521" width="17.28515625" style="168" bestFit="1" customWidth="1"/>
    <col min="522" max="523" width="12.85546875" style="168" bestFit="1" customWidth="1"/>
    <col min="524" max="768" width="9.140625" style="168"/>
    <col min="769" max="771" width="9.140625" style="168" customWidth="1"/>
    <col min="772" max="772" width="14.42578125" style="168" bestFit="1" customWidth="1"/>
    <col min="773" max="774" width="9.140625" style="168" customWidth="1"/>
    <col min="775" max="775" width="20.85546875" style="168" bestFit="1" customWidth="1"/>
    <col min="776" max="776" width="15" style="168" bestFit="1" customWidth="1"/>
    <col min="777" max="777" width="17.28515625" style="168" bestFit="1" customWidth="1"/>
    <col min="778" max="779" width="12.85546875" style="168" bestFit="1" customWidth="1"/>
    <col min="780" max="1024" width="9.140625" style="168"/>
    <col min="1025" max="1027" width="9.140625" style="168" customWidth="1"/>
    <col min="1028" max="1028" width="14.42578125" style="168" bestFit="1" customWidth="1"/>
    <col min="1029" max="1030" width="9.140625" style="168" customWidth="1"/>
    <col min="1031" max="1031" width="20.85546875" style="168" bestFit="1" customWidth="1"/>
    <col min="1032" max="1032" width="15" style="168" bestFit="1" customWidth="1"/>
    <col min="1033" max="1033" width="17.28515625" style="168" bestFit="1" customWidth="1"/>
    <col min="1034" max="1035" width="12.85546875" style="168" bestFit="1" customWidth="1"/>
    <col min="1036" max="1280" width="9.140625" style="168"/>
    <col min="1281" max="1283" width="9.140625" style="168" customWidth="1"/>
    <col min="1284" max="1284" width="14.42578125" style="168" bestFit="1" customWidth="1"/>
    <col min="1285" max="1286" width="9.140625" style="168" customWidth="1"/>
    <col min="1287" max="1287" width="20.85546875" style="168" bestFit="1" customWidth="1"/>
    <col min="1288" max="1288" width="15" style="168" bestFit="1" customWidth="1"/>
    <col min="1289" max="1289" width="17.28515625" style="168" bestFit="1" customWidth="1"/>
    <col min="1290" max="1291" width="12.85546875" style="168" bestFit="1" customWidth="1"/>
    <col min="1292" max="1536" width="9.140625" style="168"/>
    <col min="1537" max="1539" width="9.140625" style="168" customWidth="1"/>
    <col min="1540" max="1540" width="14.42578125" style="168" bestFit="1" customWidth="1"/>
    <col min="1541" max="1542" width="9.140625" style="168" customWidth="1"/>
    <col min="1543" max="1543" width="20.85546875" style="168" bestFit="1" customWidth="1"/>
    <col min="1544" max="1544" width="15" style="168" bestFit="1" customWidth="1"/>
    <col min="1545" max="1545" width="17.28515625" style="168" bestFit="1" customWidth="1"/>
    <col min="1546" max="1547" width="12.85546875" style="168" bestFit="1" customWidth="1"/>
    <col min="1548" max="1792" width="9.140625" style="168"/>
    <col min="1793" max="1795" width="9.140625" style="168" customWidth="1"/>
    <col min="1796" max="1796" width="14.42578125" style="168" bestFit="1" customWidth="1"/>
    <col min="1797" max="1798" width="9.140625" style="168" customWidth="1"/>
    <col min="1799" max="1799" width="20.85546875" style="168" bestFit="1" customWidth="1"/>
    <col min="1800" max="1800" width="15" style="168" bestFit="1" customWidth="1"/>
    <col min="1801" max="1801" width="17.28515625" style="168" bestFit="1" customWidth="1"/>
    <col min="1802" max="1803" width="12.85546875" style="168" bestFit="1" customWidth="1"/>
    <col min="1804" max="2048" width="9.140625" style="168"/>
    <col min="2049" max="2051" width="9.140625" style="168" customWidth="1"/>
    <col min="2052" max="2052" width="14.42578125" style="168" bestFit="1" customWidth="1"/>
    <col min="2053" max="2054" width="9.140625" style="168" customWidth="1"/>
    <col min="2055" max="2055" width="20.85546875" style="168" bestFit="1" customWidth="1"/>
    <col min="2056" max="2056" width="15" style="168" bestFit="1" customWidth="1"/>
    <col min="2057" max="2057" width="17.28515625" style="168" bestFit="1" customWidth="1"/>
    <col min="2058" max="2059" width="12.85546875" style="168" bestFit="1" customWidth="1"/>
    <col min="2060" max="2304" width="9.140625" style="168"/>
    <col min="2305" max="2307" width="9.140625" style="168" customWidth="1"/>
    <col min="2308" max="2308" width="14.42578125" style="168" bestFit="1" customWidth="1"/>
    <col min="2309" max="2310" width="9.140625" style="168" customWidth="1"/>
    <col min="2311" max="2311" width="20.85546875" style="168" bestFit="1" customWidth="1"/>
    <col min="2312" max="2312" width="15" style="168" bestFit="1" customWidth="1"/>
    <col min="2313" max="2313" width="17.28515625" style="168" bestFit="1" customWidth="1"/>
    <col min="2314" max="2315" width="12.85546875" style="168" bestFit="1" customWidth="1"/>
    <col min="2316" max="2560" width="9.140625" style="168"/>
    <col min="2561" max="2563" width="9.140625" style="168" customWidth="1"/>
    <col min="2564" max="2564" width="14.42578125" style="168" bestFit="1" customWidth="1"/>
    <col min="2565" max="2566" width="9.140625" style="168" customWidth="1"/>
    <col min="2567" max="2567" width="20.85546875" style="168" bestFit="1" customWidth="1"/>
    <col min="2568" max="2568" width="15" style="168" bestFit="1" customWidth="1"/>
    <col min="2569" max="2569" width="17.28515625" style="168" bestFit="1" customWidth="1"/>
    <col min="2570" max="2571" width="12.85546875" style="168" bestFit="1" customWidth="1"/>
    <col min="2572" max="2816" width="9.140625" style="168"/>
    <col min="2817" max="2819" width="9.140625" style="168" customWidth="1"/>
    <col min="2820" max="2820" width="14.42578125" style="168" bestFit="1" customWidth="1"/>
    <col min="2821" max="2822" width="9.140625" style="168" customWidth="1"/>
    <col min="2823" max="2823" width="20.85546875" style="168" bestFit="1" customWidth="1"/>
    <col min="2824" max="2824" width="15" style="168" bestFit="1" customWidth="1"/>
    <col min="2825" max="2825" width="17.28515625" style="168" bestFit="1" customWidth="1"/>
    <col min="2826" max="2827" width="12.85546875" style="168" bestFit="1" customWidth="1"/>
    <col min="2828" max="3072" width="9.140625" style="168"/>
    <col min="3073" max="3075" width="9.140625" style="168" customWidth="1"/>
    <col min="3076" max="3076" width="14.42578125" style="168" bestFit="1" customWidth="1"/>
    <col min="3077" max="3078" width="9.140625" style="168" customWidth="1"/>
    <col min="3079" max="3079" width="20.85546875" style="168" bestFit="1" customWidth="1"/>
    <col min="3080" max="3080" width="15" style="168" bestFit="1" customWidth="1"/>
    <col min="3081" max="3081" width="17.28515625" style="168" bestFit="1" customWidth="1"/>
    <col min="3082" max="3083" width="12.85546875" style="168" bestFit="1" customWidth="1"/>
    <col min="3084" max="3328" width="9.140625" style="168"/>
    <col min="3329" max="3331" width="9.140625" style="168" customWidth="1"/>
    <col min="3332" max="3332" width="14.42578125" style="168" bestFit="1" customWidth="1"/>
    <col min="3333" max="3334" width="9.140625" style="168" customWidth="1"/>
    <col min="3335" max="3335" width="20.85546875" style="168" bestFit="1" customWidth="1"/>
    <col min="3336" max="3336" width="15" style="168" bestFit="1" customWidth="1"/>
    <col min="3337" max="3337" width="17.28515625" style="168" bestFit="1" customWidth="1"/>
    <col min="3338" max="3339" width="12.85546875" style="168" bestFit="1" customWidth="1"/>
    <col min="3340" max="3584" width="9.140625" style="168"/>
    <col min="3585" max="3587" width="9.140625" style="168" customWidth="1"/>
    <col min="3588" max="3588" width="14.42578125" style="168" bestFit="1" customWidth="1"/>
    <col min="3589" max="3590" width="9.140625" style="168" customWidth="1"/>
    <col min="3591" max="3591" width="20.85546875" style="168" bestFit="1" customWidth="1"/>
    <col min="3592" max="3592" width="15" style="168" bestFit="1" customWidth="1"/>
    <col min="3593" max="3593" width="17.28515625" style="168" bestFit="1" customWidth="1"/>
    <col min="3594" max="3595" width="12.85546875" style="168" bestFit="1" customWidth="1"/>
    <col min="3596" max="3840" width="9.140625" style="168"/>
    <col min="3841" max="3843" width="9.140625" style="168" customWidth="1"/>
    <col min="3844" max="3844" width="14.42578125" style="168" bestFit="1" customWidth="1"/>
    <col min="3845" max="3846" width="9.140625" style="168" customWidth="1"/>
    <col min="3847" max="3847" width="20.85546875" style="168" bestFit="1" customWidth="1"/>
    <col min="3848" max="3848" width="15" style="168" bestFit="1" customWidth="1"/>
    <col min="3849" max="3849" width="17.28515625" style="168" bestFit="1" customWidth="1"/>
    <col min="3850" max="3851" width="12.85546875" style="168" bestFit="1" customWidth="1"/>
    <col min="3852" max="4096" width="9.140625" style="168"/>
    <col min="4097" max="4099" width="9.140625" style="168" customWidth="1"/>
    <col min="4100" max="4100" width="14.42578125" style="168" bestFit="1" customWidth="1"/>
    <col min="4101" max="4102" width="9.140625" style="168" customWidth="1"/>
    <col min="4103" max="4103" width="20.85546875" style="168" bestFit="1" customWidth="1"/>
    <col min="4104" max="4104" width="15" style="168" bestFit="1" customWidth="1"/>
    <col min="4105" max="4105" width="17.28515625" style="168" bestFit="1" customWidth="1"/>
    <col min="4106" max="4107" width="12.85546875" style="168" bestFit="1" customWidth="1"/>
    <col min="4108" max="4352" width="9.140625" style="168"/>
    <col min="4353" max="4355" width="9.140625" style="168" customWidth="1"/>
    <col min="4356" max="4356" width="14.42578125" style="168" bestFit="1" customWidth="1"/>
    <col min="4357" max="4358" width="9.140625" style="168" customWidth="1"/>
    <col min="4359" max="4359" width="20.85546875" style="168" bestFit="1" customWidth="1"/>
    <col min="4360" max="4360" width="15" style="168" bestFit="1" customWidth="1"/>
    <col min="4361" max="4361" width="17.28515625" style="168" bestFit="1" customWidth="1"/>
    <col min="4362" max="4363" width="12.85546875" style="168" bestFit="1" customWidth="1"/>
    <col min="4364" max="4608" width="9.140625" style="168"/>
    <col min="4609" max="4611" width="9.140625" style="168" customWidth="1"/>
    <col min="4612" max="4612" width="14.42578125" style="168" bestFit="1" customWidth="1"/>
    <col min="4613" max="4614" width="9.140625" style="168" customWidth="1"/>
    <col min="4615" max="4615" width="20.85546875" style="168" bestFit="1" customWidth="1"/>
    <col min="4616" max="4616" width="15" style="168" bestFit="1" customWidth="1"/>
    <col min="4617" max="4617" width="17.28515625" style="168" bestFit="1" customWidth="1"/>
    <col min="4618" max="4619" width="12.85546875" style="168" bestFit="1" customWidth="1"/>
    <col min="4620" max="4864" width="9.140625" style="168"/>
    <col min="4865" max="4867" width="9.140625" style="168" customWidth="1"/>
    <col min="4868" max="4868" width="14.42578125" style="168" bestFit="1" customWidth="1"/>
    <col min="4869" max="4870" width="9.140625" style="168" customWidth="1"/>
    <col min="4871" max="4871" width="20.85546875" style="168" bestFit="1" customWidth="1"/>
    <col min="4872" max="4872" width="15" style="168" bestFit="1" customWidth="1"/>
    <col min="4873" max="4873" width="17.28515625" style="168" bestFit="1" customWidth="1"/>
    <col min="4874" max="4875" width="12.85546875" style="168" bestFit="1" customWidth="1"/>
    <col min="4876" max="5120" width="9.140625" style="168"/>
    <col min="5121" max="5123" width="9.140625" style="168" customWidth="1"/>
    <col min="5124" max="5124" width="14.42578125" style="168" bestFit="1" customWidth="1"/>
    <col min="5125" max="5126" width="9.140625" style="168" customWidth="1"/>
    <col min="5127" max="5127" width="20.85546875" style="168" bestFit="1" customWidth="1"/>
    <col min="5128" max="5128" width="15" style="168" bestFit="1" customWidth="1"/>
    <col min="5129" max="5129" width="17.28515625" style="168" bestFit="1" customWidth="1"/>
    <col min="5130" max="5131" width="12.85546875" style="168" bestFit="1" customWidth="1"/>
    <col min="5132" max="5376" width="9.140625" style="168"/>
    <col min="5377" max="5379" width="9.140625" style="168" customWidth="1"/>
    <col min="5380" max="5380" width="14.42578125" style="168" bestFit="1" customWidth="1"/>
    <col min="5381" max="5382" width="9.140625" style="168" customWidth="1"/>
    <col min="5383" max="5383" width="20.85546875" style="168" bestFit="1" customWidth="1"/>
    <col min="5384" max="5384" width="15" style="168" bestFit="1" customWidth="1"/>
    <col min="5385" max="5385" width="17.28515625" style="168" bestFit="1" customWidth="1"/>
    <col min="5386" max="5387" width="12.85546875" style="168" bestFit="1" customWidth="1"/>
    <col min="5388" max="5632" width="9.140625" style="168"/>
    <col min="5633" max="5635" width="9.140625" style="168" customWidth="1"/>
    <col min="5636" max="5636" width="14.42578125" style="168" bestFit="1" customWidth="1"/>
    <col min="5637" max="5638" width="9.140625" style="168" customWidth="1"/>
    <col min="5639" max="5639" width="20.85546875" style="168" bestFit="1" customWidth="1"/>
    <col min="5640" max="5640" width="15" style="168" bestFit="1" customWidth="1"/>
    <col min="5641" max="5641" width="17.28515625" style="168" bestFit="1" customWidth="1"/>
    <col min="5642" max="5643" width="12.85546875" style="168" bestFit="1" customWidth="1"/>
    <col min="5644" max="5888" width="9.140625" style="168"/>
    <col min="5889" max="5891" width="9.140625" style="168" customWidth="1"/>
    <col min="5892" max="5892" width="14.42578125" style="168" bestFit="1" customWidth="1"/>
    <col min="5893" max="5894" width="9.140625" style="168" customWidth="1"/>
    <col min="5895" max="5895" width="20.85546875" style="168" bestFit="1" customWidth="1"/>
    <col min="5896" max="5896" width="15" style="168" bestFit="1" customWidth="1"/>
    <col min="5897" max="5897" width="17.28515625" style="168" bestFit="1" customWidth="1"/>
    <col min="5898" max="5899" width="12.85546875" style="168" bestFit="1" customWidth="1"/>
    <col min="5900" max="6144" width="9.140625" style="168"/>
    <col min="6145" max="6147" width="9.140625" style="168" customWidth="1"/>
    <col min="6148" max="6148" width="14.42578125" style="168" bestFit="1" customWidth="1"/>
    <col min="6149" max="6150" width="9.140625" style="168" customWidth="1"/>
    <col min="6151" max="6151" width="20.85546875" style="168" bestFit="1" customWidth="1"/>
    <col min="6152" max="6152" width="15" style="168" bestFit="1" customWidth="1"/>
    <col min="6153" max="6153" width="17.28515625" style="168" bestFit="1" customWidth="1"/>
    <col min="6154" max="6155" width="12.85546875" style="168" bestFit="1" customWidth="1"/>
    <col min="6156" max="6400" width="9.140625" style="168"/>
    <col min="6401" max="6403" width="9.140625" style="168" customWidth="1"/>
    <col min="6404" max="6404" width="14.42578125" style="168" bestFit="1" customWidth="1"/>
    <col min="6405" max="6406" width="9.140625" style="168" customWidth="1"/>
    <col min="6407" max="6407" width="20.85546875" style="168" bestFit="1" customWidth="1"/>
    <col min="6408" max="6408" width="15" style="168" bestFit="1" customWidth="1"/>
    <col min="6409" max="6409" width="17.28515625" style="168" bestFit="1" customWidth="1"/>
    <col min="6410" max="6411" width="12.85546875" style="168" bestFit="1" customWidth="1"/>
    <col min="6412" max="6656" width="9.140625" style="168"/>
    <col min="6657" max="6659" width="9.140625" style="168" customWidth="1"/>
    <col min="6660" max="6660" width="14.42578125" style="168" bestFit="1" customWidth="1"/>
    <col min="6661" max="6662" width="9.140625" style="168" customWidth="1"/>
    <col min="6663" max="6663" width="20.85546875" style="168" bestFit="1" customWidth="1"/>
    <col min="6664" max="6664" width="15" style="168" bestFit="1" customWidth="1"/>
    <col min="6665" max="6665" width="17.28515625" style="168" bestFit="1" customWidth="1"/>
    <col min="6666" max="6667" width="12.85546875" style="168" bestFit="1" customWidth="1"/>
    <col min="6668" max="6912" width="9.140625" style="168"/>
    <col min="6913" max="6915" width="9.140625" style="168" customWidth="1"/>
    <col min="6916" max="6916" width="14.42578125" style="168" bestFit="1" customWidth="1"/>
    <col min="6917" max="6918" width="9.140625" style="168" customWidth="1"/>
    <col min="6919" max="6919" width="20.85546875" style="168" bestFit="1" customWidth="1"/>
    <col min="6920" max="6920" width="15" style="168" bestFit="1" customWidth="1"/>
    <col min="6921" max="6921" width="17.28515625" style="168" bestFit="1" customWidth="1"/>
    <col min="6922" max="6923" width="12.85546875" style="168" bestFit="1" customWidth="1"/>
    <col min="6924" max="7168" width="9.140625" style="168"/>
    <col min="7169" max="7171" width="9.140625" style="168" customWidth="1"/>
    <col min="7172" max="7172" width="14.42578125" style="168" bestFit="1" customWidth="1"/>
    <col min="7173" max="7174" width="9.140625" style="168" customWidth="1"/>
    <col min="7175" max="7175" width="20.85546875" style="168" bestFit="1" customWidth="1"/>
    <col min="7176" max="7176" width="15" style="168" bestFit="1" customWidth="1"/>
    <col min="7177" max="7177" width="17.28515625" style="168" bestFit="1" customWidth="1"/>
    <col min="7178" max="7179" width="12.85546875" style="168" bestFit="1" customWidth="1"/>
    <col min="7180" max="7424" width="9.140625" style="168"/>
    <col min="7425" max="7427" width="9.140625" style="168" customWidth="1"/>
    <col min="7428" max="7428" width="14.42578125" style="168" bestFit="1" customWidth="1"/>
    <col min="7429" max="7430" width="9.140625" style="168" customWidth="1"/>
    <col min="7431" max="7431" width="20.85546875" style="168" bestFit="1" customWidth="1"/>
    <col min="7432" max="7432" width="15" style="168" bestFit="1" customWidth="1"/>
    <col min="7433" max="7433" width="17.28515625" style="168" bestFit="1" customWidth="1"/>
    <col min="7434" max="7435" width="12.85546875" style="168" bestFit="1" customWidth="1"/>
    <col min="7436" max="7680" width="9.140625" style="168"/>
    <col min="7681" max="7683" width="9.140625" style="168" customWidth="1"/>
    <col min="7684" max="7684" width="14.42578125" style="168" bestFit="1" customWidth="1"/>
    <col min="7685" max="7686" width="9.140625" style="168" customWidth="1"/>
    <col min="7687" max="7687" width="20.85546875" style="168" bestFit="1" customWidth="1"/>
    <col min="7688" max="7688" width="15" style="168" bestFit="1" customWidth="1"/>
    <col min="7689" max="7689" width="17.28515625" style="168" bestFit="1" customWidth="1"/>
    <col min="7690" max="7691" width="12.85546875" style="168" bestFit="1" customWidth="1"/>
    <col min="7692" max="7936" width="9.140625" style="168"/>
    <col min="7937" max="7939" width="9.140625" style="168" customWidth="1"/>
    <col min="7940" max="7940" width="14.42578125" style="168" bestFit="1" customWidth="1"/>
    <col min="7941" max="7942" width="9.140625" style="168" customWidth="1"/>
    <col min="7943" max="7943" width="20.85546875" style="168" bestFit="1" customWidth="1"/>
    <col min="7944" max="7944" width="15" style="168" bestFit="1" customWidth="1"/>
    <col min="7945" max="7945" width="17.28515625" style="168" bestFit="1" customWidth="1"/>
    <col min="7946" max="7947" width="12.85546875" style="168" bestFit="1" customWidth="1"/>
    <col min="7948" max="8192" width="9.140625" style="168"/>
    <col min="8193" max="8195" width="9.140625" style="168" customWidth="1"/>
    <col min="8196" max="8196" width="14.42578125" style="168" bestFit="1" customWidth="1"/>
    <col min="8197" max="8198" width="9.140625" style="168" customWidth="1"/>
    <col min="8199" max="8199" width="20.85546875" style="168" bestFit="1" customWidth="1"/>
    <col min="8200" max="8200" width="15" style="168" bestFit="1" customWidth="1"/>
    <col min="8201" max="8201" width="17.28515625" style="168" bestFit="1" customWidth="1"/>
    <col min="8202" max="8203" width="12.85546875" style="168" bestFit="1" customWidth="1"/>
    <col min="8204" max="8448" width="9.140625" style="168"/>
    <col min="8449" max="8451" width="9.140625" style="168" customWidth="1"/>
    <col min="8452" max="8452" width="14.42578125" style="168" bestFit="1" customWidth="1"/>
    <col min="8453" max="8454" width="9.140625" style="168" customWidth="1"/>
    <col min="8455" max="8455" width="20.85546875" style="168" bestFit="1" customWidth="1"/>
    <col min="8456" max="8456" width="15" style="168" bestFit="1" customWidth="1"/>
    <col min="8457" max="8457" width="17.28515625" style="168" bestFit="1" customWidth="1"/>
    <col min="8458" max="8459" width="12.85546875" style="168" bestFit="1" customWidth="1"/>
    <col min="8460" max="8704" width="9.140625" style="168"/>
    <col min="8705" max="8707" width="9.140625" style="168" customWidth="1"/>
    <col min="8708" max="8708" width="14.42578125" style="168" bestFit="1" customWidth="1"/>
    <col min="8709" max="8710" width="9.140625" style="168" customWidth="1"/>
    <col min="8711" max="8711" width="20.85546875" style="168" bestFit="1" customWidth="1"/>
    <col min="8712" max="8712" width="15" style="168" bestFit="1" customWidth="1"/>
    <col min="8713" max="8713" width="17.28515625" style="168" bestFit="1" customWidth="1"/>
    <col min="8714" max="8715" width="12.85546875" style="168" bestFit="1" customWidth="1"/>
    <col min="8716" max="8960" width="9.140625" style="168"/>
    <col min="8961" max="8963" width="9.140625" style="168" customWidth="1"/>
    <col min="8964" max="8964" width="14.42578125" style="168" bestFit="1" customWidth="1"/>
    <col min="8965" max="8966" width="9.140625" style="168" customWidth="1"/>
    <col min="8967" max="8967" width="20.85546875" style="168" bestFit="1" customWidth="1"/>
    <col min="8968" max="8968" width="15" style="168" bestFit="1" customWidth="1"/>
    <col min="8969" max="8969" width="17.28515625" style="168" bestFit="1" customWidth="1"/>
    <col min="8970" max="8971" width="12.85546875" style="168" bestFit="1" customWidth="1"/>
    <col min="8972" max="9216" width="9.140625" style="168"/>
    <col min="9217" max="9219" width="9.140625" style="168" customWidth="1"/>
    <col min="9220" max="9220" width="14.42578125" style="168" bestFit="1" customWidth="1"/>
    <col min="9221" max="9222" width="9.140625" style="168" customWidth="1"/>
    <col min="9223" max="9223" width="20.85546875" style="168" bestFit="1" customWidth="1"/>
    <col min="9224" max="9224" width="15" style="168" bestFit="1" customWidth="1"/>
    <col min="9225" max="9225" width="17.28515625" style="168" bestFit="1" customWidth="1"/>
    <col min="9226" max="9227" width="12.85546875" style="168" bestFit="1" customWidth="1"/>
    <col min="9228" max="9472" width="9.140625" style="168"/>
    <col min="9473" max="9475" width="9.140625" style="168" customWidth="1"/>
    <col min="9476" max="9476" width="14.42578125" style="168" bestFit="1" customWidth="1"/>
    <col min="9477" max="9478" width="9.140625" style="168" customWidth="1"/>
    <col min="9479" max="9479" width="20.85546875" style="168" bestFit="1" customWidth="1"/>
    <col min="9480" max="9480" width="15" style="168" bestFit="1" customWidth="1"/>
    <col min="9481" max="9481" width="17.28515625" style="168" bestFit="1" customWidth="1"/>
    <col min="9482" max="9483" width="12.85546875" style="168" bestFit="1" customWidth="1"/>
    <col min="9484" max="9728" width="9.140625" style="168"/>
    <col min="9729" max="9731" width="9.140625" style="168" customWidth="1"/>
    <col min="9732" max="9732" width="14.42578125" style="168" bestFit="1" customWidth="1"/>
    <col min="9733" max="9734" width="9.140625" style="168" customWidth="1"/>
    <col min="9735" max="9735" width="20.85546875" style="168" bestFit="1" customWidth="1"/>
    <col min="9736" max="9736" width="15" style="168" bestFit="1" customWidth="1"/>
    <col min="9737" max="9737" width="17.28515625" style="168" bestFit="1" customWidth="1"/>
    <col min="9738" max="9739" width="12.85546875" style="168" bestFit="1" customWidth="1"/>
    <col min="9740" max="9984" width="9.140625" style="168"/>
    <col min="9985" max="9987" width="9.140625" style="168" customWidth="1"/>
    <col min="9988" max="9988" width="14.42578125" style="168" bestFit="1" customWidth="1"/>
    <col min="9989" max="9990" width="9.140625" style="168" customWidth="1"/>
    <col min="9991" max="9991" width="20.85546875" style="168" bestFit="1" customWidth="1"/>
    <col min="9992" max="9992" width="15" style="168" bestFit="1" customWidth="1"/>
    <col min="9993" max="9993" width="17.28515625" style="168" bestFit="1" customWidth="1"/>
    <col min="9994" max="9995" width="12.85546875" style="168" bestFit="1" customWidth="1"/>
    <col min="9996" max="10240" width="9.140625" style="168"/>
    <col min="10241" max="10243" width="9.140625" style="168" customWidth="1"/>
    <col min="10244" max="10244" width="14.42578125" style="168" bestFit="1" customWidth="1"/>
    <col min="10245" max="10246" width="9.140625" style="168" customWidth="1"/>
    <col min="10247" max="10247" width="20.85546875" style="168" bestFit="1" customWidth="1"/>
    <col min="10248" max="10248" width="15" style="168" bestFit="1" customWidth="1"/>
    <col min="10249" max="10249" width="17.28515625" style="168" bestFit="1" customWidth="1"/>
    <col min="10250" max="10251" width="12.85546875" style="168" bestFit="1" customWidth="1"/>
    <col min="10252" max="10496" width="9.140625" style="168"/>
    <col min="10497" max="10499" width="9.140625" style="168" customWidth="1"/>
    <col min="10500" max="10500" width="14.42578125" style="168" bestFit="1" customWidth="1"/>
    <col min="10501" max="10502" width="9.140625" style="168" customWidth="1"/>
    <col min="10503" max="10503" width="20.85546875" style="168" bestFit="1" customWidth="1"/>
    <col min="10504" max="10504" width="15" style="168" bestFit="1" customWidth="1"/>
    <col min="10505" max="10505" width="17.28515625" style="168" bestFit="1" customWidth="1"/>
    <col min="10506" max="10507" width="12.85546875" style="168" bestFit="1" customWidth="1"/>
    <col min="10508" max="10752" width="9.140625" style="168"/>
    <col min="10753" max="10755" width="9.140625" style="168" customWidth="1"/>
    <col min="10756" max="10756" width="14.42578125" style="168" bestFit="1" customWidth="1"/>
    <col min="10757" max="10758" width="9.140625" style="168" customWidth="1"/>
    <col min="10759" max="10759" width="20.85546875" style="168" bestFit="1" customWidth="1"/>
    <col min="10760" max="10760" width="15" style="168" bestFit="1" customWidth="1"/>
    <col min="10761" max="10761" width="17.28515625" style="168" bestFit="1" customWidth="1"/>
    <col min="10762" max="10763" width="12.85546875" style="168" bestFit="1" customWidth="1"/>
    <col min="10764" max="11008" width="9.140625" style="168"/>
    <col min="11009" max="11011" width="9.140625" style="168" customWidth="1"/>
    <col min="11012" max="11012" width="14.42578125" style="168" bestFit="1" customWidth="1"/>
    <col min="11013" max="11014" width="9.140625" style="168" customWidth="1"/>
    <col min="11015" max="11015" width="20.85546875" style="168" bestFit="1" customWidth="1"/>
    <col min="11016" max="11016" width="15" style="168" bestFit="1" customWidth="1"/>
    <col min="11017" max="11017" width="17.28515625" style="168" bestFit="1" customWidth="1"/>
    <col min="11018" max="11019" width="12.85546875" style="168" bestFit="1" customWidth="1"/>
    <col min="11020" max="11264" width="9.140625" style="168"/>
    <col min="11265" max="11267" width="9.140625" style="168" customWidth="1"/>
    <col min="11268" max="11268" width="14.42578125" style="168" bestFit="1" customWidth="1"/>
    <col min="11269" max="11270" width="9.140625" style="168" customWidth="1"/>
    <col min="11271" max="11271" width="20.85546875" style="168" bestFit="1" customWidth="1"/>
    <col min="11272" max="11272" width="15" style="168" bestFit="1" customWidth="1"/>
    <col min="11273" max="11273" width="17.28515625" style="168" bestFit="1" customWidth="1"/>
    <col min="11274" max="11275" width="12.85546875" style="168" bestFit="1" customWidth="1"/>
    <col min="11276" max="11520" width="9.140625" style="168"/>
    <col min="11521" max="11523" width="9.140625" style="168" customWidth="1"/>
    <col min="11524" max="11524" width="14.42578125" style="168" bestFit="1" customWidth="1"/>
    <col min="11525" max="11526" width="9.140625" style="168" customWidth="1"/>
    <col min="11527" max="11527" width="20.85546875" style="168" bestFit="1" customWidth="1"/>
    <col min="11528" max="11528" width="15" style="168" bestFit="1" customWidth="1"/>
    <col min="11529" max="11529" width="17.28515625" style="168" bestFit="1" customWidth="1"/>
    <col min="11530" max="11531" width="12.85546875" style="168" bestFit="1" customWidth="1"/>
    <col min="11532" max="11776" width="9.140625" style="168"/>
    <col min="11777" max="11779" width="9.140625" style="168" customWidth="1"/>
    <col min="11780" max="11780" width="14.42578125" style="168" bestFit="1" customWidth="1"/>
    <col min="11781" max="11782" width="9.140625" style="168" customWidth="1"/>
    <col min="11783" max="11783" width="20.85546875" style="168" bestFit="1" customWidth="1"/>
    <col min="11784" max="11784" width="15" style="168" bestFit="1" customWidth="1"/>
    <col min="11785" max="11785" width="17.28515625" style="168" bestFit="1" customWidth="1"/>
    <col min="11786" max="11787" width="12.85546875" style="168" bestFit="1" customWidth="1"/>
    <col min="11788" max="12032" width="9.140625" style="168"/>
    <col min="12033" max="12035" width="9.140625" style="168" customWidth="1"/>
    <col min="12036" max="12036" width="14.42578125" style="168" bestFit="1" customWidth="1"/>
    <col min="12037" max="12038" width="9.140625" style="168" customWidth="1"/>
    <col min="12039" max="12039" width="20.85546875" style="168" bestFit="1" customWidth="1"/>
    <col min="12040" max="12040" width="15" style="168" bestFit="1" customWidth="1"/>
    <col min="12041" max="12041" width="17.28515625" style="168" bestFit="1" customWidth="1"/>
    <col min="12042" max="12043" width="12.85546875" style="168" bestFit="1" customWidth="1"/>
    <col min="12044" max="12288" width="9.140625" style="168"/>
    <col min="12289" max="12291" width="9.140625" style="168" customWidth="1"/>
    <col min="12292" max="12292" width="14.42578125" style="168" bestFit="1" customWidth="1"/>
    <col min="12293" max="12294" width="9.140625" style="168" customWidth="1"/>
    <col min="12295" max="12295" width="20.85546875" style="168" bestFit="1" customWidth="1"/>
    <col min="12296" max="12296" width="15" style="168" bestFit="1" customWidth="1"/>
    <col min="12297" max="12297" width="17.28515625" style="168" bestFit="1" customWidth="1"/>
    <col min="12298" max="12299" width="12.85546875" style="168" bestFit="1" customWidth="1"/>
    <col min="12300" max="12544" width="9.140625" style="168"/>
    <col min="12545" max="12547" width="9.140625" style="168" customWidth="1"/>
    <col min="12548" max="12548" width="14.42578125" style="168" bestFit="1" customWidth="1"/>
    <col min="12549" max="12550" width="9.140625" style="168" customWidth="1"/>
    <col min="12551" max="12551" width="20.85546875" style="168" bestFit="1" customWidth="1"/>
    <col min="12552" max="12552" width="15" style="168" bestFit="1" customWidth="1"/>
    <col min="12553" max="12553" width="17.28515625" style="168" bestFit="1" customWidth="1"/>
    <col min="12554" max="12555" width="12.85546875" style="168" bestFit="1" customWidth="1"/>
    <col min="12556" max="12800" width="9.140625" style="168"/>
    <col min="12801" max="12803" width="9.140625" style="168" customWidth="1"/>
    <col min="12804" max="12804" width="14.42578125" style="168" bestFit="1" customWidth="1"/>
    <col min="12805" max="12806" width="9.140625" style="168" customWidth="1"/>
    <col min="12807" max="12807" width="20.85546875" style="168" bestFit="1" customWidth="1"/>
    <col min="12808" max="12808" width="15" style="168" bestFit="1" customWidth="1"/>
    <col min="12809" max="12809" width="17.28515625" style="168" bestFit="1" customWidth="1"/>
    <col min="12810" max="12811" width="12.85546875" style="168" bestFit="1" customWidth="1"/>
    <col min="12812" max="13056" width="9.140625" style="168"/>
    <col min="13057" max="13059" width="9.140625" style="168" customWidth="1"/>
    <col min="13060" max="13060" width="14.42578125" style="168" bestFit="1" customWidth="1"/>
    <col min="13061" max="13062" width="9.140625" style="168" customWidth="1"/>
    <col min="13063" max="13063" width="20.85546875" style="168" bestFit="1" customWidth="1"/>
    <col min="13064" max="13064" width="15" style="168" bestFit="1" customWidth="1"/>
    <col min="13065" max="13065" width="17.28515625" style="168" bestFit="1" customWidth="1"/>
    <col min="13066" max="13067" width="12.85546875" style="168" bestFit="1" customWidth="1"/>
    <col min="13068" max="13312" width="9.140625" style="168"/>
    <col min="13313" max="13315" width="9.140625" style="168" customWidth="1"/>
    <col min="13316" max="13316" width="14.42578125" style="168" bestFit="1" customWidth="1"/>
    <col min="13317" max="13318" width="9.140625" style="168" customWidth="1"/>
    <col min="13319" max="13319" width="20.85546875" style="168" bestFit="1" customWidth="1"/>
    <col min="13320" max="13320" width="15" style="168" bestFit="1" customWidth="1"/>
    <col min="13321" max="13321" width="17.28515625" style="168" bestFit="1" customWidth="1"/>
    <col min="13322" max="13323" width="12.85546875" style="168" bestFit="1" customWidth="1"/>
    <col min="13324" max="13568" width="9.140625" style="168"/>
    <col min="13569" max="13571" width="9.140625" style="168" customWidth="1"/>
    <col min="13572" max="13572" width="14.42578125" style="168" bestFit="1" customWidth="1"/>
    <col min="13573" max="13574" width="9.140625" style="168" customWidth="1"/>
    <col min="13575" max="13575" width="20.85546875" style="168" bestFit="1" customWidth="1"/>
    <col min="13576" max="13576" width="15" style="168" bestFit="1" customWidth="1"/>
    <col min="13577" max="13577" width="17.28515625" style="168" bestFit="1" customWidth="1"/>
    <col min="13578" max="13579" width="12.85546875" style="168" bestFit="1" customWidth="1"/>
    <col min="13580" max="13824" width="9.140625" style="168"/>
    <col min="13825" max="13827" width="9.140625" style="168" customWidth="1"/>
    <col min="13828" max="13828" width="14.42578125" style="168" bestFit="1" customWidth="1"/>
    <col min="13829" max="13830" width="9.140625" style="168" customWidth="1"/>
    <col min="13831" max="13831" width="20.85546875" style="168" bestFit="1" customWidth="1"/>
    <col min="13832" max="13832" width="15" style="168" bestFit="1" customWidth="1"/>
    <col min="13833" max="13833" width="17.28515625" style="168" bestFit="1" customWidth="1"/>
    <col min="13834" max="13835" width="12.85546875" style="168" bestFit="1" customWidth="1"/>
    <col min="13836" max="14080" width="9.140625" style="168"/>
    <col min="14081" max="14083" width="9.140625" style="168" customWidth="1"/>
    <col min="14084" max="14084" width="14.42578125" style="168" bestFit="1" customWidth="1"/>
    <col min="14085" max="14086" width="9.140625" style="168" customWidth="1"/>
    <col min="14087" max="14087" width="20.85546875" style="168" bestFit="1" customWidth="1"/>
    <col min="14088" max="14088" width="15" style="168" bestFit="1" customWidth="1"/>
    <col min="14089" max="14089" width="17.28515625" style="168" bestFit="1" customWidth="1"/>
    <col min="14090" max="14091" width="12.85546875" style="168" bestFit="1" customWidth="1"/>
    <col min="14092" max="14336" width="9.140625" style="168"/>
    <col min="14337" max="14339" width="9.140625" style="168" customWidth="1"/>
    <col min="14340" max="14340" width="14.42578125" style="168" bestFit="1" customWidth="1"/>
    <col min="14341" max="14342" width="9.140625" style="168" customWidth="1"/>
    <col min="14343" max="14343" width="20.85546875" style="168" bestFit="1" customWidth="1"/>
    <col min="14344" max="14344" width="15" style="168" bestFit="1" customWidth="1"/>
    <col min="14345" max="14345" width="17.28515625" style="168" bestFit="1" customWidth="1"/>
    <col min="14346" max="14347" width="12.85546875" style="168" bestFit="1" customWidth="1"/>
    <col min="14348" max="14592" width="9.140625" style="168"/>
    <col min="14593" max="14595" width="9.140625" style="168" customWidth="1"/>
    <col min="14596" max="14596" width="14.42578125" style="168" bestFit="1" customWidth="1"/>
    <col min="14597" max="14598" width="9.140625" style="168" customWidth="1"/>
    <col min="14599" max="14599" width="20.85546875" style="168" bestFit="1" customWidth="1"/>
    <col min="14600" max="14600" width="15" style="168" bestFit="1" customWidth="1"/>
    <col min="14601" max="14601" width="17.28515625" style="168" bestFit="1" customWidth="1"/>
    <col min="14602" max="14603" width="12.85546875" style="168" bestFit="1" customWidth="1"/>
    <col min="14604" max="14848" width="9.140625" style="168"/>
    <col min="14849" max="14851" width="9.140625" style="168" customWidth="1"/>
    <col min="14852" max="14852" width="14.42578125" style="168" bestFit="1" customWidth="1"/>
    <col min="14853" max="14854" width="9.140625" style="168" customWidth="1"/>
    <col min="14855" max="14855" width="20.85546875" style="168" bestFit="1" customWidth="1"/>
    <col min="14856" max="14856" width="15" style="168" bestFit="1" customWidth="1"/>
    <col min="14857" max="14857" width="17.28515625" style="168" bestFit="1" customWidth="1"/>
    <col min="14858" max="14859" width="12.85546875" style="168" bestFit="1" customWidth="1"/>
    <col min="14860" max="15104" width="9.140625" style="168"/>
    <col min="15105" max="15107" width="9.140625" style="168" customWidth="1"/>
    <col min="15108" max="15108" width="14.42578125" style="168" bestFit="1" customWidth="1"/>
    <col min="15109" max="15110" width="9.140625" style="168" customWidth="1"/>
    <col min="15111" max="15111" width="20.85546875" style="168" bestFit="1" customWidth="1"/>
    <col min="15112" max="15112" width="15" style="168" bestFit="1" customWidth="1"/>
    <col min="15113" max="15113" width="17.28515625" style="168" bestFit="1" customWidth="1"/>
    <col min="15114" max="15115" width="12.85546875" style="168" bestFit="1" customWidth="1"/>
    <col min="15116" max="15360" width="9.140625" style="168"/>
    <col min="15361" max="15363" width="9.140625" style="168" customWidth="1"/>
    <col min="15364" max="15364" width="14.42578125" style="168" bestFit="1" customWidth="1"/>
    <col min="15365" max="15366" width="9.140625" style="168" customWidth="1"/>
    <col min="15367" max="15367" width="20.85546875" style="168" bestFit="1" customWidth="1"/>
    <col min="15368" max="15368" width="15" style="168" bestFit="1" customWidth="1"/>
    <col min="15369" max="15369" width="17.28515625" style="168" bestFit="1" customWidth="1"/>
    <col min="15370" max="15371" width="12.85546875" style="168" bestFit="1" customWidth="1"/>
    <col min="15372" max="15616" width="9.140625" style="168"/>
    <col min="15617" max="15619" width="9.140625" style="168" customWidth="1"/>
    <col min="15620" max="15620" width="14.42578125" style="168" bestFit="1" customWidth="1"/>
    <col min="15621" max="15622" width="9.140625" style="168" customWidth="1"/>
    <col min="15623" max="15623" width="20.85546875" style="168" bestFit="1" customWidth="1"/>
    <col min="15624" max="15624" width="15" style="168" bestFit="1" customWidth="1"/>
    <col min="15625" max="15625" width="17.28515625" style="168" bestFit="1" customWidth="1"/>
    <col min="15626" max="15627" width="12.85546875" style="168" bestFit="1" customWidth="1"/>
    <col min="15628" max="15872" width="9.140625" style="168"/>
    <col min="15873" max="15875" width="9.140625" style="168" customWidth="1"/>
    <col min="15876" max="15876" width="14.42578125" style="168" bestFit="1" customWidth="1"/>
    <col min="15877" max="15878" width="9.140625" style="168" customWidth="1"/>
    <col min="15879" max="15879" width="20.85546875" style="168" bestFit="1" customWidth="1"/>
    <col min="15880" max="15880" width="15" style="168" bestFit="1" customWidth="1"/>
    <col min="15881" max="15881" width="17.28515625" style="168" bestFit="1" customWidth="1"/>
    <col min="15882" max="15883" width="12.85546875" style="168" bestFit="1" customWidth="1"/>
    <col min="15884" max="16128" width="9.140625" style="168"/>
    <col min="16129" max="16131" width="9.140625" style="168" customWidth="1"/>
    <col min="16132" max="16132" width="14.42578125" style="168" bestFit="1" customWidth="1"/>
    <col min="16133" max="16134" width="9.140625" style="168" customWidth="1"/>
    <col min="16135" max="16135" width="20.85546875" style="168" bestFit="1" customWidth="1"/>
    <col min="16136" max="16136" width="15" style="168" bestFit="1" customWidth="1"/>
    <col min="16137" max="16137" width="17.28515625" style="168" bestFit="1" customWidth="1"/>
    <col min="16138" max="16139" width="12.85546875" style="168" bestFit="1" customWidth="1"/>
    <col min="16140" max="16384" width="9.140625" style="168"/>
  </cols>
  <sheetData>
    <row r="6" spans="1:9" ht="24.75" thickBot="1" x14ac:dyDescent="0.45">
      <c r="A6" s="1040" t="s">
        <v>229</v>
      </c>
      <c r="B6" s="1040"/>
      <c r="C6" s="1040"/>
      <c r="D6" s="1040"/>
      <c r="E6" s="1040"/>
      <c r="F6" s="1040"/>
      <c r="G6" s="1040"/>
    </row>
    <row r="7" spans="1:9" ht="14.25" thickBot="1" x14ac:dyDescent="0.3">
      <c r="A7" s="1005" t="s">
        <v>450</v>
      </c>
      <c r="B7" s="1006"/>
      <c r="C7" s="1006"/>
      <c r="D7" s="1006"/>
      <c r="E7" s="1006"/>
      <c r="F7" s="1006"/>
      <c r="G7" s="1007"/>
    </row>
    <row r="8" spans="1:9" ht="13.5" x14ac:dyDescent="0.25">
      <c r="A8" s="1008"/>
      <c r="B8" s="1009"/>
      <c r="C8" s="1009"/>
      <c r="D8" s="1009"/>
      <c r="E8" s="1009"/>
      <c r="F8" s="1009"/>
      <c r="G8" s="1010"/>
    </row>
    <row r="9" spans="1:9" x14ac:dyDescent="0.2">
      <c r="A9" s="169"/>
      <c r="B9" s="170"/>
      <c r="C9" s="171"/>
      <c r="D9" s="172"/>
      <c r="E9" s="172"/>
      <c r="F9" s="172"/>
      <c r="G9" s="173"/>
    </row>
    <row r="10" spans="1:9" x14ac:dyDescent="0.2">
      <c r="A10" s="174" t="s">
        <v>399</v>
      </c>
      <c r="B10" s="175" t="s">
        <v>400</v>
      </c>
      <c r="C10" s="175"/>
      <c r="D10" s="175"/>
      <c r="E10" s="176" t="s">
        <v>401</v>
      </c>
      <c r="F10" s="171"/>
      <c r="G10" s="177"/>
    </row>
    <row r="11" spans="1:9" x14ac:dyDescent="0.2">
      <c r="A11" s="174"/>
      <c r="B11" s="175"/>
      <c r="C11" s="175"/>
      <c r="D11" s="175"/>
      <c r="E11" s="176"/>
      <c r="F11" s="171"/>
      <c r="G11" s="177"/>
    </row>
    <row r="12" spans="1:9" x14ac:dyDescent="0.2">
      <c r="A12" s="1011"/>
      <c r="B12" s="1001"/>
      <c r="C12" s="1001"/>
      <c r="D12" s="1001"/>
      <c r="E12" s="1001"/>
      <c r="F12" s="1001"/>
      <c r="G12" s="178" t="s">
        <v>402</v>
      </c>
    </row>
    <row r="13" spans="1:9" x14ac:dyDescent="0.2">
      <c r="A13" s="179" t="s">
        <v>451</v>
      </c>
      <c r="B13" s="180"/>
      <c r="C13" s="180"/>
      <c r="D13" s="180"/>
      <c r="E13" s="181"/>
      <c r="F13" s="181"/>
      <c r="G13" s="267">
        <v>5933085.8499999987</v>
      </c>
      <c r="H13" s="183"/>
    </row>
    <row r="14" spans="1:9" x14ac:dyDescent="0.2">
      <c r="A14" s="185" t="s">
        <v>404</v>
      </c>
      <c r="B14" s="186"/>
      <c r="C14" s="186"/>
      <c r="D14" s="186"/>
      <c r="E14" s="187"/>
      <c r="F14" s="187"/>
      <c r="G14" s="188"/>
      <c r="H14" s="189"/>
      <c r="I14" s="183"/>
    </row>
    <row r="15" spans="1:9" x14ac:dyDescent="0.2">
      <c r="A15" s="190"/>
      <c r="B15" s="187"/>
      <c r="C15" s="187"/>
      <c r="D15" s="187"/>
      <c r="E15" s="1012"/>
      <c r="F15" s="1012"/>
      <c r="G15" s="191">
        <v>0</v>
      </c>
      <c r="H15" s="183"/>
    </row>
    <row r="16" spans="1:9" x14ac:dyDescent="0.2">
      <c r="A16" s="190" t="s">
        <v>446</v>
      </c>
      <c r="B16" s="187"/>
      <c r="C16" s="187"/>
      <c r="D16" s="187"/>
      <c r="E16" s="264"/>
      <c r="F16" s="264"/>
      <c r="G16" s="193"/>
      <c r="H16" s="183"/>
    </row>
    <row r="17" spans="1:11" x14ac:dyDescent="0.2">
      <c r="A17" s="190" t="s">
        <v>407</v>
      </c>
      <c r="B17" s="187"/>
      <c r="C17" s="187"/>
      <c r="D17" s="187"/>
      <c r="E17" s="264"/>
      <c r="F17" s="264"/>
      <c r="G17" s="194">
        <f>+'[6]TRANSFERENCIA RECIBIDAS'!B10</f>
        <v>2725910.92</v>
      </c>
    </row>
    <row r="18" spans="1:11" x14ac:dyDescent="0.2">
      <c r="A18" s="190" t="s">
        <v>452</v>
      </c>
      <c r="B18" s="187"/>
      <c r="C18" s="187"/>
      <c r="D18" s="187"/>
      <c r="E18" s="264"/>
      <c r="F18" s="264"/>
      <c r="G18" s="195">
        <v>2218.2399999999998</v>
      </c>
    </row>
    <row r="19" spans="1:11" x14ac:dyDescent="0.2">
      <c r="A19" s="179"/>
      <c r="B19" s="180"/>
      <c r="C19" s="180"/>
      <c r="D19" s="180"/>
      <c r="E19" s="187"/>
      <c r="F19" s="187"/>
      <c r="G19" s="196">
        <f>+G13+G15+G18+G17+G16</f>
        <v>8661215.0099999979</v>
      </c>
    </row>
    <row r="20" spans="1:11" x14ac:dyDescent="0.2">
      <c r="A20" s="185" t="s">
        <v>409</v>
      </c>
      <c r="B20" s="186"/>
      <c r="C20" s="187"/>
      <c r="D20" s="187"/>
      <c r="E20" s="187"/>
      <c r="F20" s="187"/>
      <c r="G20" s="188"/>
      <c r="I20" s="256"/>
      <c r="K20" s="167"/>
    </row>
    <row r="21" spans="1:11" x14ac:dyDescent="0.2">
      <c r="A21" s="190" t="s">
        <v>410</v>
      </c>
      <c r="B21" s="187"/>
      <c r="C21" s="186"/>
      <c r="D21" s="186"/>
      <c r="E21" s="187"/>
      <c r="F21" s="187"/>
      <c r="G21" s="198">
        <f>+'[6]CHEQUES EMITIDO '!D21</f>
        <v>306137.17</v>
      </c>
      <c r="I21" s="257"/>
      <c r="K21" s="167"/>
    </row>
    <row r="22" spans="1:11" x14ac:dyDescent="0.2">
      <c r="A22" s="200" t="s">
        <v>411</v>
      </c>
      <c r="B22" s="201"/>
      <c r="C22" s="202"/>
      <c r="D22" s="203"/>
      <c r="E22" s="201"/>
      <c r="F22" s="201"/>
      <c r="G22" s="204">
        <f>+'[6]NOMINA '!D9</f>
        <v>0</v>
      </c>
      <c r="I22" s="257"/>
    </row>
    <row r="23" spans="1:11" x14ac:dyDescent="0.2">
      <c r="A23" s="205" t="s">
        <v>412</v>
      </c>
      <c r="B23" s="206"/>
      <c r="C23" s="206"/>
      <c r="D23" s="201"/>
      <c r="E23" s="207"/>
      <c r="F23" s="208"/>
      <c r="G23" s="209">
        <f>+[6]comisiones!E40</f>
        <v>8256.5100000000039</v>
      </c>
      <c r="I23" s="257"/>
    </row>
    <row r="24" spans="1:11" x14ac:dyDescent="0.2">
      <c r="A24" s="205" t="s">
        <v>413</v>
      </c>
      <c r="B24" s="206"/>
      <c r="C24" s="206"/>
      <c r="D24" s="201"/>
      <c r="E24" s="207"/>
      <c r="F24" s="207"/>
      <c r="G24" s="210">
        <f>+[6]TRANSFERENCIAS!D45</f>
        <v>5509767.3100000005</v>
      </c>
      <c r="I24" s="257"/>
      <c r="J24" s="211"/>
      <c r="K24" s="167"/>
    </row>
    <row r="25" spans="1:11" x14ac:dyDescent="0.2">
      <c r="A25" s="190" t="s">
        <v>414</v>
      </c>
      <c r="B25" s="206"/>
      <c r="C25" s="206"/>
      <c r="D25" s="201"/>
      <c r="E25" s="207"/>
      <c r="F25" s="207"/>
      <c r="G25" s="268">
        <v>180</v>
      </c>
      <c r="I25" s="257"/>
      <c r="J25" s="211"/>
    </row>
    <row r="26" spans="1:11" x14ac:dyDescent="0.2">
      <c r="A26" s="212" t="s">
        <v>415</v>
      </c>
      <c r="B26" s="213"/>
      <c r="C26" s="213"/>
      <c r="D26" s="213"/>
      <c r="E26" s="213"/>
      <c r="F26" s="213"/>
      <c r="G26" s="214">
        <f>SUM(G21:G25)</f>
        <v>5824340.9900000002</v>
      </c>
      <c r="I26" s="257"/>
      <c r="J26" s="211"/>
    </row>
    <row r="27" spans="1:11" x14ac:dyDescent="0.2">
      <c r="A27" s="212"/>
      <c r="B27" s="213"/>
      <c r="C27" s="213"/>
      <c r="D27" s="213"/>
      <c r="E27" s="213"/>
      <c r="F27" s="213"/>
      <c r="G27" s="265"/>
      <c r="I27" s="257"/>
      <c r="J27" s="211"/>
    </row>
    <row r="28" spans="1:11" ht="13.5" thickBot="1" x14ac:dyDescent="0.25">
      <c r="A28" s="998" t="s">
        <v>416</v>
      </c>
      <c r="B28" s="999"/>
      <c r="C28" s="215"/>
      <c r="D28" s="215"/>
      <c r="E28" s="1000"/>
      <c r="F28" s="1000"/>
      <c r="G28" s="216">
        <f>+G19-G26</f>
        <v>2836874.0199999977</v>
      </c>
    </row>
    <row r="29" spans="1:11" ht="15.75" thickTop="1" x14ac:dyDescent="0.25">
      <c r="A29" s="217"/>
      <c r="B29" s="218"/>
      <c r="C29" s="215"/>
      <c r="D29" s="215"/>
      <c r="E29" s="262"/>
      <c r="F29" s="262"/>
      <c r="G29" s="220"/>
      <c r="H29" s="221"/>
      <c r="I29" s="224"/>
    </row>
    <row r="30" spans="1:11" ht="15" x14ac:dyDescent="0.25">
      <c r="A30" s="217"/>
      <c r="B30" s="218"/>
      <c r="C30" s="215"/>
      <c r="D30" s="215"/>
      <c r="E30" s="223"/>
      <c r="F30" s="262"/>
      <c r="G30" s="220"/>
      <c r="I30" s="224"/>
    </row>
    <row r="31" spans="1:11" x14ac:dyDescent="0.2">
      <c r="A31" s="190"/>
      <c r="B31" s="187"/>
      <c r="C31" s="187"/>
      <c r="D31" s="187"/>
      <c r="E31" s="187"/>
      <c r="F31" s="187"/>
      <c r="G31" s="178" t="s">
        <v>417</v>
      </c>
    </row>
    <row r="32" spans="1:11" ht="15" x14ac:dyDescent="0.25">
      <c r="A32" s="179" t="s">
        <v>418</v>
      </c>
      <c r="B32" s="180"/>
      <c r="C32" s="180"/>
      <c r="D32" s="180"/>
      <c r="E32" s="1001"/>
      <c r="F32" s="1001"/>
      <c r="G32" s="225">
        <v>4499680.47</v>
      </c>
      <c r="H32" s="226"/>
    </row>
    <row r="33" spans="1:12" x14ac:dyDescent="0.2">
      <c r="A33" s="185" t="s">
        <v>404</v>
      </c>
      <c r="B33" s="186"/>
      <c r="C33" s="186"/>
      <c r="D33" s="186"/>
      <c r="E33" s="187"/>
      <c r="F33" s="187"/>
      <c r="G33" s="227"/>
    </row>
    <row r="34" spans="1:12" x14ac:dyDescent="0.2">
      <c r="A34" s="190" t="s">
        <v>419</v>
      </c>
      <c r="B34" s="187"/>
      <c r="C34" s="187"/>
      <c r="D34" s="187"/>
      <c r="E34" s="1001"/>
      <c r="F34" s="1001"/>
      <c r="G34" s="188">
        <v>0</v>
      </c>
    </row>
    <row r="35" spans="1:12" x14ac:dyDescent="0.2">
      <c r="A35" s="190"/>
      <c r="B35" s="187"/>
      <c r="C35" s="187"/>
      <c r="D35" s="187"/>
      <c r="E35" s="263"/>
      <c r="F35" s="263"/>
      <c r="G35" s="188"/>
    </row>
    <row r="36" spans="1:12" x14ac:dyDescent="0.2">
      <c r="A36" s="179" t="s">
        <v>420</v>
      </c>
      <c r="B36" s="180"/>
      <c r="C36" s="180"/>
      <c r="D36" s="180"/>
      <c r="E36" s="1042"/>
      <c r="F36" s="1042"/>
      <c r="G36" s="229">
        <f>SUM(G32:G35)</f>
        <v>4499680.47</v>
      </c>
    </row>
    <row r="37" spans="1:12" x14ac:dyDescent="0.2">
      <c r="A37" s="190"/>
      <c r="B37" s="187"/>
      <c r="C37" s="187"/>
      <c r="D37" s="187"/>
      <c r="E37" s="187"/>
      <c r="F37" s="187"/>
      <c r="G37" s="227"/>
    </row>
    <row r="38" spans="1:12" x14ac:dyDescent="0.2">
      <c r="A38" s="185" t="s">
        <v>409</v>
      </c>
      <c r="B38" s="186"/>
      <c r="C38" s="186"/>
      <c r="D38" s="186"/>
      <c r="E38" s="187"/>
      <c r="F38" s="187"/>
      <c r="G38" s="188"/>
    </row>
    <row r="39" spans="1:12" x14ac:dyDescent="0.2">
      <c r="A39" s="205" t="s">
        <v>421</v>
      </c>
      <c r="B39" s="187"/>
      <c r="C39" s="187"/>
      <c r="D39" s="187"/>
      <c r="E39" s="261"/>
      <c r="F39" s="261"/>
      <c r="G39" s="231">
        <f>-'[6]TRANSF EN TRANSITO'!D22</f>
        <v>-1563969.84</v>
      </c>
      <c r="I39" s="258"/>
      <c r="J39" s="233"/>
      <c r="K39" s="234"/>
      <c r="L39" s="235"/>
    </row>
    <row r="40" spans="1:12" x14ac:dyDescent="0.2">
      <c r="A40" s="205" t="s">
        <v>422</v>
      </c>
      <c r="B40" s="187"/>
      <c r="C40" s="187"/>
      <c r="D40" s="187"/>
      <c r="E40" s="261"/>
      <c r="F40" s="261"/>
      <c r="G40" s="231">
        <f>-'[6]CHEQUES EN TRAN'!D10</f>
        <v>-98836.61</v>
      </c>
      <c r="I40" s="258"/>
      <c r="J40" s="233"/>
      <c r="K40" s="234"/>
      <c r="L40" s="235"/>
    </row>
    <row r="41" spans="1:12" x14ac:dyDescent="0.2">
      <c r="A41" s="190"/>
      <c r="B41" s="187"/>
      <c r="C41" s="187"/>
      <c r="D41" s="187"/>
      <c r="E41" s="261"/>
      <c r="F41" s="261"/>
      <c r="G41" s="182">
        <f>SUM(G39:G40)</f>
        <v>-1662806.4500000002</v>
      </c>
      <c r="I41" s="258"/>
      <c r="J41" s="233"/>
      <c r="K41" s="234"/>
      <c r="L41" s="235"/>
    </row>
    <row r="42" spans="1:12" x14ac:dyDescent="0.2">
      <c r="A42" s="190"/>
      <c r="B42" s="187"/>
      <c r="C42" s="187"/>
      <c r="D42" s="187"/>
      <c r="E42" s="261"/>
      <c r="F42" s="261"/>
      <c r="G42" s="188"/>
      <c r="I42" s="258"/>
      <c r="J42" s="233"/>
      <c r="L42" s="235"/>
    </row>
    <row r="43" spans="1:12" ht="13.5" thickBot="1" x14ac:dyDescent="0.25">
      <c r="A43" s="998" t="s">
        <v>416</v>
      </c>
      <c r="B43" s="999"/>
      <c r="C43" s="215"/>
      <c r="D43" s="215"/>
      <c r="E43" s="236"/>
      <c r="F43" s="236"/>
      <c r="G43" s="216">
        <f>G36+G41</f>
        <v>2836874.0199999996</v>
      </c>
      <c r="H43" s="167">
        <f>+G43-G28</f>
        <v>0</v>
      </c>
    </row>
    <row r="44" spans="1:12" ht="14.25" thickTop="1" thickBot="1" x14ac:dyDescent="0.25">
      <c r="A44" s="237"/>
      <c r="B44" s="238"/>
      <c r="C44" s="238"/>
      <c r="D44" s="238"/>
      <c r="E44" s="239"/>
      <c r="F44" s="239"/>
      <c r="G44" s="240"/>
      <c r="H44" s="183"/>
    </row>
    <row r="45" spans="1:12" x14ac:dyDescent="0.2">
      <c r="A45" s="180"/>
      <c r="B45" s="180"/>
      <c r="C45" s="180"/>
      <c r="D45" s="180"/>
      <c r="E45" s="187"/>
      <c r="F45" s="187"/>
      <c r="G45" s="241"/>
      <c r="H45" s="242"/>
    </row>
    <row r="46" spans="1:12" x14ac:dyDescent="0.2">
      <c r="A46" s="180"/>
      <c r="B46" s="180"/>
      <c r="C46" s="180"/>
      <c r="D46" s="180"/>
      <c r="E46" s="187"/>
      <c r="F46" s="187"/>
      <c r="G46" s="241"/>
      <c r="I46" s="256"/>
    </row>
    <row r="47" spans="1:12" x14ac:dyDescent="0.2">
      <c r="A47" s="180"/>
      <c r="B47" s="180"/>
      <c r="C47" s="180"/>
      <c r="D47" s="180"/>
      <c r="E47" s="187"/>
      <c r="F47" s="187"/>
      <c r="G47" s="241"/>
    </row>
    <row r="48" spans="1:12" x14ac:dyDescent="0.2">
      <c r="A48" s="180" t="s">
        <v>430</v>
      </c>
      <c r="B48" s="180"/>
      <c r="C48" s="180"/>
      <c r="D48" s="1043" t="s">
        <v>213</v>
      </c>
      <c r="E48" s="1043"/>
      <c r="F48" s="1043"/>
      <c r="G48" s="1043"/>
    </row>
    <row r="49" spans="1:7" x14ac:dyDescent="0.2">
      <c r="A49" s="180"/>
      <c r="B49" s="180"/>
      <c r="C49" s="180"/>
      <c r="D49" s="1041" t="s">
        <v>214</v>
      </c>
      <c r="E49" s="1041"/>
      <c r="F49" s="1041"/>
      <c r="G49" s="1041"/>
    </row>
    <row r="51" spans="1:7" x14ac:dyDescent="0.2">
      <c r="A51" s="244"/>
      <c r="B51" s="244"/>
    </row>
    <row r="52" spans="1:7" x14ac:dyDescent="0.2">
      <c r="A52" s="244"/>
      <c r="B52" s="244"/>
    </row>
    <row r="53" spans="1:7" x14ac:dyDescent="0.2">
      <c r="A53" s="244"/>
      <c r="B53" s="244"/>
    </row>
    <row r="54" spans="1:7" x14ac:dyDescent="0.2">
      <c r="A54" s="244"/>
      <c r="B54" s="244"/>
    </row>
    <row r="55" spans="1:7" x14ac:dyDescent="0.2">
      <c r="A55" s="244" t="s">
        <v>432</v>
      </c>
      <c r="B55" s="244"/>
      <c r="D55" s="1043" t="s">
        <v>433</v>
      </c>
      <c r="E55" s="1043"/>
      <c r="F55" s="1043"/>
      <c r="G55" s="1043"/>
    </row>
    <row r="56" spans="1:7" x14ac:dyDescent="0.2">
      <c r="A56" s="244"/>
      <c r="B56" s="244"/>
      <c r="D56" s="1041" t="s">
        <v>434</v>
      </c>
      <c r="E56" s="1041"/>
      <c r="F56" s="1041"/>
      <c r="G56" s="1041"/>
    </row>
    <row r="315" spans="11:11" x14ac:dyDescent="0.2">
      <c r="K315" s="184"/>
    </row>
    <row r="316" spans="11:11" x14ac:dyDescent="0.2">
      <c r="K316" s="184"/>
    </row>
    <row r="317" spans="11:11" x14ac:dyDescent="0.2">
      <c r="K317" s="184"/>
    </row>
    <row r="318" spans="11:11" x14ac:dyDescent="0.2">
      <c r="K318" s="184"/>
    </row>
  </sheetData>
  <mergeCells count="15">
    <mergeCell ref="D56:G56"/>
    <mergeCell ref="D48:G48"/>
    <mergeCell ref="A6:G6"/>
    <mergeCell ref="A7:G7"/>
    <mergeCell ref="A8:G8"/>
    <mergeCell ref="A12:F12"/>
    <mergeCell ref="E15:F15"/>
    <mergeCell ref="A28:B28"/>
    <mergeCell ref="E28:F28"/>
    <mergeCell ref="E32:F32"/>
    <mergeCell ref="E34:F34"/>
    <mergeCell ref="E36:F36"/>
    <mergeCell ref="A43:B43"/>
    <mergeCell ref="D55:G55"/>
    <mergeCell ref="D49:G49"/>
  </mergeCells>
  <pageMargins left="0.7" right="0.7" top="0.75" bottom="0.75" header="0.3" footer="0.3"/>
  <pageSetup orientation="portrait" verticalDpi="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L317"/>
  <sheetViews>
    <sheetView topLeftCell="A7" workbookViewId="0">
      <selection activeCell="E22" sqref="E22"/>
    </sheetView>
  </sheetViews>
  <sheetFormatPr baseColWidth="10" defaultColWidth="9.140625" defaultRowHeight="12.75" x14ac:dyDescent="0.2"/>
  <cols>
    <col min="1" max="3" width="9.140625" style="168" customWidth="1"/>
    <col min="4" max="4" width="14.42578125" style="168" bestFit="1" customWidth="1"/>
    <col min="5" max="6" width="9.140625" style="168" customWidth="1"/>
    <col min="7" max="7" width="20.85546875" style="168" bestFit="1" customWidth="1"/>
    <col min="8" max="8" width="15" style="167" bestFit="1" customWidth="1"/>
    <col min="9" max="9" width="17.28515625" style="168" bestFit="1" customWidth="1"/>
    <col min="10" max="10" width="12.85546875" style="167" bestFit="1" customWidth="1"/>
    <col min="11" max="11" width="12.85546875" style="168" bestFit="1" customWidth="1"/>
    <col min="12" max="256" width="9.140625" style="168"/>
    <col min="257" max="259" width="9.140625" style="168" customWidth="1"/>
    <col min="260" max="260" width="14.42578125" style="168" bestFit="1" customWidth="1"/>
    <col min="261" max="262" width="9.140625" style="168" customWidth="1"/>
    <col min="263" max="263" width="20.85546875" style="168" bestFit="1" customWidth="1"/>
    <col min="264" max="264" width="15" style="168" bestFit="1" customWidth="1"/>
    <col min="265" max="265" width="17.28515625" style="168" bestFit="1" customWidth="1"/>
    <col min="266" max="267" width="12.85546875" style="168" bestFit="1" customWidth="1"/>
    <col min="268" max="512" width="9.140625" style="168"/>
    <col min="513" max="515" width="9.140625" style="168" customWidth="1"/>
    <col min="516" max="516" width="14.42578125" style="168" bestFit="1" customWidth="1"/>
    <col min="517" max="518" width="9.140625" style="168" customWidth="1"/>
    <col min="519" max="519" width="20.85546875" style="168" bestFit="1" customWidth="1"/>
    <col min="520" max="520" width="15" style="168" bestFit="1" customWidth="1"/>
    <col min="521" max="521" width="17.28515625" style="168" bestFit="1" customWidth="1"/>
    <col min="522" max="523" width="12.85546875" style="168" bestFit="1" customWidth="1"/>
    <col min="524" max="768" width="9.140625" style="168"/>
    <col min="769" max="771" width="9.140625" style="168" customWidth="1"/>
    <col min="772" max="772" width="14.42578125" style="168" bestFit="1" customWidth="1"/>
    <col min="773" max="774" width="9.140625" style="168" customWidth="1"/>
    <col min="775" max="775" width="20.85546875" style="168" bestFit="1" customWidth="1"/>
    <col min="776" max="776" width="15" style="168" bestFit="1" customWidth="1"/>
    <col min="777" max="777" width="17.28515625" style="168" bestFit="1" customWidth="1"/>
    <col min="778" max="779" width="12.85546875" style="168" bestFit="1" customWidth="1"/>
    <col min="780" max="1024" width="9.140625" style="168"/>
    <col min="1025" max="1027" width="9.140625" style="168" customWidth="1"/>
    <col min="1028" max="1028" width="14.42578125" style="168" bestFit="1" customWidth="1"/>
    <col min="1029" max="1030" width="9.140625" style="168" customWidth="1"/>
    <col min="1031" max="1031" width="20.85546875" style="168" bestFit="1" customWidth="1"/>
    <col min="1032" max="1032" width="15" style="168" bestFit="1" customWidth="1"/>
    <col min="1033" max="1033" width="17.28515625" style="168" bestFit="1" customWidth="1"/>
    <col min="1034" max="1035" width="12.85546875" style="168" bestFit="1" customWidth="1"/>
    <col min="1036" max="1280" width="9.140625" style="168"/>
    <col min="1281" max="1283" width="9.140625" style="168" customWidth="1"/>
    <col min="1284" max="1284" width="14.42578125" style="168" bestFit="1" customWidth="1"/>
    <col min="1285" max="1286" width="9.140625" style="168" customWidth="1"/>
    <col min="1287" max="1287" width="20.85546875" style="168" bestFit="1" customWidth="1"/>
    <col min="1288" max="1288" width="15" style="168" bestFit="1" customWidth="1"/>
    <col min="1289" max="1289" width="17.28515625" style="168" bestFit="1" customWidth="1"/>
    <col min="1290" max="1291" width="12.85546875" style="168" bestFit="1" customWidth="1"/>
    <col min="1292" max="1536" width="9.140625" style="168"/>
    <col min="1537" max="1539" width="9.140625" style="168" customWidth="1"/>
    <col min="1540" max="1540" width="14.42578125" style="168" bestFit="1" customWidth="1"/>
    <col min="1541" max="1542" width="9.140625" style="168" customWidth="1"/>
    <col min="1543" max="1543" width="20.85546875" style="168" bestFit="1" customWidth="1"/>
    <col min="1544" max="1544" width="15" style="168" bestFit="1" customWidth="1"/>
    <col min="1545" max="1545" width="17.28515625" style="168" bestFit="1" customWidth="1"/>
    <col min="1546" max="1547" width="12.85546875" style="168" bestFit="1" customWidth="1"/>
    <col min="1548" max="1792" width="9.140625" style="168"/>
    <col min="1793" max="1795" width="9.140625" style="168" customWidth="1"/>
    <col min="1796" max="1796" width="14.42578125" style="168" bestFit="1" customWidth="1"/>
    <col min="1797" max="1798" width="9.140625" style="168" customWidth="1"/>
    <col min="1799" max="1799" width="20.85546875" style="168" bestFit="1" customWidth="1"/>
    <col min="1800" max="1800" width="15" style="168" bestFit="1" customWidth="1"/>
    <col min="1801" max="1801" width="17.28515625" style="168" bestFit="1" customWidth="1"/>
    <col min="1802" max="1803" width="12.85546875" style="168" bestFit="1" customWidth="1"/>
    <col min="1804" max="2048" width="9.140625" style="168"/>
    <col min="2049" max="2051" width="9.140625" style="168" customWidth="1"/>
    <col min="2052" max="2052" width="14.42578125" style="168" bestFit="1" customWidth="1"/>
    <col min="2053" max="2054" width="9.140625" style="168" customWidth="1"/>
    <col min="2055" max="2055" width="20.85546875" style="168" bestFit="1" customWidth="1"/>
    <col min="2056" max="2056" width="15" style="168" bestFit="1" customWidth="1"/>
    <col min="2057" max="2057" width="17.28515625" style="168" bestFit="1" customWidth="1"/>
    <col min="2058" max="2059" width="12.85546875" style="168" bestFit="1" customWidth="1"/>
    <col min="2060" max="2304" width="9.140625" style="168"/>
    <col min="2305" max="2307" width="9.140625" style="168" customWidth="1"/>
    <col min="2308" max="2308" width="14.42578125" style="168" bestFit="1" customWidth="1"/>
    <col min="2309" max="2310" width="9.140625" style="168" customWidth="1"/>
    <col min="2311" max="2311" width="20.85546875" style="168" bestFit="1" customWidth="1"/>
    <col min="2312" max="2312" width="15" style="168" bestFit="1" customWidth="1"/>
    <col min="2313" max="2313" width="17.28515625" style="168" bestFit="1" customWidth="1"/>
    <col min="2314" max="2315" width="12.85546875" style="168" bestFit="1" customWidth="1"/>
    <col min="2316" max="2560" width="9.140625" style="168"/>
    <col min="2561" max="2563" width="9.140625" style="168" customWidth="1"/>
    <col min="2564" max="2564" width="14.42578125" style="168" bestFit="1" customWidth="1"/>
    <col min="2565" max="2566" width="9.140625" style="168" customWidth="1"/>
    <col min="2567" max="2567" width="20.85546875" style="168" bestFit="1" customWidth="1"/>
    <col min="2568" max="2568" width="15" style="168" bestFit="1" customWidth="1"/>
    <col min="2569" max="2569" width="17.28515625" style="168" bestFit="1" customWidth="1"/>
    <col min="2570" max="2571" width="12.85546875" style="168" bestFit="1" customWidth="1"/>
    <col min="2572" max="2816" width="9.140625" style="168"/>
    <col min="2817" max="2819" width="9.140625" style="168" customWidth="1"/>
    <col min="2820" max="2820" width="14.42578125" style="168" bestFit="1" customWidth="1"/>
    <col min="2821" max="2822" width="9.140625" style="168" customWidth="1"/>
    <col min="2823" max="2823" width="20.85546875" style="168" bestFit="1" customWidth="1"/>
    <col min="2824" max="2824" width="15" style="168" bestFit="1" customWidth="1"/>
    <col min="2825" max="2825" width="17.28515625" style="168" bestFit="1" customWidth="1"/>
    <col min="2826" max="2827" width="12.85546875" style="168" bestFit="1" customWidth="1"/>
    <col min="2828" max="3072" width="9.140625" style="168"/>
    <col min="3073" max="3075" width="9.140625" style="168" customWidth="1"/>
    <col min="3076" max="3076" width="14.42578125" style="168" bestFit="1" customWidth="1"/>
    <col min="3077" max="3078" width="9.140625" style="168" customWidth="1"/>
    <col min="3079" max="3079" width="20.85546875" style="168" bestFit="1" customWidth="1"/>
    <col min="3080" max="3080" width="15" style="168" bestFit="1" customWidth="1"/>
    <col min="3081" max="3081" width="17.28515625" style="168" bestFit="1" customWidth="1"/>
    <col min="3082" max="3083" width="12.85546875" style="168" bestFit="1" customWidth="1"/>
    <col min="3084" max="3328" width="9.140625" style="168"/>
    <col min="3329" max="3331" width="9.140625" style="168" customWidth="1"/>
    <col min="3332" max="3332" width="14.42578125" style="168" bestFit="1" customWidth="1"/>
    <col min="3333" max="3334" width="9.140625" style="168" customWidth="1"/>
    <col min="3335" max="3335" width="20.85546875" style="168" bestFit="1" customWidth="1"/>
    <col min="3336" max="3336" width="15" style="168" bestFit="1" customWidth="1"/>
    <col min="3337" max="3337" width="17.28515625" style="168" bestFit="1" customWidth="1"/>
    <col min="3338" max="3339" width="12.85546875" style="168" bestFit="1" customWidth="1"/>
    <col min="3340" max="3584" width="9.140625" style="168"/>
    <col min="3585" max="3587" width="9.140625" style="168" customWidth="1"/>
    <col min="3588" max="3588" width="14.42578125" style="168" bestFit="1" customWidth="1"/>
    <col min="3589" max="3590" width="9.140625" style="168" customWidth="1"/>
    <col min="3591" max="3591" width="20.85546875" style="168" bestFit="1" customWidth="1"/>
    <col min="3592" max="3592" width="15" style="168" bestFit="1" customWidth="1"/>
    <col min="3593" max="3593" width="17.28515625" style="168" bestFit="1" customWidth="1"/>
    <col min="3594" max="3595" width="12.85546875" style="168" bestFit="1" customWidth="1"/>
    <col min="3596" max="3840" width="9.140625" style="168"/>
    <col min="3841" max="3843" width="9.140625" style="168" customWidth="1"/>
    <col min="3844" max="3844" width="14.42578125" style="168" bestFit="1" customWidth="1"/>
    <col min="3845" max="3846" width="9.140625" style="168" customWidth="1"/>
    <col min="3847" max="3847" width="20.85546875" style="168" bestFit="1" customWidth="1"/>
    <col min="3848" max="3848" width="15" style="168" bestFit="1" customWidth="1"/>
    <col min="3849" max="3849" width="17.28515625" style="168" bestFit="1" customWidth="1"/>
    <col min="3850" max="3851" width="12.85546875" style="168" bestFit="1" customWidth="1"/>
    <col min="3852" max="4096" width="9.140625" style="168"/>
    <col min="4097" max="4099" width="9.140625" style="168" customWidth="1"/>
    <col min="4100" max="4100" width="14.42578125" style="168" bestFit="1" customWidth="1"/>
    <col min="4101" max="4102" width="9.140625" style="168" customWidth="1"/>
    <col min="4103" max="4103" width="20.85546875" style="168" bestFit="1" customWidth="1"/>
    <col min="4104" max="4104" width="15" style="168" bestFit="1" customWidth="1"/>
    <col min="4105" max="4105" width="17.28515625" style="168" bestFit="1" customWidth="1"/>
    <col min="4106" max="4107" width="12.85546875" style="168" bestFit="1" customWidth="1"/>
    <col min="4108" max="4352" width="9.140625" style="168"/>
    <col min="4353" max="4355" width="9.140625" style="168" customWidth="1"/>
    <col min="4356" max="4356" width="14.42578125" style="168" bestFit="1" customWidth="1"/>
    <col min="4357" max="4358" width="9.140625" style="168" customWidth="1"/>
    <col min="4359" max="4359" width="20.85546875" style="168" bestFit="1" customWidth="1"/>
    <col min="4360" max="4360" width="15" style="168" bestFit="1" customWidth="1"/>
    <col min="4361" max="4361" width="17.28515625" style="168" bestFit="1" customWidth="1"/>
    <col min="4362" max="4363" width="12.85546875" style="168" bestFit="1" customWidth="1"/>
    <col min="4364" max="4608" width="9.140625" style="168"/>
    <col min="4609" max="4611" width="9.140625" style="168" customWidth="1"/>
    <col min="4612" max="4612" width="14.42578125" style="168" bestFit="1" customWidth="1"/>
    <col min="4613" max="4614" width="9.140625" style="168" customWidth="1"/>
    <col min="4615" max="4615" width="20.85546875" style="168" bestFit="1" customWidth="1"/>
    <col min="4616" max="4616" width="15" style="168" bestFit="1" customWidth="1"/>
    <col min="4617" max="4617" width="17.28515625" style="168" bestFit="1" customWidth="1"/>
    <col min="4618" max="4619" width="12.85546875" style="168" bestFit="1" customWidth="1"/>
    <col min="4620" max="4864" width="9.140625" style="168"/>
    <col min="4865" max="4867" width="9.140625" style="168" customWidth="1"/>
    <col min="4868" max="4868" width="14.42578125" style="168" bestFit="1" customWidth="1"/>
    <col min="4869" max="4870" width="9.140625" style="168" customWidth="1"/>
    <col min="4871" max="4871" width="20.85546875" style="168" bestFit="1" customWidth="1"/>
    <col min="4872" max="4872" width="15" style="168" bestFit="1" customWidth="1"/>
    <col min="4873" max="4873" width="17.28515625" style="168" bestFit="1" customWidth="1"/>
    <col min="4874" max="4875" width="12.85546875" style="168" bestFit="1" customWidth="1"/>
    <col min="4876" max="5120" width="9.140625" style="168"/>
    <col min="5121" max="5123" width="9.140625" style="168" customWidth="1"/>
    <col min="5124" max="5124" width="14.42578125" style="168" bestFit="1" customWidth="1"/>
    <col min="5125" max="5126" width="9.140625" style="168" customWidth="1"/>
    <col min="5127" max="5127" width="20.85546875" style="168" bestFit="1" customWidth="1"/>
    <col min="5128" max="5128" width="15" style="168" bestFit="1" customWidth="1"/>
    <col min="5129" max="5129" width="17.28515625" style="168" bestFit="1" customWidth="1"/>
    <col min="5130" max="5131" width="12.85546875" style="168" bestFit="1" customWidth="1"/>
    <col min="5132" max="5376" width="9.140625" style="168"/>
    <col min="5377" max="5379" width="9.140625" style="168" customWidth="1"/>
    <col min="5380" max="5380" width="14.42578125" style="168" bestFit="1" customWidth="1"/>
    <col min="5381" max="5382" width="9.140625" style="168" customWidth="1"/>
    <col min="5383" max="5383" width="20.85546875" style="168" bestFit="1" customWidth="1"/>
    <col min="5384" max="5384" width="15" style="168" bestFit="1" customWidth="1"/>
    <col min="5385" max="5385" width="17.28515625" style="168" bestFit="1" customWidth="1"/>
    <col min="5386" max="5387" width="12.85546875" style="168" bestFit="1" customWidth="1"/>
    <col min="5388" max="5632" width="9.140625" style="168"/>
    <col min="5633" max="5635" width="9.140625" style="168" customWidth="1"/>
    <col min="5636" max="5636" width="14.42578125" style="168" bestFit="1" customWidth="1"/>
    <col min="5637" max="5638" width="9.140625" style="168" customWidth="1"/>
    <col min="5639" max="5639" width="20.85546875" style="168" bestFit="1" customWidth="1"/>
    <col min="5640" max="5640" width="15" style="168" bestFit="1" customWidth="1"/>
    <col min="5641" max="5641" width="17.28515625" style="168" bestFit="1" customWidth="1"/>
    <col min="5642" max="5643" width="12.85546875" style="168" bestFit="1" customWidth="1"/>
    <col min="5644" max="5888" width="9.140625" style="168"/>
    <col min="5889" max="5891" width="9.140625" style="168" customWidth="1"/>
    <col min="5892" max="5892" width="14.42578125" style="168" bestFit="1" customWidth="1"/>
    <col min="5893" max="5894" width="9.140625" style="168" customWidth="1"/>
    <col min="5895" max="5895" width="20.85546875" style="168" bestFit="1" customWidth="1"/>
    <col min="5896" max="5896" width="15" style="168" bestFit="1" customWidth="1"/>
    <col min="5897" max="5897" width="17.28515625" style="168" bestFit="1" customWidth="1"/>
    <col min="5898" max="5899" width="12.85546875" style="168" bestFit="1" customWidth="1"/>
    <col min="5900" max="6144" width="9.140625" style="168"/>
    <col min="6145" max="6147" width="9.140625" style="168" customWidth="1"/>
    <col min="6148" max="6148" width="14.42578125" style="168" bestFit="1" customWidth="1"/>
    <col min="6149" max="6150" width="9.140625" style="168" customWidth="1"/>
    <col min="6151" max="6151" width="20.85546875" style="168" bestFit="1" customWidth="1"/>
    <col min="6152" max="6152" width="15" style="168" bestFit="1" customWidth="1"/>
    <col min="6153" max="6153" width="17.28515625" style="168" bestFit="1" customWidth="1"/>
    <col min="6154" max="6155" width="12.85546875" style="168" bestFit="1" customWidth="1"/>
    <col min="6156" max="6400" width="9.140625" style="168"/>
    <col min="6401" max="6403" width="9.140625" style="168" customWidth="1"/>
    <col min="6404" max="6404" width="14.42578125" style="168" bestFit="1" customWidth="1"/>
    <col min="6405" max="6406" width="9.140625" style="168" customWidth="1"/>
    <col min="6407" max="6407" width="20.85546875" style="168" bestFit="1" customWidth="1"/>
    <col min="6408" max="6408" width="15" style="168" bestFit="1" customWidth="1"/>
    <col min="6409" max="6409" width="17.28515625" style="168" bestFit="1" customWidth="1"/>
    <col min="6410" max="6411" width="12.85546875" style="168" bestFit="1" customWidth="1"/>
    <col min="6412" max="6656" width="9.140625" style="168"/>
    <col min="6657" max="6659" width="9.140625" style="168" customWidth="1"/>
    <col min="6660" max="6660" width="14.42578125" style="168" bestFit="1" customWidth="1"/>
    <col min="6661" max="6662" width="9.140625" style="168" customWidth="1"/>
    <col min="6663" max="6663" width="20.85546875" style="168" bestFit="1" customWidth="1"/>
    <col min="6664" max="6664" width="15" style="168" bestFit="1" customWidth="1"/>
    <col min="6665" max="6665" width="17.28515625" style="168" bestFit="1" customWidth="1"/>
    <col min="6666" max="6667" width="12.85546875" style="168" bestFit="1" customWidth="1"/>
    <col min="6668" max="6912" width="9.140625" style="168"/>
    <col min="6913" max="6915" width="9.140625" style="168" customWidth="1"/>
    <col min="6916" max="6916" width="14.42578125" style="168" bestFit="1" customWidth="1"/>
    <col min="6917" max="6918" width="9.140625" style="168" customWidth="1"/>
    <col min="6919" max="6919" width="20.85546875" style="168" bestFit="1" customWidth="1"/>
    <col min="6920" max="6920" width="15" style="168" bestFit="1" customWidth="1"/>
    <col min="6921" max="6921" width="17.28515625" style="168" bestFit="1" customWidth="1"/>
    <col min="6922" max="6923" width="12.85546875" style="168" bestFit="1" customWidth="1"/>
    <col min="6924" max="7168" width="9.140625" style="168"/>
    <col min="7169" max="7171" width="9.140625" style="168" customWidth="1"/>
    <col min="7172" max="7172" width="14.42578125" style="168" bestFit="1" customWidth="1"/>
    <col min="7173" max="7174" width="9.140625" style="168" customWidth="1"/>
    <col min="7175" max="7175" width="20.85546875" style="168" bestFit="1" customWidth="1"/>
    <col min="7176" max="7176" width="15" style="168" bestFit="1" customWidth="1"/>
    <col min="7177" max="7177" width="17.28515625" style="168" bestFit="1" customWidth="1"/>
    <col min="7178" max="7179" width="12.85546875" style="168" bestFit="1" customWidth="1"/>
    <col min="7180" max="7424" width="9.140625" style="168"/>
    <col min="7425" max="7427" width="9.140625" style="168" customWidth="1"/>
    <col min="7428" max="7428" width="14.42578125" style="168" bestFit="1" customWidth="1"/>
    <col min="7429" max="7430" width="9.140625" style="168" customWidth="1"/>
    <col min="7431" max="7431" width="20.85546875" style="168" bestFit="1" customWidth="1"/>
    <col min="7432" max="7432" width="15" style="168" bestFit="1" customWidth="1"/>
    <col min="7433" max="7433" width="17.28515625" style="168" bestFit="1" customWidth="1"/>
    <col min="7434" max="7435" width="12.85546875" style="168" bestFit="1" customWidth="1"/>
    <col min="7436" max="7680" width="9.140625" style="168"/>
    <col min="7681" max="7683" width="9.140625" style="168" customWidth="1"/>
    <col min="7684" max="7684" width="14.42578125" style="168" bestFit="1" customWidth="1"/>
    <col min="7685" max="7686" width="9.140625" style="168" customWidth="1"/>
    <col min="7687" max="7687" width="20.85546875" style="168" bestFit="1" customWidth="1"/>
    <col min="7688" max="7688" width="15" style="168" bestFit="1" customWidth="1"/>
    <col min="7689" max="7689" width="17.28515625" style="168" bestFit="1" customWidth="1"/>
    <col min="7690" max="7691" width="12.85546875" style="168" bestFit="1" customWidth="1"/>
    <col min="7692" max="7936" width="9.140625" style="168"/>
    <col min="7937" max="7939" width="9.140625" style="168" customWidth="1"/>
    <col min="7940" max="7940" width="14.42578125" style="168" bestFit="1" customWidth="1"/>
    <col min="7941" max="7942" width="9.140625" style="168" customWidth="1"/>
    <col min="7943" max="7943" width="20.85546875" style="168" bestFit="1" customWidth="1"/>
    <col min="7944" max="7944" width="15" style="168" bestFit="1" customWidth="1"/>
    <col min="7945" max="7945" width="17.28515625" style="168" bestFit="1" customWidth="1"/>
    <col min="7946" max="7947" width="12.85546875" style="168" bestFit="1" customWidth="1"/>
    <col min="7948" max="8192" width="9.140625" style="168"/>
    <col min="8193" max="8195" width="9.140625" style="168" customWidth="1"/>
    <col min="8196" max="8196" width="14.42578125" style="168" bestFit="1" customWidth="1"/>
    <col min="8197" max="8198" width="9.140625" style="168" customWidth="1"/>
    <col min="8199" max="8199" width="20.85546875" style="168" bestFit="1" customWidth="1"/>
    <col min="8200" max="8200" width="15" style="168" bestFit="1" customWidth="1"/>
    <col min="8201" max="8201" width="17.28515625" style="168" bestFit="1" customWidth="1"/>
    <col min="8202" max="8203" width="12.85546875" style="168" bestFit="1" customWidth="1"/>
    <col min="8204" max="8448" width="9.140625" style="168"/>
    <col min="8449" max="8451" width="9.140625" style="168" customWidth="1"/>
    <col min="8452" max="8452" width="14.42578125" style="168" bestFit="1" customWidth="1"/>
    <col min="8453" max="8454" width="9.140625" style="168" customWidth="1"/>
    <col min="8455" max="8455" width="20.85546875" style="168" bestFit="1" customWidth="1"/>
    <col min="8456" max="8456" width="15" style="168" bestFit="1" customWidth="1"/>
    <col min="8457" max="8457" width="17.28515625" style="168" bestFit="1" customWidth="1"/>
    <col min="8458" max="8459" width="12.85546875" style="168" bestFit="1" customWidth="1"/>
    <col min="8460" max="8704" width="9.140625" style="168"/>
    <col min="8705" max="8707" width="9.140625" style="168" customWidth="1"/>
    <col min="8708" max="8708" width="14.42578125" style="168" bestFit="1" customWidth="1"/>
    <col min="8709" max="8710" width="9.140625" style="168" customWidth="1"/>
    <col min="8711" max="8711" width="20.85546875" style="168" bestFit="1" customWidth="1"/>
    <col min="8712" max="8712" width="15" style="168" bestFit="1" customWidth="1"/>
    <col min="8713" max="8713" width="17.28515625" style="168" bestFit="1" customWidth="1"/>
    <col min="8714" max="8715" width="12.85546875" style="168" bestFit="1" customWidth="1"/>
    <col min="8716" max="8960" width="9.140625" style="168"/>
    <col min="8961" max="8963" width="9.140625" style="168" customWidth="1"/>
    <col min="8964" max="8964" width="14.42578125" style="168" bestFit="1" customWidth="1"/>
    <col min="8965" max="8966" width="9.140625" style="168" customWidth="1"/>
    <col min="8967" max="8967" width="20.85546875" style="168" bestFit="1" customWidth="1"/>
    <col min="8968" max="8968" width="15" style="168" bestFit="1" customWidth="1"/>
    <col min="8969" max="8969" width="17.28515625" style="168" bestFit="1" customWidth="1"/>
    <col min="8970" max="8971" width="12.85546875" style="168" bestFit="1" customWidth="1"/>
    <col min="8972" max="9216" width="9.140625" style="168"/>
    <col min="9217" max="9219" width="9.140625" style="168" customWidth="1"/>
    <col min="9220" max="9220" width="14.42578125" style="168" bestFit="1" customWidth="1"/>
    <col min="9221" max="9222" width="9.140625" style="168" customWidth="1"/>
    <col min="9223" max="9223" width="20.85546875" style="168" bestFit="1" customWidth="1"/>
    <col min="9224" max="9224" width="15" style="168" bestFit="1" customWidth="1"/>
    <col min="9225" max="9225" width="17.28515625" style="168" bestFit="1" customWidth="1"/>
    <col min="9226" max="9227" width="12.85546875" style="168" bestFit="1" customWidth="1"/>
    <col min="9228" max="9472" width="9.140625" style="168"/>
    <col min="9473" max="9475" width="9.140625" style="168" customWidth="1"/>
    <col min="9476" max="9476" width="14.42578125" style="168" bestFit="1" customWidth="1"/>
    <col min="9477" max="9478" width="9.140625" style="168" customWidth="1"/>
    <col min="9479" max="9479" width="20.85546875" style="168" bestFit="1" customWidth="1"/>
    <col min="9480" max="9480" width="15" style="168" bestFit="1" customWidth="1"/>
    <col min="9481" max="9481" width="17.28515625" style="168" bestFit="1" customWidth="1"/>
    <col min="9482" max="9483" width="12.85546875" style="168" bestFit="1" customWidth="1"/>
    <col min="9484" max="9728" width="9.140625" style="168"/>
    <col min="9729" max="9731" width="9.140625" style="168" customWidth="1"/>
    <col min="9732" max="9732" width="14.42578125" style="168" bestFit="1" customWidth="1"/>
    <col min="9733" max="9734" width="9.140625" style="168" customWidth="1"/>
    <col min="9735" max="9735" width="20.85546875" style="168" bestFit="1" customWidth="1"/>
    <col min="9736" max="9736" width="15" style="168" bestFit="1" customWidth="1"/>
    <col min="9737" max="9737" width="17.28515625" style="168" bestFit="1" customWidth="1"/>
    <col min="9738" max="9739" width="12.85546875" style="168" bestFit="1" customWidth="1"/>
    <col min="9740" max="9984" width="9.140625" style="168"/>
    <col min="9985" max="9987" width="9.140625" style="168" customWidth="1"/>
    <col min="9988" max="9988" width="14.42578125" style="168" bestFit="1" customWidth="1"/>
    <col min="9989" max="9990" width="9.140625" style="168" customWidth="1"/>
    <col min="9991" max="9991" width="20.85546875" style="168" bestFit="1" customWidth="1"/>
    <col min="9992" max="9992" width="15" style="168" bestFit="1" customWidth="1"/>
    <col min="9993" max="9993" width="17.28515625" style="168" bestFit="1" customWidth="1"/>
    <col min="9994" max="9995" width="12.85546875" style="168" bestFit="1" customWidth="1"/>
    <col min="9996" max="10240" width="9.140625" style="168"/>
    <col min="10241" max="10243" width="9.140625" style="168" customWidth="1"/>
    <col min="10244" max="10244" width="14.42578125" style="168" bestFit="1" customWidth="1"/>
    <col min="10245" max="10246" width="9.140625" style="168" customWidth="1"/>
    <col min="10247" max="10247" width="20.85546875" style="168" bestFit="1" customWidth="1"/>
    <col min="10248" max="10248" width="15" style="168" bestFit="1" customWidth="1"/>
    <col min="10249" max="10249" width="17.28515625" style="168" bestFit="1" customWidth="1"/>
    <col min="10250" max="10251" width="12.85546875" style="168" bestFit="1" customWidth="1"/>
    <col min="10252" max="10496" width="9.140625" style="168"/>
    <col min="10497" max="10499" width="9.140625" style="168" customWidth="1"/>
    <col min="10500" max="10500" width="14.42578125" style="168" bestFit="1" customWidth="1"/>
    <col min="10501" max="10502" width="9.140625" style="168" customWidth="1"/>
    <col min="10503" max="10503" width="20.85546875" style="168" bestFit="1" customWidth="1"/>
    <col min="10504" max="10504" width="15" style="168" bestFit="1" customWidth="1"/>
    <col min="10505" max="10505" width="17.28515625" style="168" bestFit="1" customWidth="1"/>
    <col min="10506" max="10507" width="12.85546875" style="168" bestFit="1" customWidth="1"/>
    <col min="10508" max="10752" width="9.140625" style="168"/>
    <col min="10753" max="10755" width="9.140625" style="168" customWidth="1"/>
    <col min="10756" max="10756" width="14.42578125" style="168" bestFit="1" customWidth="1"/>
    <col min="10757" max="10758" width="9.140625" style="168" customWidth="1"/>
    <col min="10759" max="10759" width="20.85546875" style="168" bestFit="1" customWidth="1"/>
    <col min="10760" max="10760" width="15" style="168" bestFit="1" customWidth="1"/>
    <col min="10761" max="10761" width="17.28515625" style="168" bestFit="1" customWidth="1"/>
    <col min="10762" max="10763" width="12.85546875" style="168" bestFit="1" customWidth="1"/>
    <col min="10764" max="11008" width="9.140625" style="168"/>
    <col min="11009" max="11011" width="9.140625" style="168" customWidth="1"/>
    <col min="11012" max="11012" width="14.42578125" style="168" bestFit="1" customWidth="1"/>
    <col min="11013" max="11014" width="9.140625" style="168" customWidth="1"/>
    <col min="11015" max="11015" width="20.85546875" style="168" bestFit="1" customWidth="1"/>
    <col min="11016" max="11016" width="15" style="168" bestFit="1" customWidth="1"/>
    <col min="11017" max="11017" width="17.28515625" style="168" bestFit="1" customWidth="1"/>
    <col min="11018" max="11019" width="12.85546875" style="168" bestFit="1" customWidth="1"/>
    <col min="11020" max="11264" width="9.140625" style="168"/>
    <col min="11265" max="11267" width="9.140625" style="168" customWidth="1"/>
    <col min="11268" max="11268" width="14.42578125" style="168" bestFit="1" customWidth="1"/>
    <col min="11269" max="11270" width="9.140625" style="168" customWidth="1"/>
    <col min="11271" max="11271" width="20.85546875" style="168" bestFit="1" customWidth="1"/>
    <col min="11272" max="11272" width="15" style="168" bestFit="1" customWidth="1"/>
    <col min="11273" max="11273" width="17.28515625" style="168" bestFit="1" customWidth="1"/>
    <col min="11274" max="11275" width="12.85546875" style="168" bestFit="1" customWidth="1"/>
    <col min="11276" max="11520" width="9.140625" style="168"/>
    <col min="11521" max="11523" width="9.140625" style="168" customWidth="1"/>
    <col min="11524" max="11524" width="14.42578125" style="168" bestFit="1" customWidth="1"/>
    <col min="11525" max="11526" width="9.140625" style="168" customWidth="1"/>
    <col min="11527" max="11527" width="20.85546875" style="168" bestFit="1" customWidth="1"/>
    <col min="11528" max="11528" width="15" style="168" bestFit="1" customWidth="1"/>
    <col min="11529" max="11529" width="17.28515625" style="168" bestFit="1" customWidth="1"/>
    <col min="11530" max="11531" width="12.85546875" style="168" bestFit="1" customWidth="1"/>
    <col min="11532" max="11776" width="9.140625" style="168"/>
    <col min="11777" max="11779" width="9.140625" style="168" customWidth="1"/>
    <col min="11780" max="11780" width="14.42578125" style="168" bestFit="1" customWidth="1"/>
    <col min="11781" max="11782" width="9.140625" style="168" customWidth="1"/>
    <col min="11783" max="11783" width="20.85546875" style="168" bestFit="1" customWidth="1"/>
    <col min="11784" max="11784" width="15" style="168" bestFit="1" customWidth="1"/>
    <col min="11785" max="11785" width="17.28515625" style="168" bestFit="1" customWidth="1"/>
    <col min="11786" max="11787" width="12.85546875" style="168" bestFit="1" customWidth="1"/>
    <col min="11788" max="12032" width="9.140625" style="168"/>
    <col min="12033" max="12035" width="9.140625" style="168" customWidth="1"/>
    <col min="12036" max="12036" width="14.42578125" style="168" bestFit="1" customWidth="1"/>
    <col min="12037" max="12038" width="9.140625" style="168" customWidth="1"/>
    <col min="12039" max="12039" width="20.85546875" style="168" bestFit="1" customWidth="1"/>
    <col min="12040" max="12040" width="15" style="168" bestFit="1" customWidth="1"/>
    <col min="12041" max="12041" width="17.28515625" style="168" bestFit="1" customWidth="1"/>
    <col min="12042" max="12043" width="12.85546875" style="168" bestFit="1" customWidth="1"/>
    <col min="12044" max="12288" width="9.140625" style="168"/>
    <col min="12289" max="12291" width="9.140625" style="168" customWidth="1"/>
    <col min="12292" max="12292" width="14.42578125" style="168" bestFit="1" customWidth="1"/>
    <col min="12293" max="12294" width="9.140625" style="168" customWidth="1"/>
    <col min="12295" max="12295" width="20.85546875" style="168" bestFit="1" customWidth="1"/>
    <col min="12296" max="12296" width="15" style="168" bestFit="1" customWidth="1"/>
    <col min="12297" max="12297" width="17.28515625" style="168" bestFit="1" customWidth="1"/>
    <col min="12298" max="12299" width="12.85546875" style="168" bestFit="1" customWidth="1"/>
    <col min="12300" max="12544" width="9.140625" style="168"/>
    <col min="12545" max="12547" width="9.140625" style="168" customWidth="1"/>
    <col min="12548" max="12548" width="14.42578125" style="168" bestFit="1" customWidth="1"/>
    <col min="12549" max="12550" width="9.140625" style="168" customWidth="1"/>
    <col min="12551" max="12551" width="20.85546875" style="168" bestFit="1" customWidth="1"/>
    <col min="12552" max="12552" width="15" style="168" bestFit="1" customWidth="1"/>
    <col min="12553" max="12553" width="17.28515625" style="168" bestFit="1" customWidth="1"/>
    <col min="12554" max="12555" width="12.85546875" style="168" bestFit="1" customWidth="1"/>
    <col min="12556" max="12800" width="9.140625" style="168"/>
    <col min="12801" max="12803" width="9.140625" style="168" customWidth="1"/>
    <col min="12804" max="12804" width="14.42578125" style="168" bestFit="1" customWidth="1"/>
    <col min="12805" max="12806" width="9.140625" style="168" customWidth="1"/>
    <col min="12807" max="12807" width="20.85546875" style="168" bestFit="1" customWidth="1"/>
    <col min="12808" max="12808" width="15" style="168" bestFit="1" customWidth="1"/>
    <col min="12809" max="12809" width="17.28515625" style="168" bestFit="1" customWidth="1"/>
    <col min="12810" max="12811" width="12.85546875" style="168" bestFit="1" customWidth="1"/>
    <col min="12812" max="13056" width="9.140625" style="168"/>
    <col min="13057" max="13059" width="9.140625" style="168" customWidth="1"/>
    <col min="13060" max="13060" width="14.42578125" style="168" bestFit="1" customWidth="1"/>
    <col min="13061" max="13062" width="9.140625" style="168" customWidth="1"/>
    <col min="13063" max="13063" width="20.85546875" style="168" bestFit="1" customWidth="1"/>
    <col min="13064" max="13064" width="15" style="168" bestFit="1" customWidth="1"/>
    <col min="13065" max="13065" width="17.28515625" style="168" bestFit="1" customWidth="1"/>
    <col min="13066" max="13067" width="12.85546875" style="168" bestFit="1" customWidth="1"/>
    <col min="13068" max="13312" width="9.140625" style="168"/>
    <col min="13313" max="13315" width="9.140625" style="168" customWidth="1"/>
    <col min="13316" max="13316" width="14.42578125" style="168" bestFit="1" customWidth="1"/>
    <col min="13317" max="13318" width="9.140625" style="168" customWidth="1"/>
    <col min="13319" max="13319" width="20.85546875" style="168" bestFit="1" customWidth="1"/>
    <col min="13320" max="13320" width="15" style="168" bestFit="1" customWidth="1"/>
    <col min="13321" max="13321" width="17.28515625" style="168" bestFit="1" customWidth="1"/>
    <col min="13322" max="13323" width="12.85546875" style="168" bestFit="1" customWidth="1"/>
    <col min="13324" max="13568" width="9.140625" style="168"/>
    <col min="13569" max="13571" width="9.140625" style="168" customWidth="1"/>
    <col min="13572" max="13572" width="14.42578125" style="168" bestFit="1" customWidth="1"/>
    <col min="13573" max="13574" width="9.140625" style="168" customWidth="1"/>
    <col min="13575" max="13575" width="20.85546875" style="168" bestFit="1" customWidth="1"/>
    <col min="13576" max="13576" width="15" style="168" bestFit="1" customWidth="1"/>
    <col min="13577" max="13577" width="17.28515625" style="168" bestFit="1" customWidth="1"/>
    <col min="13578" max="13579" width="12.85546875" style="168" bestFit="1" customWidth="1"/>
    <col min="13580" max="13824" width="9.140625" style="168"/>
    <col min="13825" max="13827" width="9.140625" style="168" customWidth="1"/>
    <col min="13828" max="13828" width="14.42578125" style="168" bestFit="1" customWidth="1"/>
    <col min="13829" max="13830" width="9.140625" style="168" customWidth="1"/>
    <col min="13831" max="13831" width="20.85546875" style="168" bestFit="1" customWidth="1"/>
    <col min="13832" max="13832" width="15" style="168" bestFit="1" customWidth="1"/>
    <col min="13833" max="13833" width="17.28515625" style="168" bestFit="1" customWidth="1"/>
    <col min="13834" max="13835" width="12.85546875" style="168" bestFit="1" customWidth="1"/>
    <col min="13836" max="14080" width="9.140625" style="168"/>
    <col min="14081" max="14083" width="9.140625" style="168" customWidth="1"/>
    <col min="14084" max="14084" width="14.42578125" style="168" bestFit="1" customWidth="1"/>
    <col min="14085" max="14086" width="9.140625" style="168" customWidth="1"/>
    <col min="14087" max="14087" width="20.85546875" style="168" bestFit="1" customWidth="1"/>
    <col min="14088" max="14088" width="15" style="168" bestFit="1" customWidth="1"/>
    <col min="14089" max="14089" width="17.28515625" style="168" bestFit="1" customWidth="1"/>
    <col min="14090" max="14091" width="12.85546875" style="168" bestFit="1" customWidth="1"/>
    <col min="14092" max="14336" width="9.140625" style="168"/>
    <col min="14337" max="14339" width="9.140625" style="168" customWidth="1"/>
    <col min="14340" max="14340" width="14.42578125" style="168" bestFit="1" customWidth="1"/>
    <col min="14341" max="14342" width="9.140625" style="168" customWidth="1"/>
    <col min="14343" max="14343" width="20.85546875" style="168" bestFit="1" customWidth="1"/>
    <col min="14344" max="14344" width="15" style="168" bestFit="1" customWidth="1"/>
    <col min="14345" max="14345" width="17.28515625" style="168" bestFit="1" customWidth="1"/>
    <col min="14346" max="14347" width="12.85546875" style="168" bestFit="1" customWidth="1"/>
    <col min="14348" max="14592" width="9.140625" style="168"/>
    <col min="14593" max="14595" width="9.140625" style="168" customWidth="1"/>
    <col min="14596" max="14596" width="14.42578125" style="168" bestFit="1" customWidth="1"/>
    <col min="14597" max="14598" width="9.140625" style="168" customWidth="1"/>
    <col min="14599" max="14599" width="20.85546875" style="168" bestFit="1" customWidth="1"/>
    <col min="14600" max="14600" width="15" style="168" bestFit="1" customWidth="1"/>
    <col min="14601" max="14601" width="17.28515625" style="168" bestFit="1" customWidth="1"/>
    <col min="14602" max="14603" width="12.85546875" style="168" bestFit="1" customWidth="1"/>
    <col min="14604" max="14848" width="9.140625" style="168"/>
    <col min="14849" max="14851" width="9.140625" style="168" customWidth="1"/>
    <col min="14852" max="14852" width="14.42578125" style="168" bestFit="1" customWidth="1"/>
    <col min="14853" max="14854" width="9.140625" style="168" customWidth="1"/>
    <col min="14855" max="14855" width="20.85546875" style="168" bestFit="1" customWidth="1"/>
    <col min="14856" max="14856" width="15" style="168" bestFit="1" customWidth="1"/>
    <col min="14857" max="14857" width="17.28515625" style="168" bestFit="1" customWidth="1"/>
    <col min="14858" max="14859" width="12.85546875" style="168" bestFit="1" customWidth="1"/>
    <col min="14860" max="15104" width="9.140625" style="168"/>
    <col min="15105" max="15107" width="9.140625" style="168" customWidth="1"/>
    <col min="15108" max="15108" width="14.42578125" style="168" bestFit="1" customWidth="1"/>
    <col min="15109" max="15110" width="9.140625" style="168" customWidth="1"/>
    <col min="15111" max="15111" width="20.85546875" style="168" bestFit="1" customWidth="1"/>
    <col min="15112" max="15112" width="15" style="168" bestFit="1" customWidth="1"/>
    <col min="15113" max="15113" width="17.28515625" style="168" bestFit="1" customWidth="1"/>
    <col min="15114" max="15115" width="12.85546875" style="168" bestFit="1" customWidth="1"/>
    <col min="15116" max="15360" width="9.140625" style="168"/>
    <col min="15361" max="15363" width="9.140625" style="168" customWidth="1"/>
    <col min="15364" max="15364" width="14.42578125" style="168" bestFit="1" customWidth="1"/>
    <col min="15365" max="15366" width="9.140625" style="168" customWidth="1"/>
    <col min="15367" max="15367" width="20.85546875" style="168" bestFit="1" customWidth="1"/>
    <col min="15368" max="15368" width="15" style="168" bestFit="1" customWidth="1"/>
    <col min="15369" max="15369" width="17.28515625" style="168" bestFit="1" customWidth="1"/>
    <col min="15370" max="15371" width="12.85546875" style="168" bestFit="1" customWidth="1"/>
    <col min="15372" max="15616" width="9.140625" style="168"/>
    <col min="15617" max="15619" width="9.140625" style="168" customWidth="1"/>
    <col min="15620" max="15620" width="14.42578125" style="168" bestFit="1" customWidth="1"/>
    <col min="15621" max="15622" width="9.140625" style="168" customWidth="1"/>
    <col min="15623" max="15623" width="20.85546875" style="168" bestFit="1" customWidth="1"/>
    <col min="15624" max="15624" width="15" style="168" bestFit="1" customWidth="1"/>
    <col min="15625" max="15625" width="17.28515625" style="168" bestFit="1" customWidth="1"/>
    <col min="15626" max="15627" width="12.85546875" style="168" bestFit="1" customWidth="1"/>
    <col min="15628" max="15872" width="9.140625" style="168"/>
    <col min="15873" max="15875" width="9.140625" style="168" customWidth="1"/>
    <col min="15876" max="15876" width="14.42578125" style="168" bestFit="1" customWidth="1"/>
    <col min="15877" max="15878" width="9.140625" style="168" customWidth="1"/>
    <col min="15879" max="15879" width="20.85546875" style="168" bestFit="1" customWidth="1"/>
    <col min="15880" max="15880" width="15" style="168" bestFit="1" customWidth="1"/>
    <col min="15881" max="15881" width="17.28515625" style="168" bestFit="1" customWidth="1"/>
    <col min="15882" max="15883" width="12.85546875" style="168" bestFit="1" customWidth="1"/>
    <col min="15884" max="16128" width="9.140625" style="168"/>
    <col min="16129" max="16131" width="9.140625" style="168" customWidth="1"/>
    <col min="16132" max="16132" width="14.42578125" style="168" bestFit="1" customWidth="1"/>
    <col min="16133" max="16134" width="9.140625" style="168" customWidth="1"/>
    <col min="16135" max="16135" width="20.85546875" style="168" bestFit="1" customWidth="1"/>
    <col min="16136" max="16136" width="15" style="168" bestFit="1" customWidth="1"/>
    <col min="16137" max="16137" width="17.28515625" style="168" bestFit="1" customWidth="1"/>
    <col min="16138" max="16139" width="12.85546875" style="168" bestFit="1" customWidth="1"/>
    <col min="16140" max="16384" width="9.140625" style="168"/>
  </cols>
  <sheetData>
    <row r="6" spans="1:9" ht="24.75" thickBot="1" x14ac:dyDescent="0.45">
      <c r="A6" s="1040" t="s">
        <v>229</v>
      </c>
      <c r="B6" s="1040"/>
      <c r="C6" s="1040"/>
      <c r="D6" s="1040"/>
      <c r="E6" s="1040"/>
      <c r="F6" s="1040"/>
      <c r="G6" s="1040"/>
    </row>
    <row r="7" spans="1:9" ht="14.25" thickBot="1" x14ac:dyDescent="0.3">
      <c r="A7" s="1005" t="s">
        <v>441</v>
      </c>
      <c r="B7" s="1006"/>
      <c r="C7" s="1006"/>
      <c r="D7" s="1006"/>
      <c r="E7" s="1006"/>
      <c r="F7" s="1006"/>
      <c r="G7" s="1007"/>
    </row>
    <row r="8" spans="1:9" ht="13.5" x14ac:dyDescent="0.25">
      <c r="A8" s="1008"/>
      <c r="B8" s="1009"/>
      <c r="C8" s="1009"/>
      <c r="D8" s="1009"/>
      <c r="E8" s="1009"/>
      <c r="F8" s="1009"/>
      <c r="G8" s="1010"/>
    </row>
    <row r="9" spans="1:9" x14ac:dyDescent="0.2">
      <c r="A9" s="169"/>
      <c r="B9" s="170"/>
      <c r="C9" s="171"/>
      <c r="D9" s="172"/>
      <c r="E9" s="172"/>
      <c r="F9" s="172"/>
      <c r="G9" s="173"/>
    </row>
    <row r="10" spans="1:9" x14ac:dyDescent="0.2">
      <c r="A10" s="174" t="s">
        <v>399</v>
      </c>
      <c r="B10" s="175" t="s">
        <v>400</v>
      </c>
      <c r="C10" s="175"/>
      <c r="D10" s="175"/>
      <c r="E10" s="176" t="s">
        <v>439</v>
      </c>
      <c r="F10" s="171"/>
      <c r="G10" s="177"/>
    </row>
    <row r="11" spans="1:9" x14ac:dyDescent="0.2">
      <c r="A11" s="174"/>
      <c r="B11" s="175"/>
      <c r="C11" s="175"/>
      <c r="D11" s="175"/>
      <c r="E11" s="176"/>
      <c r="F11" s="171"/>
      <c r="G11" s="177"/>
    </row>
    <row r="12" spans="1:9" x14ac:dyDescent="0.2">
      <c r="A12" s="1011"/>
      <c r="B12" s="1001"/>
      <c r="C12" s="1001"/>
      <c r="D12" s="1001"/>
      <c r="E12" s="1001"/>
      <c r="F12" s="1001"/>
      <c r="G12" s="178" t="s">
        <v>402</v>
      </c>
    </row>
    <row r="13" spans="1:9" x14ac:dyDescent="0.2">
      <c r="A13" s="179" t="s">
        <v>438</v>
      </c>
      <c r="B13" s="180"/>
      <c r="C13" s="180"/>
      <c r="D13" s="180"/>
      <c r="E13" s="181"/>
      <c r="F13" s="181"/>
      <c r="G13" s="182">
        <v>0</v>
      </c>
      <c r="H13" s="183"/>
      <c r="I13" s="184"/>
    </row>
    <row r="14" spans="1:9" x14ac:dyDescent="0.2">
      <c r="A14" s="185" t="s">
        <v>404</v>
      </c>
      <c r="B14" s="186"/>
      <c r="C14" s="186"/>
      <c r="D14" s="186"/>
      <c r="E14" s="187"/>
      <c r="F14" s="187"/>
      <c r="G14" s="188"/>
      <c r="H14" s="189"/>
      <c r="I14" s="171"/>
    </row>
    <row r="15" spans="1:9" x14ac:dyDescent="0.2">
      <c r="A15" s="190"/>
      <c r="B15" s="187"/>
      <c r="C15" s="187"/>
      <c r="D15" s="187"/>
      <c r="E15" s="1012"/>
      <c r="F15" s="1012"/>
      <c r="G15" s="191">
        <v>0</v>
      </c>
      <c r="H15" s="183"/>
    </row>
    <row r="16" spans="1:9" x14ac:dyDescent="0.2">
      <c r="A16" s="190" t="s">
        <v>406</v>
      </c>
      <c r="B16" s="187"/>
      <c r="C16" s="187"/>
      <c r="D16" s="187"/>
      <c r="E16" s="253"/>
      <c r="F16" s="253"/>
      <c r="G16" s="193">
        <f>+[7]Hoja4!D7</f>
        <v>0</v>
      </c>
      <c r="H16" s="183"/>
    </row>
    <row r="17" spans="1:11" x14ac:dyDescent="0.2">
      <c r="A17" s="190" t="s">
        <v>407</v>
      </c>
      <c r="B17" s="187"/>
      <c r="C17" s="187"/>
      <c r="D17" s="187"/>
      <c r="E17" s="253"/>
      <c r="F17" s="253"/>
      <c r="G17" s="194">
        <f>+'[7]TRANSFERENCIA RECIBIDAS'!B10</f>
        <v>3999803.75</v>
      </c>
    </row>
    <row r="18" spans="1:11" x14ac:dyDescent="0.2">
      <c r="A18" s="190" t="s">
        <v>408</v>
      </c>
      <c r="B18" s="187"/>
      <c r="C18" s="187"/>
      <c r="D18" s="187"/>
      <c r="E18" s="253"/>
      <c r="F18" s="253"/>
      <c r="G18" s="195"/>
    </row>
    <row r="19" spans="1:11" x14ac:dyDescent="0.2">
      <c r="A19" s="179"/>
      <c r="B19" s="180"/>
      <c r="C19" s="180"/>
      <c r="D19" s="180"/>
      <c r="E19" s="187"/>
      <c r="F19" s="187"/>
      <c r="G19" s="196">
        <f>+G13+G15+G18+G17+G16</f>
        <v>3999803.75</v>
      </c>
    </row>
    <row r="20" spans="1:11" x14ac:dyDescent="0.2">
      <c r="A20" s="185" t="s">
        <v>409</v>
      </c>
      <c r="B20" s="186"/>
      <c r="C20" s="187"/>
      <c r="D20" s="187"/>
      <c r="E20" s="187"/>
      <c r="F20" s="187"/>
      <c r="G20" s="188"/>
      <c r="I20" s="197"/>
      <c r="K20" s="167"/>
    </row>
    <row r="21" spans="1:11" x14ac:dyDescent="0.2">
      <c r="A21" s="190" t="s">
        <v>410</v>
      </c>
      <c r="B21" s="187"/>
      <c r="C21" s="186"/>
      <c r="D21" s="186"/>
      <c r="E21" s="187"/>
      <c r="F21" s="187"/>
      <c r="G21" s="198">
        <f>+'[7]CHEQUES EMITIDO '!D14</f>
        <v>0</v>
      </c>
      <c r="I21" s="199"/>
      <c r="K21" s="167"/>
    </row>
    <row r="22" spans="1:11" x14ac:dyDescent="0.2">
      <c r="A22" s="200" t="s">
        <v>411</v>
      </c>
      <c r="B22" s="201"/>
      <c r="C22" s="202"/>
      <c r="D22" s="203"/>
      <c r="E22" s="201"/>
      <c r="F22" s="201"/>
      <c r="G22" s="204">
        <f>+'[7]NOMINA '!D9</f>
        <v>0</v>
      </c>
      <c r="I22" s="199"/>
    </row>
    <row r="23" spans="1:11" x14ac:dyDescent="0.2">
      <c r="A23" s="205" t="s">
        <v>412</v>
      </c>
      <c r="B23" s="206"/>
      <c r="C23" s="206"/>
      <c r="D23" s="201"/>
      <c r="E23" s="207"/>
      <c r="F23" s="208"/>
      <c r="G23" s="209">
        <f>+[7]comisiones!E40</f>
        <v>6696.3</v>
      </c>
      <c r="I23" s="199"/>
    </row>
    <row r="24" spans="1:11" x14ac:dyDescent="0.2">
      <c r="A24" s="205" t="s">
        <v>413</v>
      </c>
      <c r="B24" s="206"/>
      <c r="C24" s="206"/>
      <c r="D24" s="201"/>
      <c r="E24" s="207"/>
      <c r="F24" s="207"/>
      <c r="G24" s="210">
        <f>+[7]TRANSFERENCIAS!D20</f>
        <v>3993107.4499999997</v>
      </c>
      <c r="I24" s="199"/>
      <c r="J24" s="211"/>
      <c r="K24" s="167"/>
    </row>
    <row r="25" spans="1:11" x14ac:dyDescent="0.2">
      <c r="A25" s="190" t="s">
        <v>414</v>
      </c>
      <c r="B25" s="206"/>
      <c r="C25" s="206"/>
      <c r="D25" s="201"/>
      <c r="E25" s="207"/>
      <c r="F25" s="207"/>
      <c r="G25" s="209"/>
      <c r="I25" s="199"/>
      <c r="J25" s="211"/>
    </row>
    <row r="26" spans="1:11" x14ac:dyDescent="0.2">
      <c r="A26" s="212" t="s">
        <v>415</v>
      </c>
      <c r="B26" s="213"/>
      <c r="C26" s="213"/>
      <c r="D26" s="213"/>
      <c r="E26" s="213"/>
      <c r="F26" s="213"/>
      <c r="G26" s="214">
        <f>SUM(G21:G25)</f>
        <v>3999803.7499999995</v>
      </c>
      <c r="I26" s="199"/>
      <c r="J26" s="211"/>
    </row>
    <row r="27" spans="1:11" ht="13.5" thickBot="1" x14ac:dyDescent="0.25">
      <c r="A27" s="998" t="s">
        <v>416</v>
      </c>
      <c r="B27" s="999"/>
      <c r="C27" s="215"/>
      <c r="D27" s="215"/>
      <c r="E27" s="1000"/>
      <c r="F27" s="1000"/>
      <c r="G27" s="216">
        <f>G19-G26</f>
        <v>0</v>
      </c>
      <c r="I27" s="184"/>
    </row>
    <row r="28" spans="1:11" ht="15.75" thickTop="1" x14ac:dyDescent="0.25">
      <c r="A28" s="217"/>
      <c r="B28" s="218"/>
      <c r="C28" s="215"/>
      <c r="D28" s="215"/>
      <c r="E28" s="254"/>
      <c r="F28" s="254"/>
      <c r="G28" s="220"/>
      <c r="H28" s="221"/>
      <c r="I28" s="222"/>
    </row>
    <row r="29" spans="1:11" ht="15" x14ac:dyDescent="0.25">
      <c r="A29" s="217"/>
      <c r="B29" s="218"/>
      <c r="C29" s="215"/>
      <c r="D29" s="215"/>
      <c r="E29" s="223"/>
      <c r="F29" s="254"/>
      <c r="G29" s="220"/>
      <c r="I29" s="224"/>
    </row>
    <row r="30" spans="1:11" x14ac:dyDescent="0.2">
      <c r="A30" s="190"/>
      <c r="B30" s="187"/>
      <c r="C30" s="187"/>
      <c r="D30" s="187"/>
      <c r="E30" s="187"/>
      <c r="F30" s="187"/>
      <c r="G30" s="178" t="s">
        <v>417</v>
      </c>
    </row>
    <row r="31" spans="1:11" ht="15" x14ac:dyDescent="0.25">
      <c r="A31" s="179" t="s">
        <v>418</v>
      </c>
      <c r="B31" s="180"/>
      <c r="C31" s="180"/>
      <c r="D31" s="180"/>
      <c r="E31" s="1001"/>
      <c r="F31" s="1001"/>
      <c r="G31" s="225">
        <v>0</v>
      </c>
      <c r="H31" s="226"/>
      <c r="I31" s="184"/>
    </row>
    <row r="32" spans="1:11" x14ac:dyDescent="0.2">
      <c r="A32" s="185" t="s">
        <v>404</v>
      </c>
      <c r="B32" s="186"/>
      <c r="C32" s="186"/>
      <c r="D32" s="186"/>
      <c r="E32" s="187"/>
      <c r="F32" s="187"/>
      <c r="G32" s="227"/>
    </row>
    <row r="33" spans="1:12" x14ac:dyDescent="0.2">
      <c r="A33" s="190" t="s">
        <v>419</v>
      </c>
      <c r="B33" s="187"/>
      <c r="C33" s="187"/>
      <c r="D33" s="187"/>
      <c r="E33" s="1001"/>
      <c r="F33" s="1001"/>
      <c r="G33" s="188"/>
    </row>
    <row r="34" spans="1:12" x14ac:dyDescent="0.2">
      <c r="A34" s="190"/>
      <c r="B34" s="187"/>
      <c r="C34" s="187"/>
      <c r="D34" s="187"/>
      <c r="E34" s="252"/>
      <c r="F34" s="252"/>
      <c r="G34" s="188"/>
    </row>
    <row r="35" spans="1:12" x14ac:dyDescent="0.2">
      <c r="A35" s="179" t="s">
        <v>420</v>
      </c>
      <c r="B35" s="180"/>
      <c r="C35" s="180"/>
      <c r="D35" s="180"/>
      <c r="E35" s="1042"/>
      <c r="F35" s="1042"/>
      <c r="G35" s="229">
        <f>SUM(G31:G34)</f>
        <v>0</v>
      </c>
    </row>
    <row r="36" spans="1:12" x14ac:dyDescent="0.2">
      <c r="A36" s="190"/>
      <c r="B36" s="187"/>
      <c r="C36" s="187"/>
      <c r="D36" s="187"/>
      <c r="E36" s="187"/>
      <c r="F36" s="187"/>
      <c r="G36" s="227"/>
    </row>
    <row r="37" spans="1:12" x14ac:dyDescent="0.2">
      <c r="A37" s="185" t="s">
        <v>409</v>
      </c>
      <c r="B37" s="186"/>
      <c r="C37" s="186"/>
      <c r="D37" s="186"/>
      <c r="E37" s="187"/>
      <c r="F37" s="187"/>
      <c r="G37" s="188"/>
    </row>
    <row r="38" spans="1:12" x14ac:dyDescent="0.2">
      <c r="A38" s="205" t="s">
        <v>421</v>
      </c>
      <c r="B38" s="187"/>
      <c r="C38" s="187"/>
      <c r="D38" s="187"/>
      <c r="E38" s="255"/>
      <c r="F38" s="255"/>
      <c r="G38" s="231">
        <v>0</v>
      </c>
      <c r="I38" s="232"/>
      <c r="J38" s="233"/>
      <c r="K38" s="234"/>
      <c r="L38" s="235"/>
    </row>
    <row r="39" spans="1:12" x14ac:dyDescent="0.2">
      <c r="A39" s="205" t="s">
        <v>422</v>
      </c>
      <c r="B39" s="187"/>
      <c r="C39" s="187"/>
      <c r="D39" s="187"/>
      <c r="E39" s="255"/>
      <c r="F39" s="255"/>
      <c r="G39" s="231">
        <v>0</v>
      </c>
      <c r="I39" s="232"/>
      <c r="J39" s="233"/>
      <c r="K39" s="234"/>
      <c r="L39" s="235"/>
    </row>
    <row r="40" spans="1:12" x14ac:dyDescent="0.2">
      <c r="A40" s="190"/>
      <c r="B40" s="187"/>
      <c r="C40" s="187"/>
      <c r="D40" s="187"/>
      <c r="E40" s="255"/>
      <c r="F40" s="255"/>
      <c r="G40" s="182">
        <f>SUM(G38:G39)</f>
        <v>0</v>
      </c>
      <c r="I40" s="232"/>
      <c r="J40" s="233"/>
      <c r="K40" s="234"/>
      <c r="L40" s="235"/>
    </row>
    <row r="41" spans="1:12" x14ac:dyDescent="0.2">
      <c r="A41" s="190"/>
      <c r="B41" s="187"/>
      <c r="C41" s="187"/>
      <c r="D41" s="187"/>
      <c r="E41" s="255"/>
      <c r="F41" s="255"/>
      <c r="G41" s="188"/>
      <c r="I41" s="232"/>
      <c r="J41" s="233"/>
      <c r="L41" s="235"/>
    </row>
    <row r="42" spans="1:12" ht="13.5" thickBot="1" x14ac:dyDescent="0.25">
      <c r="A42" s="998" t="s">
        <v>416</v>
      </c>
      <c r="B42" s="999"/>
      <c r="C42" s="215"/>
      <c r="D42" s="215"/>
      <c r="E42" s="236"/>
      <c r="F42" s="236"/>
      <c r="G42" s="216">
        <f>G35+G40</f>
        <v>0</v>
      </c>
      <c r="I42" s="184"/>
    </row>
    <row r="43" spans="1:12" ht="14.25" thickTop="1" thickBot="1" x14ac:dyDescent="0.25">
      <c r="A43" s="237"/>
      <c r="B43" s="238"/>
      <c r="C43" s="238"/>
      <c r="D43" s="238"/>
      <c r="E43" s="239"/>
      <c r="F43" s="239"/>
      <c r="G43" s="240"/>
      <c r="H43" s="183"/>
    </row>
    <row r="44" spans="1:12" x14ac:dyDescent="0.2">
      <c r="A44" s="180"/>
      <c r="B44" s="180"/>
      <c r="C44" s="180"/>
      <c r="D44" s="180"/>
      <c r="E44" s="187"/>
      <c r="F44" s="187"/>
      <c r="G44" s="241"/>
      <c r="H44" s="242"/>
    </row>
    <row r="45" spans="1:12" x14ac:dyDescent="0.2">
      <c r="A45" s="180"/>
      <c r="B45" s="180"/>
      <c r="C45" s="180"/>
      <c r="D45" s="180"/>
      <c r="E45" s="187"/>
      <c r="F45" s="187"/>
      <c r="G45" s="241"/>
      <c r="I45" s="243"/>
    </row>
    <row r="46" spans="1:12" x14ac:dyDescent="0.2">
      <c r="A46" s="180"/>
      <c r="B46" s="180"/>
      <c r="C46" s="180"/>
      <c r="D46" s="180"/>
      <c r="E46" s="187"/>
      <c r="F46" s="187"/>
      <c r="G46" s="241"/>
    </row>
    <row r="47" spans="1:12" x14ac:dyDescent="0.2">
      <c r="A47" s="180" t="s">
        <v>430</v>
      </c>
      <c r="B47" s="180"/>
      <c r="C47" s="180"/>
      <c r="D47" s="1043" t="s">
        <v>213</v>
      </c>
      <c r="E47" s="1043"/>
      <c r="F47" s="1043"/>
      <c r="G47" s="1043"/>
    </row>
    <row r="48" spans="1:12" x14ac:dyDescent="0.2">
      <c r="A48" s="180"/>
      <c r="B48" s="180"/>
      <c r="C48" s="180"/>
      <c r="D48" s="1041" t="s">
        <v>214</v>
      </c>
      <c r="E48" s="1041"/>
      <c r="F48" s="1041"/>
      <c r="G48" s="1041"/>
    </row>
    <row r="50" spans="1:7" x14ac:dyDescent="0.2">
      <c r="A50" s="244"/>
      <c r="B50" s="244"/>
    </row>
    <row r="51" spans="1:7" x14ac:dyDescent="0.2">
      <c r="A51" s="244"/>
      <c r="B51" s="244"/>
    </row>
    <row r="52" spans="1:7" x14ac:dyDescent="0.2">
      <c r="A52" s="244"/>
      <c r="B52" s="244"/>
    </row>
    <row r="53" spans="1:7" x14ac:dyDescent="0.2">
      <c r="A53" s="244"/>
      <c r="B53" s="244"/>
    </row>
    <row r="54" spans="1:7" x14ac:dyDescent="0.2">
      <c r="A54" s="244" t="s">
        <v>432</v>
      </c>
      <c r="B54" s="244"/>
      <c r="D54" s="1043" t="s">
        <v>433</v>
      </c>
      <c r="E54" s="1043"/>
      <c r="F54" s="1043"/>
      <c r="G54" s="1043"/>
    </row>
    <row r="55" spans="1:7" x14ac:dyDescent="0.2">
      <c r="A55" s="244"/>
      <c r="B55" s="244"/>
      <c r="D55" s="1041" t="s">
        <v>434</v>
      </c>
      <c r="E55" s="1041"/>
      <c r="F55" s="1041"/>
      <c r="G55" s="1041"/>
    </row>
    <row r="314" spans="11:11" x14ac:dyDescent="0.2">
      <c r="K314" s="184"/>
    </row>
    <row r="315" spans="11:11" x14ac:dyDescent="0.2">
      <c r="K315" s="184"/>
    </row>
    <row r="316" spans="11:11" x14ac:dyDescent="0.2">
      <c r="K316" s="184"/>
    </row>
    <row r="317" spans="11:11" x14ac:dyDescent="0.2">
      <c r="K317" s="184"/>
    </row>
  </sheetData>
  <mergeCells count="15">
    <mergeCell ref="A42:B42"/>
    <mergeCell ref="D47:G47"/>
    <mergeCell ref="D48:G48"/>
    <mergeCell ref="A6:G6"/>
    <mergeCell ref="A7:G7"/>
    <mergeCell ref="A8:G8"/>
    <mergeCell ref="A12:F12"/>
    <mergeCell ref="E15:F15"/>
    <mergeCell ref="A27:B27"/>
    <mergeCell ref="E27:F27"/>
    <mergeCell ref="D54:G54"/>
    <mergeCell ref="D55:G55"/>
    <mergeCell ref="E31:F31"/>
    <mergeCell ref="E33:F33"/>
    <mergeCell ref="E35:F35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L315"/>
  <sheetViews>
    <sheetView view="pageBreakPreview" topLeftCell="A7" zoomScale="60" zoomScaleNormal="100" workbookViewId="0">
      <selection activeCell="H51" sqref="H51"/>
    </sheetView>
  </sheetViews>
  <sheetFormatPr baseColWidth="10" defaultColWidth="9.140625" defaultRowHeight="12.75" x14ac:dyDescent="0.2"/>
  <cols>
    <col min="1" max="3" width="9.140625" style="168" customWidth="1"/>
    <col min="4" max="4" width="14.42578125" style="168" bestFit="1" customWidth="1"/>
    <col min="5" max="6" width="9.140625" style="168" customWidth="1"/>
    <col min="7" max="7" width="20.85546875" style="168" bestFit="1" customWidth="1"/>
    <col min="8" max="8" width="15" style="167" bestFit="1" customWidth="1"/>
    <col min="9" max="9" width="17.28515625" style="168" bestFit="1" customWidth="1"/>
    <col min="10" max="10" width="12.85546875" style="167" bestFit="1" customWidth="1"/>
    <col min="11" max="11" width="12.85546875" style="168" bestFit="1" customWidth="1"/>
    <col min="12" max="256" width="9.140625" style="168"/>
    <col min="257" max="259" width="9.140625" style="168" customWidth="1"/>
    <col min="260" max="260" width="14.42578125" style="168" bestFit="1" customWidth="1"/>
    <col min="261" max="262" width="9.140625" style="168" customWidth="1"/>
    <col min="263" max="263" width="20.85546875" style="168" bestFit="1" customWidth="1"/>
    <col min="264" max="264" width="15" style="168" bestFit="1" customWidth="1"/>
    <col min="265" max="265" width="17.28515625" style="168" bestFit="1" customWidth="1"/>
    <col min="266" max="267" width="12.85546875" style="168" bestFit="1" customWidth="1"/>
    <col min="268" max="512" width="9.140625" style="168"/>
    <col min="513" max="515" width="9.140625" style="168" customWidth="1"/>
    <col min="516" max="516" width="14.42578125" style="168" bestFit="1" customWidth="1"/>
    <col min="517" max="518" width="9.140625" style="168" customWidth="1"/>
    <col min="519" max="519" width="20.85546875" style="168" bestFit="1" customWidth="1"/>
    <col min="520" max="520" width="15" style="168" bestFit="1" customWidth="1"/>
    <col min="521" max="521" width="17.28515625" style="168" bestFit="1" customWidth="1"/>
    <col min="522" max="523" width="12.85546875" style="168" bestFit="1" customWidth="1"/>
    <col min="524" max="768" width="9.140625" style="168"/>
    <col min="769" max="771" width="9.140625" style="168" customWidth="1"/>
    <col min="772" max="772" width="14.42578125" style="168" bestFit="1" customWidth="1"/>
    <col min="773" max="774" width="9.140625" style="168" customWidth="1"/>
    <col min="775" max="775" width="20.85546875" style="168" bestFit="1" customWidth="1"/>
    <col min="776" max="776" width="15" style="168" bestFit="1" customWidth="1"/>
    <col min="777" max="777" width="17.28515625" style="168" bestFit="1" customWidth="1"/>
    <col min="778" max="779" width="12.85546875" style="168" bestFit="1" customWidth="1"/>
    <col min="780" max="1024" width="9.140625" style="168"/>
    <col min="1025" max="1027" width="9.140625" style="168" customWidth="1"/>
    <col min="1028" max="1028" width="14.42578125" style="168" bestFit="1" customWidth="1"/>
    <col min="1029" max="1030" width="9.140625" style="168" customWidth="1"/>
    <col min="1031" max="1031" width="20.85546875" style="168" bestFit="1" customWidth="1"/>
    <col min="1032" max="1032" width="15" style="168" bestFit="1" customWidth="1"/>
    <col min="1033" max="1033" width="17.28515625" style="168" bestFit="1" customWidth="1"/>
    <col min="1034" max="1035" width="12.85546875" style="168" bestFit="1" customWidth="1"/>
    <col min="1036" max="1280" width="9.140625" style="168"/>
    <col min="1281" max="1283" width="9.140625" style="168" customWidth="1"/>
    <col min="1284" max="1284" width="14.42578125" style="168" bestFit="1" customWidth="1"/>
    <col min="1285" max="1286" width="9.140625" style="168" customWidth="1"/>
    <col min="1287" max="1287" width="20.85546875" style="168" bestFit="1" customWidth="1"/>
    <col min="1288" max="1288" width="15" style="168" bestFit="1" customWidth="1"/>
    <col min="1289" max="1289" width="17.28515625" style="168" bestFit="1" customWidth="1"/>
    <col min="1290" max="1291" width="12.85546875" style="168" bestFit="1" customWidth="1"/>
    <col min="1292" max="1536" width="9.140625" style="168"/>
    <col min="1537" max="1539" width="9.140625" style="168" customWidth="1"/>
    <col min="1540" max="1540" width="14.42578125" style="168" bestFit="1" customWidth="1"/>
    <col min="1541" max="1542" width="9.140625" style="168" customWidth="1"/>
    <col min="1543" max="1543" width="20.85546875" style="168" bestFit="1" customWidth="1"/>
    <col min="1544" max="1544" width="15" style="168" bestFit="1" customWidth="1"/>
    <col min="1545" max="1545" width="17.28515625" style="168" bestFit="1" customWidth="1"/>
    <col min="1546" max="1547" width="12.85546875" style="168" bestFit="1" customWidth="1"/>
    <col min="1548" max="1792" width="9.140625" style="168"/>
    <col min="1793" max="1795" width="9.140625" style="168" customWidth="1"/>
    <col min="1796" max="1796" width="14.42578125" style="168" bestFit="1" customWidth="1"/>
    <col min="1797" max="1798" width="9.140625" style="168" customWidth="1"/>
    <col min="1799" max="1799" width="20.85546875" style="168" bestFit="1" customWidth="1"/>
    <col min="1800" max="1800" width="15" style="168" bestFit="1" customWidth="1"/>
    <col min="1801" max="1801" width="17.28515625" style="168" bestFit="1" customWidth="1"/>
    <col min="1802" max="1803" width="12.85546875" style="168" bestFit="1" customWidth="1"/>
    <col min="1804" max="2048" width="9.140625" style="168"/>
    <col min="2049" max="2051" width="9.140625" style="168" customWidth="1"/>
    <col min="2052" max="2052" width="14.42578125" style="168" bestFit="1" customWidth="1"/>
    <col min="2053" max="2054" width="9.140625" style="168" customWidth="1"/>
    <col min="2055" max="2055" width="20.85546875" style="168" bestFit="1" customWidth="1"/>
    <col min="2056" max="2056" width="15" style="168" bestFit="1" customWidth="1"/>
    <col min="2057" max="2057" width="17.28515625" style="168" bestFit="1" customWidth="1"/>
    <col min="2058" max="2059" width="12.85546875" style="168" bestFit="1" customWidth="1"/>
    <col min="2060" max="2304" width="9.140625" style="168"/>
    <col min="2305" max="2307" width="9.140625" style="168" customWidth="1"/>
    <col min="2308" max="2308" width="14.42578125" style="168" bestFit="1" customWidth="1"/>
    <col min="2309" max="2310" width="9.140625" style="168" customWidth="1"/>
    <col min="2311" max="2311" width="20.85546875" style="168" bestFit="1" customWidth="1"/>
    <col min="2312" max="2312" width="15" style="168" bestFit="1" customWidth="1"/>
    <col min="2313" max="2313" width="17.28515625" style="168" bestFit="1" customWidth="1"/>
    <col min="2314" max="2315" width="12.85546875" style="168" bestFit="1" customWidth="1"/>
    <col min="2316" max="2560" width="9.140625" style="168"/>
    <col min="2561" max="2563" width="9.140625" style="168" customWidth="1"/>
    <col min="2564" max="2564" width="14.42578125" style="168" bestFit="1" customWidth="1"/>
    <col min="2565" max="2566" width="9.140625" style="168" customWidth="1"/>
    <col min="2567" max="2567" width="20.85546875" style="168" bestFit="1" customWidth="1"/>
    <col min="2568" max="2568" width="15" style="168" bestFit="1" customWidth="1"/>
    <col min="2569" max="2569" width="17.28515625" style="168" bestFit="1" customWidth="1"/>
    <col min="2570" max="2571" width="12.85546875" style="168" bestFit="1" customWidth="1"/>
    <col min="2572" max="2816" width="9.140625" style="168"/>
    <col min="2817" max="2819" width="9.140625" style="168" customWidth="1"/>
    <col min="2820" max="2820" width="14.42578125" style="168" bestFit="1" customWidth="1"/>
    <col min="2821" max="2822" width="9.140625" style="168" customWidth="1"/>
    <col min="2823" max="2823" width="20.85546875" style="168" bestFit="1" customWidth="1"/>
    <col min="2824" max="2824" width="15" style="168" bestFit="1" customWidth="1"/>
    <col min="2825" max="2825" width="17.28515625" style="168" bestFit="1" customWidth="1"/>
    <col min="2826" max="2827" width="12.85546875" style="168" bestFit="1" customWidth="1"/>
    <col min="2828" max="3072" width="9.140625" style="168"/>
    <col min="3073" max="3075" width="9.140625" style="168" customWidth="1"/>
    <col min="3076" max="3076" width="14.42578125" style="168" bestFit="1" customWidth="1"/>
    <col min="3077" max="3078" width="9.140625" style="168" customWidth="1"/>
    <col min="3079" max="3079" width="20.85546875" style="168" bestFit="1" customWidth="1"/>
    <col min="3080" max="3080" width="15" style="168" bestFit="1" customWidth="1"/>
    <col min="3081" max="3081" width="17.28515625" style="168" bestFit="1" customWidth="1"/>
    <col min="3082" max="3083" width="12.85546875" style="168" bestFit="1" customWidth="1"/>
    <col min="3084" max="3328" width="9.140625" style="168"/>
    <col min="3329" max="3331" width="9.140625" style="168" customWidth="1"/>
    <col min="3332" max="3332" width="14.42578125" style="168" bestFit="1" customWidth="1"/>
    <col min="3333" max="3334" width="9.140625" style="168" customWidth="1"/>
    <col min="3335" max="3335" width="20.85546875" style="168" bestFit="1" customWidth="1"/>
    <col min="3336" max="3336" width="15" style="168" bestFit="1" customWidth="1"/>
    <col min="3337" max="3337" width="17.28515625" style="168" bestFit="1" customWidth="1"/>
    <col min="3338" max="3339" width="12.85546875" style="168" bestFit="1" customWidth="1"/>
    <col min="3340" max="3584" width="9.140625" style="168"/>
    <col min="3585" max="3587" width="9.140625" style="168" customWidth="1"/>
    <col min="3588" max="3588" width="14.42578125" style="168" bestFit="1" customWidth="1"/>
    <col min="3589" max="3590" width="9.140625" style="168" customWidth="1"/>
    <col min="3591" max="3591" width="20.85546875" style="168" bestFit="1" customWidth="1"/>
    <col min="3592" max="3592" width="15" style="168" bestFit="1" customWidth="1"/>
    <col min="3593" max="3593" width="17.28515625" style="168" bestFit="1" customWidth="1"/>
    <col min="3594" max="3595" width="12.85546875" style="168" bestFit="1" customWidth="1"/>
    <col min="3596" max="3840" width="9.140625" style="168"/>
    <col min="3841" max="3843" width="9.140625" style="168" customWidth="1"/>
    <col min="3844" max="3844" width="14.42578125" style="168" bestFit="1" customWidth="1"/>
    <col min="3845" max="3846" width="9.140625" style="168" customWidth="1"/>
    <col min="3847" max="3847" width="20.85546875" style="168" bestFit="1" customWidth="1"/>
    <col min="3848" max="3848" width="15" style="168" bestFit="1" customWidth="1"/>
    <col min="3849" max="3849" width="17.28515625" style="168" bestFit="1" customWidth="1"/>
    <col min="3850" max="3851" width="12.85546875" style="168" bestFit="1" customWidth="1"/>
    <col min="3852" max="4096" width="9.140625" style="168"/>
    <col min="4097" max="4099" width="9.140625" style="168" customWidth="1"/>
    <col min="4100" max="4100" width="14.42578125" style="168" bestFit="1" customWidth="1"/>
    <col min="4101" max="4102" width="9.140625" style="168" customWidth="1"/>
    <col min="4103" max="4103" width="20.85546875" style="168" bestFit="1" customWidth="1"/>
    <col min="4104" max="4104" width="15" style="168" bestFit="1" customWidth="1"/>
    <col min="4105" max="4105" width="17.28515625" style="168" bestFit="1" customWidth="1"/>
    <col min="4106" max="4107" width="12.85546875" style="168" bestFit="1" customWidth="1"/>
    <col min="4108" max="4352" width="9.140625" style="168"/>
    <col min="4353" max="4355" width="9.140625" style="168" customWidth="1"/>
    <col min="4356" max="4356" width="14.42578125" style="168" bestFit="1" customWidth="1"/>
    <col min="4357" max="4358" width="9.140625" style="168" customWidth="1"/>
    <col min="4359" max="4359" width="20.85546875" style="168" bestFit="1" customWidth="1"/>
    <col min="4360" max="4360" width="15" style="168" bestFit="1" customWidth="1"/>
    <col min="4361" max="4361" width="17.28515625" style="168" bestFit="1" customWidth="1"/>
    <col min="4362" max="4363" width="12.85546875" style="168" bestFit="1" customWidth="1"/>
    <col min="4364" max="4608" width="9.140625" style="168"/>
    <col min="4609" max="4611" width="9.140625" style="168" customWidth="1"/>
    <col min="4612" max="4612" width="14.42578125" style="168" bestFit="1" customWidth="1"/>
    <col min="4613" max="4614" width="9.140625" style="168" customWidth="1"/>
    <col min="4615" max="4615" width="20.85546875" style="168" bestFit="1" customWidth="1"/>
    <col min="4616" max="4616" width="15" style="168" bestFit="1" customWidth="1"/>
    <col min="4617" max="4617" width="17.28515625" style="168" bestFit="1" customWidth="1"/>
    <col min="4618" max="4619" width="12.85546875" style="168" bestFit="1" customWidth="1"/>
    <col min="4620" max="4864" width="9.140625" style="168"/>
    <col min="4865" max="4867" width="9.140625" style="168" customWidth="1"/>
    <col min="4868" max="4868" width="14.42578125" style="168" bestFit="1" customWidth="1"/>
    <col min="4869" max="4870" width="9.140625" style="168" customWidth="1"/>
    <col min="4871" max="4871" width="20.85546875" style="168" bestFit="1" customWidth="1"/>
    <col min="4872" max="4872" width="15" style="168" bestFit="1" customWidth="1"/>
    <col min="4873" max="4873" width="17.28515625" style="168" bestFit="1" customWidth="1"/>
    <col min="4874" max="4875" width="12.85546875" style="168" bestFit="1" customWidth="1"/>
    <col min="4876" max="5120" width="9.140625" style="168"/>
    <col min="5121" max="5123" width="9.140625" style="168" customWidth="1"/>
    <col min="5124" max="5124" width="14.42578125" style="168" bestFit="1" customWidth="1"/>
    <col min="5125" max="5126" width="9.140625" style="168" customWidth="1"/>
    <col min="5127" max="5127" width="20.85546875" style="168" bestFit="1" customWidth="1"/>
    <col min="5128" max="5128" width="15" style="168" bestFit="1" customWidth="1"/>
    <col min="5129" max="5129" width="17.28515625" style="168" bestFit="1" customWidth="1"/>
    <col min="5130" max="5131" width="12.85546875" style="168" bestFit="1" customWidth="1"/>
    <col min="5132" max="5376" width="9.140625" style="168"/>
    <col min="5377" max="5379" width="9.140625" style="168" customWidth="1"/>
    <col min="5380" max="5380" width="14.42578125" style="168" bestFit="1" customWidth="1"/>
    <col min="5381" max="5382" width="9.140625" style="168" customWidth="1"/>
    <col min="5383" max="5383" width="20.85546875" style="168" bestFit="1" customWidth="1"/>
    <col min="5384" max="5384" width="15" style="168" bestFit="1" customWidth="1"/>
    <col min="5385" max="5385" width="17.28515625" style="168" bestFit="1" customWidth="1"/>
    <col min="5386" max="5387" width="12.85546875" style="168" bestFit="1" customWidth="1"/>
    <col min="5388" max="5632" width="9.140625" style="168"/>
    <col min="5633" max="5635" width="9.140625" style="168" customWidth="1"/>
    <col min="5636" max="5636" width="14.42578125" style="168" bestFit="1" customWidth="1"/>
    <col min="5637" max="5638" width="9.140625" style="168" customWidth="1"/>
    <col min="5639" max="5639" width="20.85546875" style="168" bestFit="1" customWidth="1"/>
    <col min="5640" max="5640" width="15" style="168" bestFit="1" customWidth="1"/>
    <col min="5641" max="5641" width="17.28515625" style="168" bestFit="1" customWidth="1"/>
    <col min="5642" max="5643" width="12.85546875" style="168" bestFit="1" customWidth="1"/>
    <col min="5644" max="5888" width="9.140625" style="168"/>
    <col min="5889" max="5891" width="9.140625" style="168" customWidth="1"/>
    <col min="5892" max="5892" width="14.42578125" style="168" bestFit="1" customWidth="1"/>
    <col min="5893" max="5894" width="9.140625" style="168" customWidth="1"/>
    <col min="5895" max="5895" width="20.85546875" style="168" bestFit="1" customWidth="1"/>
    <col min="5896" max="5896" width="15" style="168" bestFit="1" customWidth="1"/>
    <col min="5897" max="5897" width="17.28515625" style="168" bestFit="1" customWidth="1"/>
    <col min="5898" max="5899" width="12.85546875" style="168" bestFit="1" customWidth="1"/>
    <col min="5900" max="6144" width="9.140625" style="168"/>
    <col min="6145" max="6147" width="9.140625" style="168" customWidth="1"/>
    <col min="6148" max="6148" width="14.42578125" style="168" bestFit="1" customWidth="1"/>
    <col min="6149" max="6150" width="9.140625" style="168" customWidth="1"/>
    <col min="6151" max="6151" width="20.85546875" style="168" bestFit="1" customWidth="1"/>
    <col min="6152" max="6152" width="15" style="168" bestFit="1" customWidth="1"/>
    <col min="6153" max="6153" width="17.28515625" style="168" bestFit="1" customWidth="1"/>
    <col min="6154" max="6155" width="12.85546875" style="168" bestFit="1" customWidth="1"/>
    <col min="6156" max="6400" width="9.140625" style="168"/>
    <col min="6401" max="6403" width="9.140625" style="168" customWidth="1"/>
    <col min="6404" max="6404" width="14.42578125" style="168" bestFit="1" customWidth="1"/>
    <col min="6405" max="6406" width="9.140625" style="168" customWidth="1"/>
    <col min="6407" max="6407" width="20.85546875" style="168" bestFit="1" customWidth="1"/>
    <col min="6408" max="6408" width="15" style="168" bestFit="1" customWidth="1"/>
    <col min="6409" max="6409" width="17.28515625" style="168" bestFit="1" customWidth="1"/>
    <col min="6410" max="6411" width="12.85546875" style="168" bestFit="1" customWidth="1"/>
    <col min="6412" max="6656" width="9.140625" style="168"/>
    <col min="6657" max="6659" width="9.140625" style="168" customWidth="1"/>
    <col min="6660" max="6660" width="14.42578125" style="168" bestFit="1" customWidth="1"/>
    <col min="6661" max="6662" width="9.140625" style="168" customWidth="1"/>
    <col min="6663" max="6663" width="20.85546875" style="168" bestFit="1" customWidth="1"/>
    <col min="6664" max="6664" width="15" style="168" bestFit="1" customWidth="1"/>
    <col min="6665" max="6665" width="17.28515625" style="168" bestFit="1" customWidth="1"/>
    <col min="6666" max="6667" width="12.85546875" style="168" bestFit="1" customWidth="1"/>
    <col min="6668" max="6912" width="9.140625" style="168"/>
    <col min="6913" max="6915" width="9.140625" style="168" customWidth="1"/>
    <col min="6916" max="6916" width="14.42578125" style="168" bestFit="1" customWidth="1"/>
    <col min="6917" max="6918" width="9.140625" style="168" customWidth="1"/>
    <col min="6919" max="6919" width="20.85546875" style="168" bestFit="1" customWidth="1"/>
    <col min="6920" max="6920" width="15" style="168" bestFit="1" customWidth="1"/>
    <col min="6921" max="6921" width="17.28515625" style="168" bestFit="1" customWidth="1"/>
    <col min="6922" max="6923" width="12.85546875" style="168" bestFit="1" customWidth="1"/>
    <col min="6924" max="7168" width="9.140625" style="168"/>
    <col min="7169" max="7171" width="9.140625" style="168" customWidth="1"/>
    <col min="7172" max="7172" width="14.42578125" style="168" bestFit="1" customWidth="1"/>
    <col min="7173" max="7174" width="9.140625" style="168" customWidth="1"/>
    <col min="7175" max="7175" width="20.85546875" style="168" bestFit="1" customWidth="1"/>
    <col min="7176" max="7176" width="15" style="168" bestFit="1" customWidth="1"/>
    <col min="7177" max="7177" width="17.28515625" style="168" bestFit="1" customWidth="1"/>
    <col min="7178" max="7179" width="12.85546875" style="168" bestFit="1" customWidth="1"/>
    <col min="7180" max="7424" width="9.140625" style="168"/>
    <col min="7425" max="7427" width="9.140625" style="168" customWidth="1"/>
    <col min="7428" max="7428" width="14.42578125" style="168" bestFit="1" customWidth="1"/>
    <col min="7429" max="7430" width="9.140625" style="168" customWidth="1"/>
    <col min="7431" max="7431" width="20.85546875" style="168" bestFit="1" customWidth="1"/>
    <col min="7432" max="7432" width="15" style="168" bestFit="1" customWidth="1"/>
    <col min="7433" max="7433" width="17.28515625" style="168" bestFit="1" customWidth="1"/>
    <col min="7434" max="7435" width="12.85546875" style="168" bestFit="1" customWidth="1"/>
    <col min="7436" max="7680" width="9.140625" style="168"/>
    <col min="7681" max="7683" width="9.140625" style="168" customWidth="1"/>
    <col min="7684" max="7684" width="14.42578125" style="168" bestFit="1" customWidth="1"/>
    <col min="7685" max="7686" width="9.140625" style="168" customWidth="1"/>
    <col min="7687" max="7687" width="20.85546875" style="168" bestFit="1" customWidth="1"/>
    <col min="7688" max="7688" width="15" style="168" bestFit="1" customWidth="1"/>
    <col min="7689" max="7689" width="17.28515625" style="168" bestFit="1" customWidth="1"/>
    <col min="7690" max="7691" width="12.85546875" style="168" bestFit="1" customWidth="1"/>
    <col min="7692" max="7936" width="9.140625" style="168"/>
    <col min="7937" max="7939" width="9.140625" style="168" customWidth="1"/>
    <col min="7940" max="7940" width="14.42578125" style="168" bestFit="1" customWidth="1"/>
    <col min="7941" max="7942" width="9.140625" style="168" customWidth="1"/>
    <col min="7943" max="7943" width="20.85546875" style="168" bestFit="1" customWidth="1"/>
    <col min="7944" max="7944" width="15" style="168" bestFit="1" customWidth="1"/>
    <col min="7945" max="7945" width="17.28515625" style="168" bestFit="1" customWidth="1"/>
    <col min="7946" max="7947" width="12.85546875" style="168" bestFit="1" customWidth="1"/>
    <col min="7948" max="8192" width="9.140625" style="168"/>
    <col min="8193" max="8195" width="9.140625" style="168" customWidth="1"/>
    <col min="8196" max="8196" width="14.42578125" style="168" bestFit="1" customWidth="1"/>
    <col min="8197" max="8198" width="9.140625" style="168" customWidth="1"/>
    <col min="8199" max="8199" width="20.85546875" style="168" bestFit="1" customWidth="1"/>
    <col min="8200" max="8200" width="15" style="168" bestFit="1" customWidth="1"/>
    <col min="8201" max="8201" width="17.28515625" style="168" bestFit="1" customWidth="1"/>
    <col min="8202" max="8203" width="12.85546875" style="168" bestFit="1" customWidth="1"/>
    <col min="8204" max="8448" width="9.140625" style="168"/>
    <col min="8449" max="8451" width="9.140625" style="168" customWidth="1"/>
    <col min="8452" max="8452" width="14.42578125" style="168" bestFit="1" customWidth="1"/>
    <col min="8453" max="8454" width="9.140625" style="168" customWidth="1"/>
    <col min="8455" max="8455" width="20.85546875" style="168" bestFit="1" customWidth="1"/>
    <col min="8456" max="8456" width="15" style="168" bestFit="1" customWidth="1"/>
    <col min="8457" max="8457" width="17.28515625" style="168" bestFit="1" customWidth="1"/>
    <col min="8458" max="8459" width="12.85546875" style="168" bestFit="1" customWidth="1"/>
    <col min="8460" max="8704" width="9.140625" style="168"/>
    <col min="8705" max="8707" width="9.140625" style="168" customWidth="1"/>
    <col min="8708" max="8708" width="14.42578125" style="168" bestFit="1" customWidth="1"/>
    <col min="8709" max="8710" width="9.140625" style="168" customWidth="1"/>
    <col min="8711" max="8711" width="20.85546875" style="168" bestFit="1" customWidth="1"/>
    <col min="8712" max="8712" width="15" style="168" bestFit="1" customWidth="1"/>
    <col min="8713" max="8713" width="17.28515625" style="168" bestFit="1" customWidth="1"/>
    <col min="8714" max="8715" width="12.85546875" style="168" bestFit="1" customWidth="1"/>
    <col min="8716" max="8960" width="9.140625" style="168"/>
    <col min="8961" max="8963" width="9.140625" style="168" customWidth="1"/>
    <col min="8964" max="8964" width="14.42578125" style="168" bestFit="1" customWidth="1"/>
    <col min="8965" max="8966" width="9.140625" style="168" customWidth="1"/>
    <col min="8967" max="8967" width="20.85546875" style="168" bestFit="1" customWidth="1"/>
    <col min="8968" max="8968" width="15" style="168" bestFit="1" customWidth="1"/>
    <col min="8969" max="8969" width="17.28515625" style="168" bestFit="1" customWidth="1"/>
    <col min="8970" max="8971" width="12.85546875" style="168" bestFit="1" customWidth="1"/>
    <col min="8972" max="9216" width="9.140625" style="168"/>
    <col min="9217" max="9219" width="9.140625" style="168" customWidth="1"/>
    <col min="9220" max="9220" width="14.42578125" style="168" bestFit="1" customWidth="1"/>
    <col min="9221" max="9222" width="9.140625" style="168" customWidth="1"/>
    <col min="9223" max="9223" width="20.85546875" style="168" bestFit="1" customWidth="1"/>
    <col min="9224" max="9224" width="15" style="168" bestFit="1" customWidth="1"/>
    <col min="9225" max="9225" width="17.28515625" style="168" bestFit="1" customWidth="1"/>
    <col min="9226" max="9227" width="12.85546875" style="168" bestFit="1" customWidth="1"/>
    <col min="9228" max="9472" width="9.140625" style="168"/>
    <col min="9473" max="9475" width="9.140625" style="168" customWidth="1"/>
    <col min="9476" max="9476" width="14.42578125" style="168" bestFit="1" customWidth="1"/>
    <col min="9477" max="9478" width="9.140625" style="168" customWidth="1"/>
    <col min="9479" max="9479" width="20.85546875" style="168" bestFit="1" customWidth="1"/>
    <col min="9480" max="9480" width="15" style="168" bestFit="1" customWidth="1"/>
    <col min="9481" max="9481" width="17.28515625" style="168" bestFit="1" customWidth="1"/>
    <col min="9482" max="9483" width="12.85546875" style="168" bestFit="1" customWidth="1"/>
    <col min="9484" max="9728" width="9.140625" style="168"/>
    <col min="9729" max="9731" width="9.140625" style="168" customWidth="1"/>
    <col min="9732" max="9732" width="14.42578125" style="168" bestFit="1" customWidth="1"/>
    <col min="9733" max="9734" width="9.140625" style="168" customWidth="1"/>
    <col min="9735" max="9735" width="20.85546875" style="168" bestFit="1" customWidth="1"/>
    <col min="9736" max="9736" width="15" style="168" bestFit="1" customWidth="1"/>
    <col min="9737" max="9737" width="17.28515625" style="168" bestFit="1" customWidth="1"/>
    <col min="9738" max="9739" width="12.85546875" style="168" bestFit="1" customWidth="1"/>
    <col min="9740" max="9984" width="9.140625" style="168"/>
    <col min="9985" max="9987" width="9.140625" style="168" customWidth="1"/>
    <col min="9988" max="9988" width="14.42578125" style="168" bestFit="1" customWidth="1"/>
    <col min="9989" max="9990" width="9.140625" style="168" customWidth="1"/>
    <col min="9991" max="9991" width="20.85546875" style="168" bestFit="1" customWidth="1"/>
    <col min="9992" max="9992" width="15" style="168" bestFit="1" customWidth="1"/>
    <col min="9993" max="9993" width="17.28515625" style="168" bestFit="1" customWidth="1"/>
    <col min="9994" max="9995" width="12.85546875" style="168" bestFit="1" customWidth="1"/>
    <col min="9996" max="10240" width="9.140625" style="168"/>
    <col min="10241" max="10243" width="9.140625" style="168" customWidth="1"/>
    <col min="10244" max="10244" width="14.42578125" style="168" bestFit="1" customWidth="1"/>
    <col min="10245" max="10246" width="9.140625" style="168" customWidth="1"/>
    <col min="10247" max="10247" width="20.85546875" style="168" bestFit="1" customWidth="1"/>
    <col min="10248" max="10248" width="15" style="168" bestFit="1" customWidth="1"/>
    <col min="10249" max="10249" width="17.28515625" style="168" bestFit="1" customWidth="1"/>
    <col min="10250" max="10251" width="12.85546875" style="168" bestFit="1" customWidth="1"/>
    <col min="10252" max="10496" width="9.140625" style="168"/>
    <col min="10497" max="10499" width="9.140625" style="168" customWidth="1"/>
    <col min="10500" max="10500" width="14.42578125" style="168" bestFit="1" customWidth="1"/>
    <col min="10501" max="10502" width="9.140625" style="168" customWidth="1"/>
    <col min="10503" max="10503" width="20.85546875" style="168" bestFit="1" customWidth="1"/>
    <col min="10504" max="10504" width="15" style="168" bestFit="1" customWidth="1"/>
    <col min="10505" max="10505" width="17.28515625" style="168" bestFit="1" customWidth="1"/>
    <col min="10506" max="10507" width="12.85546875" style="168" bestFit="1" customWidth="1"/>
    <col min="10508" max="10752" width="9.140625" style="168"/>
    <col min="10753" max="10755" width="9.140625" style="168" customWidth="1"/>
    <col min="10756" max="10756" width="14.42578125" style="168" bestFit="1" customWidth="1"/>
    <col min="10757" max="10758" width="9.140625" style="168" customWidth="1"/>
    <col min="10759" max="10759" width="20.85546875" style="168" bestFit="1" customWidth="1"/>
    <col min="10760" max="10760" width="15" style="168" bestFit="1" customWidth="1"/>
    <col min="10761" max="10761" width="17.28515625" style="168" bestFit="1" customWidth="1"/>
    <col min="10762" max="10763" width="12.85546875" style="168" bestFit="1" customWidth="1"/>
    <col min="10764" max="11008" width="9.140625" style="168"/>
    <col min="11009" max="11011" width="9.140625" style="168" customWidth="1"/>
    <col min="11012" max="11012" width="14.42578125" style="168" bestFit="1" customWidth="1"/>
    <col min="11013" max="11014" width="9.140625" style="168" customWidth="1"/>
    <col min="11015" max="11015" width="20.85546875" style="168" bestFit="1" customWidth="1"/>
    <col min="11016" max="11016" width="15" style="168" bestFit="1" customWidth="1"/>
    <col min="11017" max="11017" width="17.28515625" style="168" bestFit="1" customWidth="1"/>
    <col min="11018" max="11019" width="12.85546875" style="168" bestFit="1" customWidth="1"/>
    <col min="11020" max="11264" width="9.140625" style="168"/>
    <col min="11265" max="11267" width="9.140625" style="168" customWidth="1"/>
    <col min="11268" max="11268" width="14.42578125" style="168" bestFit="1" customWidth="1"/>
    <col min="11269" max="11270" width="9.140625" style="168" customWidth="1"/>
    <col min="11271" max="11271" width="20.85546875" style="168" bestFit="1" customWidth="1"/>
    <col min="11272" max="11272" width="15" style="168" bestFit="1" customWidth="1"/>
    <col min="11273" max="11273" width="17.28515625" style="168" bestFit="1" customWidth="1"/>
    <col min="11274" max="11275" width="12.85546875" style="168" bestFit="1" customWidth="1"/>
    <col min="11276" max="11520" width="9.140625" style="168"/>
    <col min="11521" max="11523" width="9.140625" style="168" customWidth="1"/>
    <col min="11524" max="11524" width="14.42578125" style="168" bestFit="1" customWidth="1"/>
    <col min="11525" max="11526" width="9.140625" style="168" customWidth="1"/>
    <col min="11527" max="11527" width="20.85546875" style="168" bestFit="1" customWidth="1"/>
    <col min="11528" max="11528" width="15" style="168" bestFit="1" customWidth="1"/>
    <col min="11529" max="11529" width="17.28515625" style="168" bestFit="1" customWidth="1"/>
    <col min="11530" max="11531" width="12.85546875" style="168" bestFit="1" customWidth="1"/>
    <col min="11532" max="11776" width="9.140625" style="168"/>
    <col min="11777" max="11779" width="9.140625" style="168" customWidth="1"/>
    <col min="11780" max="11780" width="14.42578125" style="168" bestFit="1" customWidth="1"/>
    <col min="11781" max="11782" width="9.140625" style="168" customWidth="1"/>
    <col min="11783" max="11783" width="20.85546875" style="168" bestFit="1" customWidth="1"/>
    <col min="11784" max="11784" width="15" style="168" bestFit="1" customWidth="1"/>
    <col min="11785" max="11785" width="17.28515625" style="168" bestFit="1" customWidth="1"/>
    <col min="11786" max="11787" width="12.85546875" style="168" bestFit="1" customWidth="1"/>
    <col min="11788" max="12032" width="9.140625" style="168"/>
    <col min="12033" max="12035" width="9.140625" style="168" customWidth="1"/>
    <col min="12036" max="12036" width="14.42578125" style="168" bestFit="1" customWidth="1"/>
    <col min="12037" max="12038" width="9.140625" style="168" customWidth="1"/>
    <col min="12039" max="12039" width="20.85546875" style="168" bestFit="1" customWidth="1"/>
    <col min="12040" max="12040" width="15" style="168" bestFit="1" customWidth="1"/>
    <col min="12041" max="12041" width="17.28515625" style="168" bestFit="1" customWidth="1"/>
    <col min="12042" max="12043" width="12.85546875" style="168" bestFit="1" customWidth="1"/>
    <col min="12044" max="12288" width="9.140625" style="168"/>
    <col min="12289" max="12291" width="9.140625" style="168" customWidth="1"/>
    <col min="12292" max="12292" width="14.42578125" style="168" bestFit="1" customWidth="1"/>
    <col min="12293" max="12294" width="9.140625" style="168" customWidth="1"/>
    <col min="12295" max="12295" width="20.85546875" style="168" bestFit="1" customWidth="1"/>
    <col min="12296" max="12296" width="15" style="168" bestFit="1" customWidth="1"/>
    <col min="12297" max="12297" width="17.28515625" style="168" bestFit="1" customWidth="1"/>
    <col min="12298" max="12299" width="12.85546875" style="168" bestFit="1" customWidth="1"/>
    <col min="12300" max="12544" width="9.140625" style="168"/>
    <col min="12545" max="12547" width="9.140625" style="168" customWidth="1"/>
    <col min="12548" max="12548" width="14.42578125" style="168" bestFit="1" customWidth="1"/>
    <col min="12549" max="12550" width="9.140625" style="168" customWidth="1"/>
    <col min="12551" max="12551" width="20.85546875" style="168" bestFit="1" customWidth="1"/>
    <col min="12552" max="12552" width="15" style="168" bestFit="1" customWidth="1"/>
    <col min="12553" max="12553" width="17.28515625" style="168" bestFit="1" customWidth="1"/>
    <col min="12554" max="12555" width="12.85546875" style="168" bestFit="1" customWidth="1"/>
    <col min="12556" max="12800" width="9.140625" style="168"/>
    <col min="12801" max="12803" width="9.140625" style="168" customWidth="1"/>
    <col min="12804" max="12804" width="14.42578125" style="168" bestFit="1" customWidth="1"/>
    <col min="12805" max="12806" width="9.140625" style="168" customWidth="1"/>
    <col min="12807" max="12807" width="20.85546875" style="168" bestFit="1" customWidth="1"/>
    <col min="12808" max="12808" width="15" style="168" bestFit="1" customWidth="1"/>
    <col min="12809" max="12809" width="17.28515625" style="168" bestFit="1" customWidth="1"/>
    <col min="12810" max="12811" width="12.85546875" style="168" bestFit="1" customWidth="1"/>
    <col min="12812" max="13056" width="9.140625" style="168"/>
    <col min="13057" max="13059" width="9.140625" style="168" customWidth="1"/>
    <col min="13060" max="13060" width="14.42578125" style="168" bestFit="1" customWidth="1"/>
    <col min="13061" max="13062" width="9.140625" style="168" customWidth="1"/>
    <col min="13063" max="13063" width="20.85546875" style="168" bestFit="1" customWidth="1"/>
    <col min="13064" max="13064" width="15" style="168" bestFit="1" customWidth="1"/>
    <col min="13065" max="13065" width="17.28515625" style="168" bestFit="1" customWidth="1"/>
    <col min="13066" max="13067" width="12.85546875" style="168" bestFit="1" customWidth="1"/>
    <col min="13068" max="13312" width="9.140625" style="168"/>
    <col min="13313" max="13315" width="9.140625" style="168" customWidth="1"/>
    <col min="13316" max="13316" width="14.42578125" style="168" bestFit="1" customWidth="1"/>
    <col min="13317" max="13318" width="9.140625" style="168" customWidth="1"/>
    <col min="13319" max="13319" width="20.85546875" style="168" bestFit="1" customWidth="1"/>
    <col min="13320" max="13320" width="15" style="168" bestFit="1" customWidth="1"/>
    <col min="13321" max="13321" width="17.28515625" style="168" bestFit="1" customWidth="1"/>
    <col min="13322" max="13323" width="12.85546875" style="168" bestFit="1" customWidth="1"/>
    <col min="13324" max="13568" width="9.140625" style="168"/>
    <col min="13569" max="13571" width="9.140625" style="168" customWidth="1"/>
    <col min="13572" max="13572" width="14.42578125" style="168" bestFit="1" customWidth="1"/>
    <col min="13573" max="13574" width="9.140625" style="168" customWidth="1"/>
    <col min="13575" max="13575" width="20.85546875" style="168" bestFit="1" customWidth="1"/>
    <col min="13576" max="13576" width="15" style="168" bestFit="1" customWidth="1"/>
    <col min="13577" max="13577" width="17.28515625" style="168" bestFit="1" customWidth="1"/>
    <col min="13578" max="13579" width="12.85546875" style="168" bestFit="1" customWidth="1"/>
    <col min="13580" max="13824" width="9.140625" style="168"/>
    <col min="13825" max="13827" width="9.140625" style="168" customWidth="1"/>
    <col min="13828" max="13828" width="14.42578125" style="168" bestFit="1" customWidth="1"/>
    <col min="13829" max="13830" width="9.140625" style="168" customWidth="1"/>
    <col min="13831" max="13831" width="20.85546875" style="168" bestFit="1" customWidth="1"/>
    <col min="13832" max="13832" width="15" style="168" bestFit="1" customWidth="1"/>
    <col min="13833" max="13833" width="17.28515625" style="168" bestFit="1" customWidth="1"/>
    <col min="13834" max="13835" width="12.85546875" style="168" bestFit="1" customWidth="1"/>
    <col min="13836" max="14080" width="9.140625" style="168"/>
    <col min="14081" max="14083" width="9.140625" style="168" customWidth="1"/>
    <col min="14084" max="14084" width="14.42578125" style="168" bestFit="1" customWidth="1"/>
    <col min="14085" max="14086" width="9.140625" style="168" customWidth="1"/>
    <col min="14087" max="14087" width="20.85546875" style="168" bestFit="1" customWidth="1"/>
    <col min="14088" max="14088" width="15" style="168" bestFit="1" customWidth="1"/>
    <col min="14089" max="14089" width="17.28515625" style="168" bestFit="1" customWidth="1"/>
    <col min="14090" max="14091" width="12.85546875" style="168" bestFit="1" customWidth="1"/>
    <col min="14092" max="14336" width="9.140625" style="168"/>
    <col min="14337" max="14339" width="9.140625" style="168" customWidth="1"/>
    <col min="14340" max="14340" width="14.42578125" style="168" bestFit="1" customWidth="1"/>
    <col min="14341" max="14342" width="9.140625" style="168" customWidth="1"/>
    <col min="14343" max="14343" width="20.85546875" style="168" bestFit="1" customWidth="1"/>
    <col min="14344" max="14344" width="15" style="168" bestFit="1" customWidth="1"/>
    <col min="14345" max="14345" width="17.28515625" style="168" bestFit="1" customWidth="1"/>
    <col min="14346" max="14347" width="12.85546875" style="168" bestFit="1" customWidth="1"/>
    <col min="14348" max="14592" width="9.140625" style="168"/>
    <col min="14593" max="14595" width="9.140625" style="168" customWidth="1"/>
    <col min="14596" max="14596" width="14.42578125" style="168" bestFit="1" customWidth="1"/>
    <col min="14597" max="14598" width="9.140625" style="168" customWidth="1"/>
    <col min="14599" max="14599" width="20.85546875" style="168" bestFit="1" customWidth="1"/>
    <col min="14600" max="14600" width="15" style="168" bestFit="1" customWidth="1"/>
    <col min="14601" max="14601" width="17.28515625" style="168" bestFit="1" customWidth="1"/>
    <col min="14602" max="14603" width="12.85546875" style="168" bestFit="1" customWidth="1"/>
    <col min="14604" max="14848" width="9.140625" style="168"/>
    <col min="14849" max="14851" width="9.140625" style="168" customWidth="1"/>
    <col min="14852" max="14852" width="14.42578125" style="168" bestFit="1" customWidth="1"/>
    <col min="14853" max="14854" width="9.140625" style="168" customWidth="1"/>
    <col min="14855" max="14855" width="20.85546875" style="168" bestFit="1" customWidth="1"/>
    <col min="14856" max="14856" width="15" style="168" bestFit="1" customWidth="1"/>
    <col min="14857" max="14857" width="17.28515625" style="168" bestFit="1" customWidth="1"/>
    <col min="14858" max="14859" width="12.85546875" style="168" bestFit="1" customWidth="1"/>
    <col min="14860" max="15104" width="9.140625" style="168"/>
    <col min="15105" max="15107" width="9.140625" style="168" customWidth="1"/>
    <col min="15108" max="15108" width="14.42578125" style="168" bestFit="1" customWidth="1"/>
    <col min="15109" max="15110" width="9.140625" style="168" customWidth="1"/>
    <col min="15111" max="15111" width="20.85546875" style="168" bestFit="1" customWidth="1"/>
    <col min="15112" max="15112" width="15" style="168" bestFit="1" customWidth="1"/>
    <col min="15113" max="15113" width="17.28515625" style="168" bestFit="1" customWidth="1"/>
    <col min="15114" max="15115" width="12.85546875" style="168" bestFit="1" customWidth="1"/>
    <col min="15116" max="15360" width="9.140625" style="168"/>
    <col min="15361" max="15363" width="9.140625" style="168" customWidth="1"/>
    <col min="15364" max="15364" width="14.42578125" style="168" bestFit="1" customWidth="1"/>
    <col min="15365" max="15366" width="9.140625" style="168" customWidth="1"/>
    <col min="15367" max="15367" width="20.85546875" style="168" bestFit="1" customWidth="1"/>
    <col min="15368" max="15368" width="15" style="168" bestFit="1" customWidth="1"/>
    <col min="15369" max="15369" width="17.28515625" style="168" bestFit="1" customWidth="1"/>
    <col min="15370" max="15371" width="12.85546875" style="168" bestFit="1" customWidth="1"/>
    <col min="15372" max="15616" width="9.140625" style="168"/>
    <col min="15617" max="15619" width="9.140625" style="168" customWidth="1"/>
    <col min="15620" max="15620" width="14.42578125" style="168" bestFit="1" customWidth="1"/>
    <col min="15621" max="15622" width="9.140625" style="168" customWidth="1"/>
    <col min="15623" max="15623" width="20.85546875" style="168" bestFit="1" customWidth="1"/>
    <col min="15624" max="15624" width="15" style="168" bestFit="1" customWidth="1"/>
    <col min="15625" max="15625" width="17.28515625" style="168" bestFit="1" customWidth="1"/>
    <col min="15626" max="15627" width="12.85546875" style="168" bestFit="1" customWidth="1"/>
    <col min="15628" max="15872" width="9.140625" style="168"/>
    <col min="15873" max="15875" width="9.140625" style="168" customWidth="1"/>
    <col min="15876" max="15876" width="14.42578125" style="168" bestFit="1" customWidth="1"/>
    <col min="15877" max="15878" width="9.140625" style="168" customWidth="1"/>
    <col min="15879" max="15879" width="20.85546875" style="168" bestFit="1" customWidth="1"/>
    <col min="15880" max="15880" width="15" style="168" bestFit="1" customWidth="1"/>
    <col min="15881" max="15881" width="17.28515625" style="168" bestFit="1" customWidth="1"/>
    <col min="15882" max="15883" width="12.85546875" style="168" bestFit="1" customWidth="1"/>
    <col min="15884" max="16128" width="9.140625" style="168"/>
    <col min="16129" max="16131" width="9.140625" style="168" customWidth="1"/>
    <col min="16132" max="16132" width="14.42578125" style="168" bestFit="1" customWidth="1"/>
    <col min="16133" max="16134" width="9.140625" style="168" customWidth="1"/>
    <col min="16135" max="16135" width="20.85546875" style="168" bestFit="1" customWidth="1"/>
    <col min="16136" max="16136" width="15" style="168" bestFit="1" customWidth="1"/>
    <col min="16137" max="16137" width="17.28515625" style="168" bestFit="1" customWidth="1"/>
    <col min="16138" max="16139" width="12.85546875" style="168" bestFit="1" customWidth="1"/>
    <col min="16140" max="16384" width="9.140625" style="168"/>
  </cols>
  <sheetData>
    <row r="6" spans="1:9" ht="24.75" thickBot="1" x14ac:dyDescent="0.45">
      <c r="A6" s="1040" t="s">
        <v>229</v>
      </c>
      <c r="B6" s="1040"/>
      <c r="C6" s="1040"/>
      <c r="D6" s="1040"/>
      <c r="E6" s="1040"/>
      <c r="F6" s="1040"/>
      <c r="G6" s="1040"/>
    </row>
    <row r="7" spans="1:9" ht="14.25" thickBot="1" x14ac:dyDescent="0.3">
      <c r="A7" s="1005" t="s">
        <v>398</v>
      </c>
      <c r="B7" s="1006"/>
      <c r="C7" s="1006"/>
      <c r="D7" s="1006"/>
      <c r="E7" s="1006"/>
      <c r="F7" s="1006"/>
      <c r="G7" s="1007"/>
    </row>
    <row r="8" spans="1:9" ht="13.5" x14ac:dyDescent="0.25">
      <c r="A8" s="1008"/>
      <c r="B8" s="1009"/>
      <c r="C8" s="1009"/>
      <c r="D8" s="1009"/>
      <c r="E8" s="1009"/>
      <c r="F8" s="1009"/>
      <c r="G8" s="1010"/>
    </row>
    <row r="9" spans="1:9" x14ac:dyDescent="0.2">
      <c r="A9" s="169"/>
      <c r="B9" s="170"/>
      <c r="C9" s="171"/>
      <c r="D9" s="172"/>
      <c r="E9" s="172"/>
      <c r="F9" s="172"/>
      <c r="G9" s="173"/>
    </row>
    <row r="10" spans="1:9" x14ac:dyDescent="0.2">
      <c r="A10" s="174" t="s">
        <v>399</v>
      </c>
      <c r="B10" s="175" t="s">
        <v>400</v>
      </c>
      <c r="C10" s="175"/>
      <c r="D10" s="175"/>
      <c r="E10" s="176" t="s">
        <v>423</v>
      </c>
      <c r="F10" s="171"/>
      <c r="G10" s="177"/>
    </row>
    <row r="11" spans="1:9" x14ac:dyDescent="0.2">
      <c r="A11" s="174"/>
      <c r="B11" s="175"/>
      <c r="C11" s="175"/>
      <c r="D11" s="175"/>
      <c r="E11" s="176"/>
      <c r="F11" s="171"/>
      <c r="G11" s="177"/>
    </row>
    <row r="12" spans="1:9" x14ac:dyDescent="0.2">
      <c r="A12" s="1011"/>
      <c r="B12" s="1001"/>
      <c r="C12" s="1001"/>
      <c r="D12" s="1001"/>
      <c r="E12" s="1001"/>
      <c r="F12" s="1001"/>
      <c r="G12" s="178" t="s">
        <v>402</v>
      </c>
    </row>
    <row r="13" spans="1:9" ht="13.5" thickBot="1" x14ac:dyDescent="0.25">
      <c r="A13" s="1045" t="s">
        <v>403</v>
      </c>
      <c r="B13" s="1046"/>
      <c r="C13" s="1046"/>
      <c r="D13" s="1046"/>
      <c r="E13" s="1046"/>
      <c r="F13" s="181"/>
      <c r="G13" s="216">
        <v>1378.410000000149</v>
      </c>
      <c r="H13" s="183"/>
      <c r="I13" s="184"/>
    </row>
    <row r="14" spans="1:9" ht="13.5" thickTop="1" x14ac:dyDescent="0.2">
      <c r="A14" s="185" t="s">
        <v>404</v>
      </c>
      <c r="B14" s="186"/>
      <c r="C14" s="186"/>
      <c r="D14" s="186"/>
      <c r="E14" s="187"/>
      <c r="F14" s="187"/>
      <c r="G14" s="188"/>
    </row>
    <row r="15" spans="1:9" x14ac:dyDescent="0.2">
      <c r="A15" s="190" t="s">
        <v>424</v>
      </c>
      <c r="B15" s="187"/>
      <c r="C15" s="187"/>
      <c r="D15" s="187"/>
      <c r="E15" s="1012"/>
      <c r="F15" s="1012"/>
      <c r="G15" s="191">
        <v>0</v>
      </c>
      <c r="H15" s="183"/>
    </row>
    <row r="16" spans="1:9" x14ac:dyDescent="0.2">
      <c r="A16" s="190" t="s">
        <v>425</v>
      </c>
      <c r="B16" s="187"/>
      <c r="C16" s="187"/>
      <c r="D16" s="187"/>
      <c r="E16" s="192"/>
      <c r="F16" s="192"/>
      <c r="G16" s="191">
        <v>0</v>
      </c>
      <c r="H16" s="183"/>
    </row>
    <row r="17" spans="1:11" x14ac:dyDescent="0.2">
      <c r="A17" s="190" t="s">
        <v>407</v>
      </c>
      <c r="B17" s="187"/>
      <c r="C17" s="187"/>
      <c r="D17" s="187"/>
      <c r="E17" s="192"/>
      <c r="F17" s="192"/>
      <c r="G17" s="245">
        <f>+'[8]DEPOSITOS '!B10</f>
        <v>7793823.3200000003</v>
      </c>
    </row>
    <row r="18" spans="1:11" x14ac:dyDescent="0.2">
      <c r="A18" s="190" t="s">
        <v>408</v>
      </c>
      <c r="B18" s="187"/>
      <c r="C18" s="187"/>
      <c r="D18" s="187"/>
      <c r="E18" s="192"/>
      <c r="F18" s="192"/>
      <c r="G18" s="195"/>
    </row>
    <row r="19" spans="1:11" x14ac:dyDescent="0.2">
      <c r="A19" s="179"/>
      <c r="B19" s="180"/>
      <c r="C19" s="180"/>
      <c r="D19" s="180"/>
      <c r="E19" s="187"/>
      <c r="F19" s="187"/>
      <c r="G19" s="196">
        <f>+G13+G15+G17+G18+G16</f>
        <v>7795201.7300000004</v>
      </c>
    </row>
    <row r="20" spans="1:11" x14ac:dyDescent="0.2">
      <c r="A20" s="185" t="s">
        <v>409</v>
      </c>
      <c r="B20" s="186"/>
      <c r="C20" s="187"/>
      <c r="D20" s="187"/>
      <c r="E20" s="187"/>
      <c r="F20" s="187"/>
      <c r="G20" s="188"/>
      <c r="I20" s="243"/>
      <c r="K20" s="167"/>
    </row>
    <row r="21" spans="1:11" x14ac:dyDescent="0.2">
      <c r="A21" s="190" t="s">
        <v>410</v>
      </c>
      <c r="B21" s="187"/>
      <c r="C21" s="186"/>
      <c r="D21" s="186"/>
      <c r="E21" s="187"/>
      <c r="F21" s="187"/>
      <c r="G21" s="204">
        <f>-'[8]CHEQUES EMITIDOS'!D10</f>
        <v>-40000</v>
      </c>
      <c r="I21" s="199"/>
      <c r="K21" s="167"/>
    </row>
    <row r="22" spans="1:11" x14ac:dyDescent="0.2">
      <c r="A22" s="200" t="s">
        <v>411</v>
      </c>
      <c r="B22" s="201"/>
      <c r="C22" s="202"/>
      <c r="D22" s="203"/>
      <c r="E22" s="201"/>
      <c r="F22" s="201"/>
      <c r="G22" s="204">
        <f>-[8]NOMINAS!D10</f>
        <v>0</v>
      </c>
      <c r="I22" s="199"/>
    </row>
    <row r="23" spans="1:11" x14ac:dyDescent="0.2">
      <c r="A23" s="205" t="s">
        <v>412</v>
      </c>
      <c r="B23" s="206"/>
      <c r="C23" s="206"/>
      <c r="D23" s="201"/>
      <c r="E23" s="207"/>
      <c r="F23" s="208"/>
      <c r="G23" s="209">
        <f>-'[8]CARGOS BANCARIOS '!H61</f>
        <v>-12102.28</v>
      </c>
      <c r="I23" s="199"/>
    </row>
    <row r="24" spans="1:11" x14ac:dyDescent="0.2">
      <c r="A24" s="205" t="s">
        <v>413</v>
      </c>
      <c r="B24" s="206"/>
      <c r="C24" s="206"/>
      <c r="D24" s="201"/>
      <c r="E24" s="207"/>
      <c r="F24" s="207"/>
      <c r="G24" s="209">
        <f>-'[8]TRANSF. '!D26</f>
        <v>-7742978.2000000002</v>
      </c>
      <c r="I24" s="199"/>
      <c r="J24" s="211"/>
      <c r="K24" s="167"/>
    </row>
    <row r="25" spans="1:11" x14ac:dyDescent="0.2">
      <c r="A25" s="190" t="s">
        <v>414</v>
      </c>
      <c r="B25" s="206"/>
      <c r="C25" s="206"/>
      <c r="D25" s="201"/>
      <c r="E25" s="207"/>
      <c r="F25" s="207"/>
      <c r="G25" s="209"/>
      <c r="I25" s="199"/>
      <c r="J25" s="211"/>
    </row>
    <row r="26" spans="1:11" x14ac:dyDescent="0.2">
      <c r="A26" s="212" t="s">
        <v>415</v>
      </c>
      <c r="B26" s="213"/>
      <c r="C26" s="213"/>
      <c r="D26" s="213"/>
      <c r="E26" s="213"/>
      <c r="F26" s="213"/>
      <c r="G26" s="246">
        <f>SUM(G21:G25)</f>
        <v>-7795080.4800000004</v>
      </c>
      <c r="I26" s="199"/>
      <c r="J26" s="211"/>
    </row>
    <row r="27" spans="1:11" ht="13.5" thickBot="1" x14ac:dyDescent="0.25">
      <c r="A27" s="998" t="s">
        <v>416</v>
      </c>
      <c r="B27" s="999"/>
      <c r="C27" s="215"/>
      <c r="D27" s="215"/>
      <c r="E27" s="1000"/>
      <c r="F27" s="1000"/>
      <c r="G27" s="216">
        <f>+G19+G26</f>
        <v>121.25</v>
      </c>
      <c r="I27" s="184"/>
    </row>
    <row r="28" spans="1:11" ht="15.75" thickTop="1" x14ac:dyDescent="0.25">
      <c r="A28" s="217"/>
      <c r="B28" s="218"/>
      <c r="C28" s="215"/>
      <c r="D28" s="215"/>
      <c r="E28" s="219"/>
      <c r="F28" s="219"/>
      <c r="G28" s="220"/>
      <c r="H28" s="221"/>
      <c r="I28" s="222"/>
    </row>
    <row r="29" spans="1:11" ht="15" x14ac:dyDescent="0.25">
      <c r="A29" s="217"/>
      <c r="B29" s="218"/>
      <c r="C29" s="215"/>
      <c r="D29" s="215"/>
      <c r="E29" s="223"/>
      <c r="F29" s="219"/>
      <c r="G29" s="220"/>
      <c r="I29" s="224"/>
    </row>
    <row r="30" spans="1:11" x14ac:dyDescent="0.2">
      <c r="A30" s="190"/>
      <c r="B30" s="187"/>
      <c r="C30" s="187"/>
      <c r="D30" s="187"/>
      <c r="E30" s="187"/>
      <c r="F30" s="187"/>
      <c r="G30" s="178" t="s">
        <v>417</v>
      </c>
    </row>
    <row r="31" spans="1:11" ht="15" x14ac:dyDescent="0.25">
      <c r="A31" s="179" t="s">
        <v>418</v>
      </c>
      <c r="B31" s="180"/>
      <c r="C31" s="180"/>
      <c r="D31" s="180"/>
      <c r="E31" s="1001"/>
      <c r="F31" s="1001"/>
      <c r="G31" s="225">
        <v>121.25</v>
      </c>
      <c r="H31" s="226"/>
      <c r="I31" s="184"/>
    </row>
    <row r="32" spans="1:11" x14ac:dyDescent="0.2">
      <c r="A32" s="185" t="s">
        <v>404</v>
      </c>
      <c r="B32" s="186"/>
      <c r="C32" s="186"/>
      <c r="D32" s="186"/>
      <c r="E32" s="187"/>
      <c r="F32" s="187"/>
      <c r="G32" s="227"/>
    </row>
    <row r="33" spans="1:12" x14ac:dyDescent="0.2">
      <c r="A33" s="190" t="s">
        <v>419</v>
      </c>
      <c r="B33" s="187"/>
      <c r="C33" s="187"/>
      <c r="D33" s="187"/>
      <c r="E33" s="1001"/>
      <c r="F33" s="1001"/>
      <c r="G33" s="188"/>
    </row>
    <row r="34" spans="1:12" x14ac:dyDescent="0.2">
      <c r="A34" s="190"/>
      <c r="B34" s="187"/>
      <c r="C34" s="187"/>
      <c r="D34" s="187"/>
      <c r="E34" s="228"/>
      <c r="F34" s="228"/>
      <c r="G34" s="188"/>
    </row>
    <row r="35" spans="1:12" x14ac:dyDescent="0.2">
      <c r="A35" s="179" t="s">
        <v>420</v>
      </c>
      <c r="B35" s="180"/>
      <c r="C35" s="180"/>
      <c r="D35" s="180"/>
      <c r="E35" s="1042"/>
      <c r="F35" s="1042"/>
      <c r="G35" s="229">
        <f>SUM(G31:G34)</f>
        <v>121.25</v>
      </c>
    </row>
    <row r="36" spans="1:12" x14ac:dyDescent="0.2">
      <c r="A36" s="190"/>
      <c r="B36" s="187"/>
      <c r="C36" s="187"/>
      <c r="D36" s="187"/>
      <c r="E36" s="187"/>
      <c r="F36" s="187"/>
      <c r="G36" s="227"/>
    </row>
    <row r="37" spans="1:12" x14ac:dyDescent="0.2">
      <c r="A37" s="185" t="s">
        <v>409</v>
      </c>
      <c r="B37" s="186"/>
      <c r="C37" s="186"/>
      <c r="D37" s="186"/>
      <c r="E37" s="187"/>
      <c r="F37" s="187"/>
      <c r="G37" s="188"/>
    </row>
    <row r="38" spans="1:12" x14ac:dyDescent="0.2">
      <c r="A38" s="205" t="s">
        <v>421</v>
      </c>
      <c r="B38" s="187"/>
      <c r="C38" s="187"/>
      <c r="D38" s="187"/>
      <c r="E38" s="230"/>
      <c r="F38" s="230"/>
      <c r="G38" s="231">
        <f>-'[8]TRANSFERENCIAS EN TRANSITO'!D11</f>
        <v>0</v>
      </c>
      <c r="I38" s="232"/>
      <c r="J38" s="233"/>
      <c r="K38" s="234"/>
      <c r="L38" s="235"/>
    </row>
    <row r="39" spans="1:12" x14ac:dyDescent="0.2">
      <c r="A39" s="205" t="s">
        <v>422</v>
      </c>
      <c r="B39" s="187"/>
      <c r="C39" s="187"/>
      <c r="D39" s="187"/>
      <c r="E39" s="230"/>
      <c r="F39" s="230"/>
      <c r="G39" s="231">
        <v>0</v>
      </c>
      <c r="I39" s="232"/>
      <c r="J39" s="233"/>
      <c r="K39" s="234"/>
      <c r="L39" s="235"/>
    </row>
    <row r="40" spans="1:12" x14ac:dyDescent="0.2">
      <c r="A40" s="190"/>
      <c r="B40" s="187"/>
      <c r="C40" s="187"/>
      <c r="D40" s="187"/>
      <c r="E40" s="230"/>
      <c r="F40" s="230"/>
      <c r="G40" s="182">
        <v>0</v>
      </c>
      <c r="I40" s="232"/>
      <c r="J40" s="233"/>
      <c r="K40" s="234"/>
      <c r="L40" s="235"/>
    </row>
    <row r="41" spans="1:12" x14ac:dyDescent="0.2">
      <c r="A41" s="190"/>
      <c r="B41" s="187"/>
      <c r="C41" s="187"/>
      <c r="D41" s="187"/>
      <c r="E41" s="230"/>
      <c r="F41" s="230"/>
      <c r="G41" s="188"/>
      <c r="I41" s="232"/>
      <c r="J41" s="233"/>
      <c r="K41" s="234"/>
      <c r="L41" s="235"/>
    </row>
    <row r="42" spans="1:12" ht="13.5" thickBot="1" x14ac:dyDescent="0.25">
      <c r="A42" s="998" t="s">
        <v>416</v>
      </c>
      <c r="B42" s="999"/>
      <c r="C42" s="215"/>
      <c r="D42" s="215"/>
      <c r="E42" s="236"/>
      <c r="F42" s="236"/>
      <c r="G42" s="216">
        <f>+G35+G40</f>
        <v>121.25</v>
      </c>
      <c r="I42" s="184"/>
    </row>
    <row r="43" spans="1:12" ht="14.25" thickTop="1" thickBot="1" x14ac:dyDescent="0.25">
      <c r="A43" s="237"/>
      <c r="B43" s="238"/>
      <c r="C43" s="238"/>
      <c r="D43" s="238"/>
      <c r="E43" s="239"/>
      <c r="F43" s="239"/>
      <c r="G43" s="240"/>
      <c r="H43" s="183"/>
    </row>
    <row r="44" spans="1:12" x14ac:dyDescent="0.2">
      <c r="A44" s="180"/>
      <c r="B44" s="180"/>
      <c r="C44" s="180"/>
      <c r="D44" s="180"/>
      <c r="E44" s="187"/>
      <c r="F44" s="187"/>
      <c r="G44" s="241">
        <f>+G42-G27</f>
        <v>0</v>
      </c>
      <c r="H44" s="242"/>
    </row>
    <row r="45" spans="1:12" x14ac:dyDescent="0.2">
      <c r="A45" s="180"/>
      <c r="B45" s="180"/>
      <c r="C45" s="180"/>
      <c r="D45" s="180"/>
      <c r="E45" s="187"/>
      <c r="F45" s="187"/>
      <c r="G45" s="241"/>
      <c r="I45" s="243"/>
    </row>
    <row r="46" spans="1:12" x14ac:dyDescent="0.2">
      <c r="A46" s="180"/>
      <c r="B46" s="180"/>
      <c r="C46" s="180"/>
      <c r="D46" s="180"/>
      <c r="E46" s="187"/>
      <c r="F46" s="187"/>
      <c r="G46" s="241"/>
    </row>
    <row r="47" spans="1:12" x14ac:dyDescent="0.2">
      <c r="A47" s="180"/>
      <c r="B47" s="180"/>
      <c r="C47" s="180"/>
      <c r="D47" s="1043"/>
      <c r="E47" s="1043"/>
      <c r="F47" s="1043"/>
      <c r="G47" s="1043"/>
    </row>
    <row r="48" spans="1:12" x14ac:dyDescent="0.2">
      <c r="A48" s="180"/>
      <c r="B48" s="180"/>
      <c r="C48" s="180"/>
      <c r="D48" s="1044"/>
      <c r="E48" s="1044"/>
      <c r="F48" s="1044"/>
      <c r="G48" s="1044"/>
    </row>
    <row r="49" spans="1:7" x14ac:dyDescent="0.2">
      <c r="C49" s="171"/>
      <c r="D49" s="171"/>
      <c r="E49" s="171"/>
      <c r="F49" s="171"/>
      <c r="G49" s="171"/>
    </row>
    <row r="50" spans="1:7" x14ac:dyDescent="0.2">
      <c r="A50" s="244"/>
      <c r="B50" s="244"/>
      <c r="C50" s="171"/>
      <c r="D50" s="171"/>
      <c r="E50" s="171"/>
      <c r="F50" s="171"/>
      <c r="G50" s="171"/>
    </row>
    <row r="51" spans="1:7" x14ac:dyDescent="0.2">
      <c r="A51" s="244"/>
      <c r="B51" s="244"/>
      <c r="C51" s="171"/>
      <c r="D51" s="171"/>
      <c r="E51" s="171"/>
      <c r="F51" s="171"/>
      <c r="G51" s="171"/>
    </row>
    <row r="52" spans="1:7" x14ac:dyDescent="0.2">
      <c r="A52" s="244"/>
      <c r="B52" s="244"/>
      <c r="C52" s="171"/>
      <c r="D52" s="1044"/>
      <c r="E52" s="1044"/>
      <c r="F52" s="1044"/>
      <c r="G52" s="1044"/>
    </row>
    <row r="53" spans="1:7" x14ac:dyDescent="0.2">
      <c r="A53" s="244"/>
      <c r="B53" s="244"/>
      <c r="D53" s="1041"/>
      <c r="E53" s="1041"/>
      <c r="F53" s="1041"/>
      <c r="G53" s="1041"/>
    </row>
    <row r="312" spans="11:11" x14ac:dyDescent="0.2">
      <c r="K312" s="184"/>
    </row>
    <row r="313" spans="11:11" x14ac:dyDescent="0.2">
      <c r="K313" s="184"/>
    </row>
    <row r="314" spans="11:11" x14ac:dyDescent="0.2">
      <c r="K314" s="184"/>
    </row>
    <row r="315" spans="11:11" x14ac:dyDescent="0.2">
      <c r="K315" s="184"/>
    </row>
  </sheetData>
  <mergeCells count="16">
    <mergeCell ref="E15:F15"/>
    <mergeCell ref="A6:G6"/>
    <mergeCell ref="A7:G7"/>
    <mergeCell ref="A8:G8"/>
    <mergeCell ref="A12:F12"/>
    <mergeCell ref="A13:E13"/>
    <mergeCell ref="D47:G47"/>
    <mergeCell ref="D48:G48"/>
    <mergeCell ref="D52:G52"/>
    <mergeCell ref="D53:G53"/>
    <mergeCell ref="A27:B27"/>
    <mergeCell ref="E27:F27"/>
    <mergeCell ref="E31:F31"/>
    <mergeCell ref="E33:F33"/>
    <mergeCell ref="E35:F35"/>
    <mergeCell ref="A42:B42"/>
  </mergeCells>
  <pageMargins left="0.7" right="0.7" top="0.75" bottom="0.75" header="0.3" footer="0.3"/>
  <pageSetup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L315"/>
  <sheetViews>
    <sheetView topLeftCell="A4" zoomScaleNormal="100" workbookViewId="0">
      <selection activeCell="G62" sqref="G62"/>
    </sheetView>
  </sheetViews>
  <sheetFormatPr baseColWidth="10" defaultColWidth="9.140625" defaultRowHeight="12.75" x14ac:dyDescent="0.2"/>
  <cols>
    <col min="1" max="3" width="9.140625" style="168" customWidth="1"/>
    <col min="4" max="4" width="14.42578125" style="168" bestFit="1" customWidth="1"/>
    <col min="5" max="6" width="9.140625" style="168" customWidth="1"/>
    <col min="7" max="7" width="20.85546875" style="168" bestFit="1" customWidth="1"/>
    <col min="8" max="8" width="15" style="167" bestFit="1" customWidth="1"/>
    <col min="9" max="9" width="17.28515625" style="168" bestFit="1" customWidth="1"/>
    <col min="10" max="10" width="12.85546875" style="167" bestFit="1" customWidth="1"/>
    <col min="11" max="11" width="12.85546875" style="168" bestFit="1" customWidth="1"/>
    <col min="12" max="256" width="9.140625" style="168"/>
    <col min="257" max="259" width="9.140625" style="168" customWidth="1"/>
    <col min="260" max="260" width="14.42578125" style="168" bestFit="1" customWidth="1"/>
    <col min="261" max="262" width="9.140625" style="168" customWidth="1"/>
    <col min="263" max="263" width="20.85546875" style="168" bestFit="1" customWidth="1"/>
    <col min="264" max="264" width="15" style="168" bestFit="1" customWidth="1"/>
    <col min="265" max="265" width="17.28515625" style="168" bestFit="1" customWidth="1"/>
    <col min="266" max="267" width="12.85546875" style="168" bestFit="1" customWidth="1"/>
    <col min="268" max="512" width="9.140625" style="168"/>
    <col min="513" max="515" width="9.140625" style="168" customWidth="1"/>
    <col min="516" max="516" width="14.42578125" style="168" bestFit="1" customWidth="1"/>
    <col min="517" max="518" width="9.140625" style="168" customWidth="1"/>
    <col min="519" max="519" width="20.85546875" style="168" bestFit="1" customWidth="1"/>
    <col min="520" max="520" width="15" style="168" bestFit="1" customWidth="1"/>
    <col min="521" max="521" width="17.28515625" style="168" bestFit="1" customWidth="1"/>
    <col min="522" max="523" width="12.85546875" style="168" bestFit="1" customWidth="1"/>
    <col min="524" max="768" width="9.140625" style="168"/>
    <col min="769" max="771" width="9.140625" style="168" customWidth="1"/>
    <col min="772" max="772" width="14.42578125" style="168" bestFit="1" customWidth="1"/>
    <col min="773" max="774" width="9.140625" style="168" customWidth="1"/>
    <col min="775" max="775" width="20.85546875" style="168" bestFit="1" customWidth="1"/>
    <col min="776" max="776" width="15" style="168" bestFit="1" customWidth="1"/>
    <col min="777" max="777" width="17.28515625" style="168" bestFit="1" customWidth="1"/>
    <col min="778" max="779" width="12.85546875" style="168" bestFit="1" customWidth="1"/>
    <col min="780" max="1024" width="9.140625" style="168"/>
    <col min="1025" max="1027" width="9.140625" style="168" customWidth="1"/>
    <col min="1028" max="1028" width="14.42578125" style="168" bestFit="1" customWidth="1"/>
    <col min="1029" max="1030" width="9.140625" style="168" customWidth="1"/>
    <col min="1031" max="1031" width="20.85546875" style="168" bestFit="1" customWidth="1"/>
    <col min="1032" max="1032" width="15" style="168" bestFit="1" customWidth="1"/>
    <col min="1033" max="1033" width="17.28515625" style="168" bestFit="1" customWidth="1"/>
    <col min="1034" max="1035" width="12.85546875" style="168" bestFit="1" customWidth="1"/>
    <col min="1036" max="1280" width="9.140625" style="168"/>
    <col min="1281" max="1283" width="9.140625" style="168" customWidth="1"/>
    <col min="1284" max="1284" width="14.42578125" style="168" bestFit="1" customWidth="1"/>
    <col min="1285" max="1286" width="9.140625" style="168" customWidth="1"/>
    <col min="1287" max="1287" width="20.85546875" style="168" bestFit="1" customWidth="1"/>
    <col min="1288" max="1288" width="15" style="168" bestFit="1" customWidth="1"/>
    <col min="1289" max="1289" width="17.28515625" style="168" bestFit="1" customWidth="1"/>
    <col min="1290" max="1291" width="12.85546875" style="168" bestFit="1" customWidth="1"/>
    <col min="1292" max="1536" width="9.140625" style="168"/>
    <col min="1537" max="1539" width="9.140625" style="168" customWidth="1"/>
    <col min="1540" max="1540" width="14.42578125" style="168" bestFit="1" customWidth="1"/>
    <col min="1541" max="1542" width="9.140625" style="168" customWidth="1"/>
    <col min="1543" max="1543" width="20.85546875" style="168" bestFit="1" customWidth="1"/>
    <col min="1544" max="1544" width="15" style="168" bestFit="1" customWidth="1"/>
    <col min="1545" max="1545" width="17.28515625" style="168" bestFit="1" customWidth="1"/>
    <col min="1546" max="1547" width="12.85546875" style="168" bestFit="1" customWidth="1"/>
    <col min="1548" max="1792" width="9.140625" style="168"/>
    <col min="1793" max="1795" width="9.140625" style="168" customWidth="1"/>
    <col min="1796" max="1796" width="14.42578125" style="168" bestFit="1" customWidth="1"/>
    <col min="1797" max="1798" width="9.140625" style="168" customWidth="1"/>
    <col min="1799" max="1799" width="20.85546875" style="168" bestFit="1" customWidth="1"/>
    <col min="1800" max="1800" width="15" style="168" bestFit="1" customWidth="1"/>
    <col min="1801" max="1801" width="17.28515625" style="168" bestFit="1" customWidth="1"/>
    <col min="1802" max="1803" width="12.85546875" style="168" bestFit="1" customWidth="1"/>
    <col min="1804" max="2048" width="9.140625" style="168"/>
    <col min="2049" max="2051" width="9.140625" style="168" customWidth="1"/>
    <col min="2052" max="2052" width="14.42578125" style="168" bestFit="1" customWidth="1"/>
    <col min="2053" max="2054" width="9.140625" style="168" customWidth="1"/>
    <col min="2055" max="2055" width="20.85546875" style="168" bestFit="1" customWidth="1"/>
    <col min="2056" max="2056" width="15" style="168" bestFit="1" customWidth="1"/>
    <col min="2057" max="2057" width="17.28515625" style="168" bestFit="1" customWidth="1"/>
    <col min="2058" max="2059" width="12.85546875" style="168" bestFit="1" customWidth="1"/>
    <col min="2060" max="2304" width="9.140625" style="168"/>
    <col min="2305" max="2307" width="9.140625" style="168" customWidth="1"/>
    <col min="2308" max="2308" width="14.42578125" style="168" bestFit="1" customWidth="1"/>
    <col min="2309" max="2310" width="9.140625" style="168" customWidth="1"/>
    <col min="2311" max="2311" width="20.85546875" style="168" bestFit="1" customWidth="1"/>
    <col min="2312" max="2312" width="15" style="168" bestFit="1" customWidth="1"/>
    <col min="2313" max="2313" width="17.28515625" style="168" bestFit="1" customWidth="1"/>
    <col min="2314" max="2315" width="12.85546875" style="168" bestFit="1" customWidth="1"/>
    <col min="2316" max="2560" width="9.140625" style="168"/>
    <col min="2561" max="2563" width="9.140625" style="168" customWidth="1"/>
    <col min="2564" max="2564" width="14.42578125" style="168" bestFit="1" customWidth="1"/>
    <col min="2565" max="2566" width="9.140625" style="168" customWidth="1"/>
    <col min="2567" max="2567" width="20.85546875" style="168" bestFit="1" customWidth="1"/>
    <col min="2568" max="2568" width="15" style="168" bestFit="1" customWidth="1"/>
    <col min="2569" max="2569" width="17.28515625" style="168" bestFit="1" customWidth="1"/>
    <col min="2570" max="2571" width="12.85546875" style="168" bestFit="1" customWidth="1"/>
    <col min="2572" max="2816" width="9.140625" style="168"/>
    <col min="2817" max="2819" width="9.140625" style="168" customWidth="1"/>
    <col min="2820" max="2820" width="14.42578125" style="168" bestFit="1" customWidth="1"/>
    <col min="2821" max="2822" width="9.140625" style="168" customWidth="1"/>
    <col min="2823" max="2823" width="20.85546875" style="168" bestFit="1" customWidth="1"/>
    <col min="2824" max="2824" width="15" style="168" bestFit="1" customWidth="1"/>
    <col min="2825" max="2825" width="17.28515625" style="168" bestFit="1" customWidth="1"/>
    <col min="2826" max="2827" width="12.85546875" style="168" bestFit="1" customWidth="1"/>
    <col min="2828" max="3072" width="9.140625" style="168"/>
    <col min="3073" max="3075" width="9.140625" style="168" customWidth="1"/>
    <col min="3076" max="3076" width="14.42578125" style="168" bestFit="1" customWidth="1"/>
    <col min="3077" max="3078" width="9.140625" style="168" customWidth="1"/>
    <col min="3079" max="3079" width="20.85546875" style="168" bestFit="1" customWidth="1"/>
    <col min="3080" max="3080" width="15" style="168" bestFit="1" customWidth="1"/>
    <col min="3081" max="3081" width="17.28515625" style="168" bestFit="1" customWidth="1"/>
    <col min="3082" max="3083" width="12.85546875" style="168" bestFit="1" customWidth="1"/>
    <col min="3084" max="3328" width="9.140625" style="168"/>
    <col min="3329" max="3331" width="9.140625" style="168" customWidth="1"/>
    <col min="3332" max="3332" width="14.42578125" style="168" bestFit="1" customWidth="1"/>
    <col min="3333" max="3334" width="9.140625" style="168" customWidth="1"/>
    <col min="3335" max="3335" width="20.85546875" style="168" bestFit="1" customWidth="1"/>
    <col min="3336" max="3336" width="15" style="168" bestFit="1" customWidth="1"/>
    <col min="3337" max="3337" width="17.28515625" style="168" bestFit="1" customWidth="1"/>
    <col min="3338" max="3339" width="12.85546875" style="168" bestFit="1" customWidth="1"/>
    <col min="3340" max="3584" width="9.140625" style="168"/>
    <col min="3585" max="3587" width="9.140625" style="168" customWidth="1"/>
    <col min="3588" max="3588" width="14.42578125" style="168" bestFit="1" customWidth="1"/>
    <col min="3589" max="3590" width="9.140625" style="168" customWidth="1"/>
    <col min="3591" max="3591" width="20.85546875" style="168" bestFit="1" customWidth="1"/>
    <col min="3592" max="3592" width="15" style="168" bestFit="1" customWidth="1"/>
    <col min="3593" max="3593" width="17.28515625" style="168" bestFit="1" customWidth="1"/>
    <col min="3594" max="3595" width="12.85546875" style="168" bestFit="1" customWidth="1"/>
    <col min="3596" max="3840" width="9.140625" style="168"/>
    <col min="3841" max="3843" width="9.140625" style="168" customWidth="1"/>
    <col min="3844" max="3844" width="14.42578125" style="168" bestFit="1" customWidth="1"/>
    <col min="3845" max="3846" width="9.140625" style="168" customWidth="1"/>
    <col min="3847" max="3847" width="20.85546875" style="168" bestFit="1" customWidth="1"/>
    <col min="3848" max="3848" width="15" style="168" bestFit="1" customWidth="1"/>
    <col min="3849" max="3849" width="17.28515625" style="168" bestFit="1" customWidth="1"/>
    <col min="3850" max="3851" width="12.85546875" style="168" bestFit="1" customWidth="1"/>
    <col min="3852" max="4096" width="9.140625" style="168"/>
    <col min="4097" max="4099" width="9.140625" style="168" customWidth="1"/>
    <col min="4100" max="4100" width="14.42578125" style="168" bestFit="1" customWidth="1"/>
    <col min="4101" max="4102" width="9.140625" style="168" customWidth="1"/>
    <col min="4103" max="4103" width="20.85546875" style="168" bestFit="1" customWidth="1"/>
    <col min="4104" max="4104" width="15" style="168" bestFit="1" customWidth="1"/>
    <col min="4105" max="4105" width="17.28515625" style="168" bestFit="1" customWidth="1"/>
    <col min="4106" max="4107" width="12.85546875" style="168" bestFit="1" customWidth="1"/>
    <col min="4108" max="4352" width="9.140625" style="168"/>
    <col min="4353" max="4355" width="9.140625" style="168" customWidth="1"/>
    <col min="4356" max="4356" width="14.42578125" style="168" bestFit="1" customWidth="1"/>
    <col min="4357" max="4358" width="9.140625" style="168" customWidth="1"/>
    <col min="4359" max="4359" width="20.85546875" style="168" bestFit="1" customWidth="1"/>
    <col min="4360" max="4360" width="15" style="168" bestFit="1" customWidth="1"/>
    <col min="4361" max="4361" width="17.28515625" style="168" bestFit="1" customWidth="1"/>
    <col min="4362" max="4363" width="12.85546875" style="168" bestFit="1" customWidth="1"/>
    <col min="4364" max="4608" width="9.140625" style="168"/>
    <col min="4609" max="4611" width="9.140625" style="168" customWidth="1"/>
    <col min="4612" max="4612" width="14.42578125" style="168" bestFit="1" customWidth="1"/>
    <col min="4613" max="4614" width="9.140625" style="168" customWidth="1"/>
    <col min="4615" max="4615" width="20.85546875" style="168" bestFit="1" customWidth="1"/>
    <col min="4616" max="4616" width="15" style="168" bestFit="1" customWidth="1"/>
    <col min="4617" max="4617" width="17.28515625" style="168" bestFit="1" customWidth="1"/>
    <col min="4618" max="4619" width="12.85546875" style="168" bestFit="1" customWidth="1"/>
    <col min="4620" max="4864" width="9.140625" style="168"/>
    <col min="4865" max="4867" width="9.140625" style="168" customWidth="1"/>
    <col min="4868" max="4868" width="14.42578125" style="168" bestFit="1" customWidth="1"/>
    <col min="4869" max="4870" width="9.140625" style="168" customWidth="1"/>
    <col min="4871" max="4871" width="20.85546875" style="168" bestFit="1" customWidth="1"/>
    <col min="4872" max="4872" width="15" style="168" bestFit="1" customWidth="1"/>
    <col min="4873" max="4873" width="17.28515625" style="168" bestFit="1" customWidth="1"/>
    <col min="4874" max="4875" width="12.85546875" style="168" bestFit="1" customWidth="1"/>
    <col min="4876" max="5120" width="9.140625" style="168"/>
    <col min="5121" max="5123" width="9.140625" style="168" customWidth="1"/>
    <col min="5124" max="5124" width="14.42578125" style="168" bestFit="1" customWidth="1"/>
    <col min="5125" max="5126" width="9.140625" style="168" customWidth="1"/>
    <col min="5127" max="5127" width="20.85546875" style="168" bestFit="1" customWidth="1"/>
    <col min="5128" max="5128" width="15" style="168" bestFit="1" customWidth="1"/>
    <col min="5129" max="5129" width="17.28515625" style="168" bestFit="1" customWidth="1"/>
    <col min="5130" max="5131" width="12.85546875" style="168" bestFit="1" customWidth="1"/>
    <col min="5132" max="5376" width="9.140625" style="168"/>
    <col min="5377" max="5379" width="9.140625" style="168" customWidth="1"/>
    <col min="5380" max="5380" width="14.42578125" style="168" bestFit="1" customWidth="1"/>
    <col min="5381" max="5382" width="9.140625" style="168" customWidth="1"/>
    <col min="5383" max="5383" width="20.85546875" style="168" bestFit="1" customWidth="1"/>
    <col min="5384" max="5384" width="15" style="168" bestFit="1" customWidth="1"/>
    <col min="5385" max="5385" width="17.28515625" style="168" bestFit="1" customWidth="1"/>
    <col min="5386" max="5387" width="12.85546875" style="168" bestFit="1" customWidth="1"/>
    <col min="5388" max="5632" width="9.140625" style="168"/>
    <col min="5633" max="5635" width="9.140625" style="168" customWidth="1"/>
    <col min="5636" max="5636" width="14.42578125" style="168" bestFit="1" customWidth="1"/>
    <col min="5637" max="5638" width="9.140625" style="168" customWidth="1"/>
    <col min="5639" max="5639" width="20.85546875" style="168" bestFit="1" customWidth="1"/>
    <col min="5640" max="5640" width="15" style="168" bestFit="1" customWidth="1"/>
    <col min="5641" max="5641" width="17.28515625" style="168" bestFit="1" customWidth="1"/>
    <col min="5642" max="5643" width="12.85546875" style="168" bestFit="1" customWidth="1"/>
    <col min="5644" max="5888" width="9.140625" style="168"/>
    <col min="5889" max="5891" width="9.140625" style="168" customWidth="1"/>
    <col min="5892" max="5892" width="14.42578125" style="168" bestFit="1" customWidth="1"/>
    <col min="5893" max="5894" width="9.140625" style="168" customWidth="1"/>
    <col min="5895" max="5895" width="20.85546875" style="168" bestFit="1" customWidth="1"/>
    <col min="5896" max="5896" width="15" style="168" bestFit="1" customWidth="1"/>
    <col min="5897" max="5897" width="17.28515625" style="168" bestFit="1" customWidth="1"/>
    <col min="5898" max="5899" width="12.85546875" style="168" bestFit="1" customWidth="1"/>
    <col min="5900" max="6144" width="9.140625" style="168"/>
    <col min="6145" max="6147" width="9.140625" style="168" customWidth="1"/>
    <col min="6148" max="6148" width="14.42578125" style="168" bestFit="1" customWidth="1"/>
    <col min="6149" max="6150" width="9.140625" style="168" customWidth="1"/>
    <col min="6151" max="6151" width="20.85546875" style="168" bestFit="1" customWidth="1"/>
    <col min="6152" max="6152" width="15" style="168" bestFit="1" customWidth="1"/>
    <col min="6153" max="6153" width="17.28515625" style="168" bestFit="1" customWidth="1"/>
    <col min="6154" max="6155" width="12.85546875" style="168" bestFit="1" customWidth="1"/>
    <col min="6156" max="6400" width="9.140625" style="168"/>
    <col min="6401" max="6403" width="9.140625" style="168" customWidth="1"/>
    <col min="6404" max="6404" width="14.42578125" style="168" bestFit="1" customWidth="1"/>
    <col min="6405" max="6406" width="9.140625" style="168" customWidth="1"/>
    <col min="6407" max="6407" width="20.85546875" style="168" bestFit="1" customWidth="1"/>
    <col min="6408" max="6408" width="15" style="168" bestFit="1" customWidth="1"/>
    <col min="6409" max="6409" width="17.28515625" style="168" bestFit="1" customWidth="1"/>
    <col min="6410" max="6411" width="12.85546875" style="168" bestFit="1" customWidth="1"/>
    <col min="6412" max="6656" width="9.140625" style="168"/>
    <col min="6657" max="6659" width="9.140625" style="168" customWidth="1"/>
    <col min="6660" max="6660" width="14.42578125" style="168" bestFit="1" customWidth="1"/>
    <col min="6661" max="6662" width="9.140625" style="168" customWidth="1"/>
    <col min="6663" max="6663" width="20.85546875" style="168" bestFit="1" customWidth="1"/>
    <col min="6664" max="6664" width="15" style="168" bestFit="1" customWidth="1"/>
    <col min="6665" max="6665" width="17.28515625" style="168" bestFit="1" customWidth="1"/>
    <col min="6666" max="6667" width="12.85546875" style="168" bestFit="1" customWidth="1"/>
    <col min="6668" max="6912" width="9.140625" style="168"/>
    <col min="6913" max="6915" width="9.140625" style="168" customWidth="1"/>
    <col min="6916" max="6916" width="14.42578125" style="168" bestFit="1" customWidth="1"/>
    <col min="6917" max="6918" width="9.140625" style="168" customWidth="1"/>
    <col min="6919" max="6919" width="20.85546875" style="168" bestFit="1" customWidth="1"/>
    <col min="6920" max="6920" width="15" style="168" bestFit="1" customWidth="1"/>
    <col min="6921" max="6921" width="17.28515625" style="168" bestFit="1" customWidth="1"/>
    <col min="6922" max="6923" width="12.85546875" style="168" bestFit="1" customWidth="1"/>
    <col min="6924" max="7168" width="9.140625" style="168"/>
    <col min="7169" max="7171" width="9.140625" style="168" customWidth="1"/>
    <col min="7172" max="7172" width="14.42578125" style="168" bestFit="1" customWidth="1"/>
    <col min="7173" max="7174" width="9.140625" style="168" customWidth="1"/>
    <col min="7175" max="7175" width="20.85546875" style="168" bestFit="1" customWidth="1"/>
    <col min="7176" max="7176" width="15" style="168" bestFit="1" customWidth="1"/>
    <col min="7177" max="7177" width="17.28515625" style="168" bestFit="1" customWidth="1"/>
    <col min="7178" max="7179" width="12.85546875" style="168" bestFit="1" customWidth="1"/>
    <col min="7180" max="7424" width="9.140625" style="168"/>
    <col min="7425" max="7427" width="9.140625" style="168" customWidth="1"/>
    <col min="7428" max="7428" width="14.42578125" style="168" bestFit="1" customWidth="1"/>
    <col min="7429" max="7430" width="9.140625" style="168" customWidth="1"/>
    <col min="7431" max="7431" width="20.85546875" style="168" bestFit="1" customWidth="1"/>
    <col min="7432" max="7432" width="15" style="168" bestFit="1" customWidth="1"/>
    <col min="7433" max="7433" width="17.28515625" style="168" bestFit="1" customWidth="1"/>
    <col min="7434" max="7435" width="12.85546875" style="168" bestFit="1" customWidth="1"/>
    <col min="7436" max="7680" width="9.140625" style="168"/>
    <col min="7681" max="7683" width="9.140625" style="168" customWidth="1"/>
    <col min="7684" max="7684" width="14.42578125" style="168" bestFit="1" customWidth="1"/>
    <col min="7685" max="7686" width="9.140625" style="168" customWidth="1"/>
    <col min="7687" max="7687" width="20.85546875" style="168" bestFit="1" customWidth="1"/>
    <col min="7688" max="7688" width="15" style="168" bestFit="1" customWidth="1"/>
    <col min="7689" max="7689" width="17.28515625" style="168" bestFit="1" customWidth="1"/>
    <col min="7690" max="7691" width="12.85546875" style="168" bestFit="1" customWidth="1"/>
    <col min="7692" max="7936" width="9.140625" style="168"/>
    <col min="7937" max="7939" width="9.140625" style="168" customWidth="1"/>
    <col min="7940" max="7940" width="14.42578125" style="168" bestFit="1" customWidth="1"/>
    <col min="7941" max="7942" width="9.140625" style="168" customWidth="1"/>
    <col min="7943" max="7943" width="20.85546875" style="168" bestFit="1" customWidth="1"/>
    <col min="7944" max="7944" width="15" style="168" bestFit="1" customWidth="1"/>
    <col min="7945" max="7945" width="17.28515625" style="168" bestFit="1" customWidth="1"/>
    <col min="7946" max="7947" width="12.85546875" style="168" bestFit="1" customWidth="1"/>
    <col min="7948" max="8192" width="9.140625" style="168"/>
    <col min="8193" max="8195" width="9.140625" style="168" customWidth="1"/>
    <col min="8196" max="8196" width="14.42578125" style="168" bestFit="1" customWidth="1"/>
    <col min="8197" max="8198" width="9.140625" style="168" customWidth="1"/>
    <col min="8199" max="8199" width="20.85546875" style="168" bestFit="1" customWidth="1"/>
    <col min="8200" max="8200" width="15" style="168" bestFit="1" customWidth="1"/>
    <col min="8201" max="8201" width="17.28515625" style="168" bestFit="1" customWidth="1"/>
    <col min="8202" max="8203" width="12.85546875" style="168" bestFit="1" customWidth="1"/>
    <col min="8204" max="8448" width="9.140625" style="168"/>
    <col min="8449" max="8451" width="9.140625" style="168" customWidth="1"/>
    <col min="8452" max="8452" width="14.42578125" style="168" bestFit="1" customWidth="1"/>
    <col min="8453" max="8454" width="9.140625" style="168" customWidth="1"/>
    <col min="8455" max="8455" width="20.85546875" style="168" bestFit="1" customWidth="1"/>
    <col min="8456" max="8456" width="15" style="168" bestFit="1" customWidth="1"/>
    <col min="8457" max="8457" width="17.28515625" style="168" bestFit="1" customWidth="1"/>
    <col min="8458" max="8459" width="12.85546875" style="168" bestFit="1" customWidth="1"/>
    <col min="8460" max="8704" width="9.140625" style="168"/>
    <col min="8705" max="8707" width="9.140625" style="168" customWidth="1"/>
    <col min="8708" max="8708" width="14.42578125" style="168" bestFit="1" customWidth="1"/>
    <col min="8709" max="8710" width="9.140625" style="168" customWidth="1"/>
    <col min="8711" max="8711" width="20.85546875" style="168" bestFit="1" customWidth="1"/>
    <col min="8712" max="8712" width="15" style="168" bestFit="1" customWidth="1"/>
    <col min="8713" max="8713" width="17.28515625" style="168" bestFit="1" customWidth="1"/>
    <col min="8714" max="8715" width="12.85546875" style="168" bestFit="1" customWidth="1"/>
    <col min="8716" max="8960" width="9.140625" style="168"/>
    <col min="8961" max="8963" width="9.140625" style="168" customWidth="1"/>
    <col min="8964" max="8964" width="14.42578125" style="168" bestFit="1" customWidth="1"/>
    <col min="8965" max="8966" width="9.140625" style="168" customWidth="1"/>
    <col min="8967" max="8967" width="20.85546875" style="168" bestFit="1" customWidth="1"/>
    <col min="8968" max="8968" width="15" style="168" bestFit="1" customWidth="1"/>
    <col min="8969" max="8969" width="17.28515625" style="168" bestFit="1" customWidth="1"/>
    <col min="8970" max="8971" width="12.85546875" style="168" bestFit="1" customWidth="1"/>
    <col min="8972" max="9216" width="9.140625" style="168"/>
    <col min="9217" max="9219" width="9.140625" style="168" customWidth="1"/>
    <col min="9220" max="9220" width="14.42578125" style="168" bestFit="1" customWidth="1"/>
    <col min="9221" max="9222" width="9.140625" style="168" customWidth="1"/>
    <col min="9223" max="9223" width="20.85546875" style="168" bestFit="1" customWidth="1"/>
    <col min="9224" max="9224" width="15" style="168" bestFit="1" customWidth="1"/>
    <col min="9225" max="9225" width="17.28515625" style="168" bestFit="1" customWidth="1"/>
    <col min="9226" max="9227" width="12.85546875" style="168" bestFit="1" customWidth="1"/>
    <col min="9228" max="9472" width="9.140625" style="168"/>
    <col min="9473" max="9475" width="9.140625" style="168" customWidth="1"/>
    <col min="9476" max="9476" width="14.42578125" style="168" bestFit="1" customWidth="1"/>
    <col min="9477" max="9478" width="9.140625" style="168" customWidth="1"/>
    <col min="9479" max="9479" width="20.85546875" style="168" bestFit="1" customWidth="1"/>
    <col min="9480" max="9480" width="15" style="168" bestFit="1" customWidth="1"/>
    <col min="9481" max="9481" width="17.28515625" style="168" bestFit="1" customWidth="1"/>
    <col min="9482" max="9483" width="12.85546875" style="168" bestFit="1" customWidth="1"/>
    <col min="9484" max="9728" width="9.140625" style="168"/>
    <col min="9729" max="9731" width="9.140625" style="168" customWidth="1"/>
    <col min="9732" max="9732" width="14.42578125" style="168" bestFit="1" customWidth="1"/>
    <col min="9733" max="9734" width="9.140625" style="168" customWidth="1"/>
    <col min="9735" max="9735" width="20.85546875" style="168" bestFit="1" customWidth="1"/>
    <col min="9736" max="9736" width="15" style="168" bestFit="1" customWidth="1"/>
    <col min="9737" max="9737" width="17.28515625" style="168" bestFit="1" customWidth="1"/>
    <col min="9738" max="9739" width="12.85546875" style="168" bestFit="1" customWidth="1"/>
    <col min="9740" max="9984" width="9.140625" style="168"/>
    <col min="9985" max="9987" width="9.140625" style="168" customWidth="1"/>
    <col min="9988" max="9988" width="14.42578125" style="168" bestFit="1" customWidth="1"/>
    <col min="9989" max="9990" width="9.140625" style="168" customWidth="1"/>
    <col min="9991" max="9991" width="20.85546875" style="168" bestFit="1" customWidth="1"/>
    <col min="9992" max="9992" width="15" style="168" bestFit="1" customWidth="1"/>
    <col min="9993" max="9993" width="17.28515625" style="168" bestFit="1" customWidth="1"/>
    <col min="9994" max="9995" width="12.85546875" style="168" bestFit="1" customWidth="1"/>
    <col min="9996" max="10240" width="9.140625" style="168"/>
    <col min="10241" max="10243" width="9.140625" style="168" customWidth="1"/>
    <col min="10244" max="10244" width="14.42578125" style="168" bestFit="1" customWidth="1"/>
    <col min="10245" max="10246" width="9.140625" style="168" customWidth="1"/>
    <col min="10247" max="10247" width="20.85546875" style="168" bestFit="1" customWidth="1"/>
    <col min="10248" max="10248" width="15" style="168" bestFit="1" customWidth="1"/>
    <col min="10249" max="10249" width="17.28515625" style="168" bestFit="1" customWidth="1"/>
    <col min="10250" max="10251" width="12.85546875" style="168" bestFit="1" customWidth="1"/>
    <col min="10252" max="10496" width="9.140625" style="168"/>
    <col min="10497" max="10499" width="9.140625" style="168" customWidth="1"/>
    <col min="10500" max="10500" width="14.42578125" style="168" bestFit="1" customWidth="1"/>
    <col min="10501" max="10502" width="9.140625" style="168" customWidth="1"/>
    <col min="10503" max="10503" width="20.85546875" style="168" bestFit="1" customWidth="1"/>
    <col min="10504" max="10504" width="15" style="168" bestFit="1" customWidth="1"/>
    <col min="10505" max="10505" width="17.28515625" style="168" bestFit="1" customWidth="1"/>
    <col min="10506" max="10507" width="12.85546875" style="168" bestFit="1" customWidth="1"/>
    <col min="10508" max="10752" width="9.140625" style="168"/>
    <col min="10753" max="10755" width="9.140625" style="168" customWidth="1"/>
    <col min="10756" max="10756" width="14.42578125" style="168" bestFit="1" customWidth="1"/>
    <col min="10757" max="10758" width="9.140625" style="168" customWidth="1"/>
    <col min="10759" max="10759" width="20.85546875" style="168" bestFit="1" customWidth="1"/>
    <col min="10760" max="10760" width="15" style="168" bestFit="1" customWidth="1"/>
    <col min="10761" max="10761" width="17.28515625" style="168" bestFit="1" customWidth="1"/>
    <col min="10762" max="10763" width="12.85546875" style="168" bestFit="1" customWidth="1"/>
    <col min="10764" max="11008" width="9.140625" style="168"/>
    <col min="11009" max="11011" width="9.140625" style="168" customWidth="1"/>
    <col min="11012" max="11012" width="14.42578125" style="168" bestFit="1" customWidth="1"/>
    <col min="11013" max="11014" width="9.140625" style="168" customWidth="1"/>
    <col min="11015" max="11015" width="20.85546875" style="168" bestFit="1" customWidth="1"/>
    <col min="11016" max="11016" width="15" style="168" bestFit="1" customWidth="1"/>
    <col min="11017" max="11017" width="17.28515625" style="168" bestFit="1" customWidth="1"/>
    <col min="11018" max="11019" width="12.85546875" style="168" bestFit="1" customWidth="1"/>
    <col min="11020" max="11264" width="9.140625" style="168"/>
    <col min="11265" max="11267" width="9.140625" style="168" customWidth="1"/>
    <col min="11268" max="11268" width="14.42578125" style="168" bestFit="1" customWidth="1"/>
    <col min="11269" max="11270" width="9.140625" style="168" customWidth="1"/>
    <col min="11271" max="11271" width="20.85546875" style="168" bestFit="1" customWidth="1"/>
    <col min="11272" max="11272" width="15" style="168" bestFit="1" customWidth="1"/>
    <col min="11273" max="11273" width="17.28515625" style="168" bestFit="1" customWidth="1"/>
    <col min="11274" max="11275" width="12.85546875" style="168" bestFit="1" customWidth="1"/>
    <col min="11276" max="11520" width="9.140625" style="168"/>
    <col min="11521" max="11523" width="9.140625" style="168" customWidth="1"/>
    <col min="11524" max="11524" width="14.42578125" style="168" bestFit="1" customWidth="1"/>
    <col min="11525" max="11526" width="9.140625" style="168" customWidth="1"/>
    <col min="11527" max="11527" width="20.85546875" style="168" bestFit="1" customWidth="1"/>
    <col min="11528" max="11528" width="15" style="168" bestFit="1" customWidth="1"/>
    <col min="11529" max="11529" width="17.28515625" style="168" bestFit="1" customWidth="1"/>
    <col min="11530" max="11531" width="12.85546875" style="168" bestFit="1" customWidth="1"/>
    <col min="11532" max="11776" width="9.140625" style="168"/>
    <col min="11777" max="11779" width="9.140625" style="168" customWidth="1"/>
    <col min="11780" max="11780" width="14.42578125" style="168" bestFit="1" customWidth="1"/>
    <col min="11781" max="11782" width="9.140625" style="168" customWidth="1"/>
    <col min="11783" max="11783" width="20.85546875" style="168" bestFit="1" customWidth="1"/>
    <col min="11784" max="11784" width="15" style="168" bestFit="1" customWidth="1"/>
    <col min="11785" max="11785" width="17.28515625" style="168" bestFit="1" customWidth="1"/>
    <col min="11786" max="11787" width="12.85546875" style="168" bestFit="1" customWidth="1"/>
    <col min="11788" max="12032" width="9.140625" style="168"/>
    <col min="12033" max="12035" width="9.140625" style="168" customWidth="1"/>
    <col min="12036" max="12036" width="14.42578125" style="168" bestFit="1" customWidth="1"/>
    <col min="12037" max="12038" width="9.140625" style="168" customWidth="1"/>
    <col min="12039" max="12039" width="20.85546875" style="168" bestFit="1" customWidth="1"/>
    <col min="12040" max="12040" width="15" style="168" bestFit="1" customWidth="1"/>
    <col min="12041" max="12041" width="17.28515625" style="168" bestFit="1" customWidth="1"/>
    <col min="12042" max="12043" width="12.85546875" style="168" bestFit="1" customWidth="1"/>
    <col min="12044" max="12288" width="9.140625" style="168"/>
    <col min="12289" max="12291" width="9.140625" style="168" customWidth="1"/>
    <col min="12292" max="12292" width="14.42578125" style="168" bestFit="1" customWidth="1"/>
    <col min="12293" max="12294" width="9.140625" style="168" customWidth="1"/>
    <col min="12295" max="12295" width="20.85546875" style="168" bestFit="1" customWidth="1"/>
    <col min="12296" max="12296" width="15" style="168" bestFit="1" customWidth="1"/>
    <col min="12297" max="12297" width="17.28515625" style="168" bestFit="1" customWidth="1"/>
    <col min="12298" max="12299" width="12.85546875" style="168" bestFit="1" customWidth="1"/>
    <col min="12300" max="12544" width="9.140625" style="168"/>
    <col min="12545" max="12547" width="9.140625" style="168" customWidth="1"/>
    <col min="12548" max="12548" width="14.42578125" style="168" bestFit="1" customWidth="1"/>
    <col min="12549" max="12550" width="9.140625" style="168" customWidth="1"/>
    <col min="12551" max="12551" width="20.85546875" style="168" bestFit="1" customWidth="1"/>
    <col min="12552" max="12552" width="15" style="168" bestFit="1" customWidth="1"/>
    <col min="12553" max="12553" width="17.28515625" style="168" bestFit="1" customWidth="1"/>
    <col min="12554" max="12555" width="12.85546875" style="168" bestFit="1" customWidth="1"/>
    <col min="12556" max="12800" width="9.140625" style="168"/>
    <col min="12801" max="12803" width="9.140625" style="168" customWidth="1"/>
    <col min="12804" max="12804" width="14.42578125" style="168" bestFit="1" customWidth="1"/>
    <col min="12805" max="12806" width="9.140625" style="168" customWidth="1"/>
    <col min="12807" max="12807" width="20.85546875" style="168" bestFit="1" customWidth="1"/>
    <col min="12808" max="12808" width="15" style="168" bestFit="1" customWidth="1"/>
    <col min="12809" max="12809" width="17.28515625" style="168" bestFit="1" customWidth="1"/>
    <col min="12810" max="12811" width="12.85546875" style="168" bestFit="1" customWidth="1"/>
    <col min="12812" max="13056" width="9.140625" style="168"/>
    <col min="13057" max="13059" width="9.140625" style="168" customWidth="1"/>
    <col min="13060" max="13060" width="14.42578125" style="168" bestFit="1" customWidth="1"/>
    <col min="13061" max="13062" width="9.140625" style="168" customWidth="1"/>
    <col min="13063" max="13063" width="20.85546875" style="168" bestFit="1" customWidth="1"/>
    <col min="13064" max="13064" width="15" style="168" bestFit="1" customWidth="1"/>
    <col min="13065" max="13065" width="17.28515625" style="168" bestFit="1" customWidth="1"/>
    <col min="13066" max="13067" width="12.85546875" style="168" bestFit="1" customWidth="1"/>
    <col min="13068" max="13312" width="9.140625" style="168"/>
    <col min="13313" max="13315" width="9.140625" style="168" customWidth="1"/>
    <col min="13316" max="13316" width="14.42578125" style="168" bestFit="1" customWidth="1"/>
    <col min="13317" max="13318" width="9.140625" style="168" customWidth="1"/>
    <col min="13319" max="13319" width="20.85546875" style="168" bestFit="1" customWidth="1"/>
    <col min="13320" max="13320" width="15" style="168" bestFit="1" customWidth="1"/>
    <col min="13321" max="13321" width="17.28515625" style="168" bestFit="1" customWidth="1"/>
    <col min="13322" max="13323" width="12.85546875" style="168" bestFit="1" customWidth="1"/>
    <col min="13324" max="13568" width="9.140625" style="168"/>
    <col min="13569" max="13571" width="9.140625" style="168" customWidth="1"/>
    <col min="13572" max="13572" width="14.42578125" style="168" bestFit="1" customWidth="1"/>
    <col min="13573" max="13574" width="9.140625" style="168" customWidth="1"/>
    <col min="13575" max="13575" width="20.85546875" style="168" bestFit="1" customWidth="1"/>
    <col min="13576" max="13576" width="15" style="168" bestFit="1" customWidth="1"/>
    <col min="13577" max="13577" width="17.28515625" style="168" bestFit="1" customWidth="1"/>
    <col min="13578" max="13579" width="12.85546875" style="168" bestFit="1" customWidth="1"/>
    <col min="13580" max="13824" width="9.140625" style="168"/>
    <col min="13825" max="13827" width="9.140625" style="168" customWidth="1"/>
    <col min="13828" max="13828" width="14.42578125" style="168" bestFit="1" customWidth="1"/>
    <col min="13829" max="13830" width="9.140625" style="168" customWidth="1"/>
    <col min="13831" max="13831" width="20.85546875" style="168" bestFit="1" customWidth="1"/>
    <col min="13832" max="13832" width="15" style="168" bestFit="1" customWidth="1"/>
    <col min="13833" max="13833" width="17.28515625" style="168" bestFit="1" customWidth="1"/>
    <col min="13834" max="13835" width="12.85546875" style="168" bestFit="1" customWidth="1"/>
    <col min="13836" max="14080" width="9.140625" style="168"/>
    <col min="14081" max="14083" width="9.140625" style="168" customWidth="1"/>
    <col min="14084" max="14084" width="14.42578125" style="168" bestFit="1" customWidth="1"/>
    <col min="14085" max="14086" width="9.140625" style="168" customWidth="1"/>
    <col min="14087" max="14087" width="20.85546875" style="168" bestFit="1" customWidth="1"/>
    <col min="14088" max="14088" width="15" style="168" bestFit="1" customWidth="1"/>
    <col min="14089" max="14089" width="17.28515625" style="168" bestFit="1" customWidth="1"/>
    <col min="14090" max="14091" width="12.85546875" style="168" bestFit="1" customWidth="1"/>
    <col min="14092" max="14336" width="9.140625" style="168"/>
    <col min="14337" max="14339" width="9.140625" style="168" customWidth="1"/>
    <col min="14340" max="14340" width="14.42578125" style="168" bestFit="1" customWidth="1"/>
    <col min="14341" max="14342" width="9.140625" style="168" customWidth="1"/>
    <col min="14343" max="14343" width="20.85546875" style="168" bestFit="1" customWidth="1"/>
    <col min="14344" max="14344" width="15" style="168" bestFit="1" customWidth="1"/>
    <col min="14345" max="14345" width="17.28515625" style="168" bestFit="1" customWidth="1"/>
    <col min="14346" max="14347" width="12.85546875" style="168" bestFit="1" customWidth="1"/>
    <col min="14348" max="14592" width="9.140625" style="168"/>
    <col min="14593" max="14595" width="9.140625" style="168" customWidth="1"/>
    <col min="14596" max="14596" width="14.42578125" style="168" bestFit="1" customWidth="1"/>
    <col min="14597" max="14598" width="9.140625" style="168" customWidth="1"/>
    <col min="14599" max="14599" width="20.85546875" style="168" bestFit="1" customWidth="1"/>
    <col min="14600" max="14600" width="15" style="168" bestFit="1" customWidth="1"/>
    <col min="14601" max="14601" width="17.28515625" style="168" bestFit="1" customWidth="1"/>
    <col min="14602" max="14603" width="12.85546875" style="168" bestFit="1" customWidth="1"/>
    <col min="14604" max="14848" width="9.140625" style="168"/>
    <col min="14849" max="14851" width="9.140625" style="168" customWidth="1"/>
    <col min="14852" max="14852" width="14.42578125" style="168" bestFit="1" customWidth="1"/>
    <col min="14853" max="14854" width="9.140625" style="168" customWidth="1"/>
    <col min="14855" max="14855" width="20.85546875" style="168" bestFit="1" customWidth="1"/>
    <col min="14856" max="14856" width="15" style="168" bestFit="1" customWidth="1"/>
    <col min="14857" max="14857" width="17.28515625" style="168" bestFit="1" customWidth="1"/>
    <col min="14858" max="14859" width="12.85546875" style="168" bestFit="1" customWidth="1"/>
    <col min="14860" max="15104" width="9.140625" style="168"/>
    <col min="15105" max="15107" width="9.140625" style="168" customWidth="1"/>
    <col min="15108" max="15108" width="14.42578125" style="168" bestFit="1" customWidth="1"/>
    <col min="15109" max="15110" width="9.140625" style="168" customWidth="1"/>
    <col min="15111" max="15111" width="20.85546875" style="168" bestFit="1" customWidth="1"/>
    <col min="15112" max="15112" width="15" style="168" bestFit="1" customWidth="1"/>
    <col min="15113" max="15113" width="17.28515625" style="168" bestFit="1" customWidth="1"/>
    <col min="15114" max="15115" width="12.85546875" style="168" bestFit="1" customWidth="1"/>
    <col min="15116" max="15360" width="9.140625" style="168"/>
    <col min="15361" max="15363" width="9.140625" style="168" customWidth="1"/>
    <col min="15364" max="15364" width="14.42578125" style="168" bestFit="1" customWidth="1"/>
    <col min="15365" max="15366" width="9.140625" style="168" customWidth="1"/>
    <col min="15367" max="15367" width="20.85546875" style="168" bestFit="1" customWidth="1"/>
    <col min="15368" max="15368" width="15" style="168" bestFit="1" customWidth="1"/>
    <col min="15369" max="15369" width="17.28515625" style="168" bestFit="1" customWidth="1"/>
    <col min="15370" max="15371" width="12.85546875" style="168" bestFit="1" customWidth="1"/>
    <col min="15372" max="15616" width="9.140625" style="168"/>
    <col min="15617" max="15619" width="9.140625" style="168" customWidth="1"/>
    <col min="15620" max="15620" width="14.42578125" style="168" bestFit="1" customWidth="1"/>
    <col min="15621" max="15622" width="9.140625" style="168" customWidth="1"/>
    <col min="15623" max="15623" width="20.85546875" style="168" bestFit="1" customWidth="1"/>
    <col min="15624" max="15624" width="15" style="168" bestFit="1" customWidth="1"/>
    <col min="15625" max="15625" width="17.28515625" style="168" bestFit="1" customWidth="1"/>
    <col min="15626" max="15627" width="12.85546875" style="168" bestFit="1" customWidth="1"/>
    <col min="15628" max="15872" width="9.140625" style="168"/>
    <col min="15873" max="15875" width="9.140625" style="168" customWidth="1"/>
    <col min="15876" max="15876" width="14.42578125" style="168" bestFit="1" customWidth="1"/>
    <col min="15877" max="15878" width="9.140625" style="168" customWidth="1"/>
    <col min="15879" max="15879" width="20.85546875" style="168" bestFit="1" customWidth="1"/>
    <col min="15880" max="15880" width="15" style="168" bestFit="1" customWidth="1"/>
    <col min="15881" max="15881" width="17.28515625" style="168" bestFit="1" customWidth="1"/>
    <col min="15882" max="15883" width="12.85546875" style="168" bestFit="1" customWidth="1"/>
    <col min="15884" max="16128" width="9.140625" style="168"/>
    <col min="16129" max="16131" width="9.140625" style="168" customWidth="1"/>
    <col min="16132" max="16132" width="14.42578125" style="168" bestFit="1" customWidth="1"/>
    <col min="16133" max="16134" width="9.140625" style="168" customWidth="1"/>
    <col min="16135" max="16135" width="20.85546875" style="168" bestFit="1" customWidth="1"/>
    <col min="16136" max="16136" width="15" style="168" bestFit="1" customWidth="1"/>
    <col min="16137" max="16137" width="17.28515625" style="168" bestFit="1" customWidth="1"/>
    <col min="16138" max="16139" width="12.85546875" style="168" bestFit="1" customWidth="1"/>
    <col min="16140" max="16384" width="9.140625" style="168"/>
  </cols>
  <sheetData>
    <row r="6" spans="1:9" ht="24.75" thickBot="1" x14ac:dyDescent="0.45">
      <c r="A6" s="1040" t="s">
        <v>229</v>
      </c>
      <c r="B6" s="1040"/>
      <c r="C6" s="1040"/>
      <c r="D6" s="1040"/>
      <c r="E6" s="1040"/>
      <c r="F6" s="1040"/>
      <c r="G6" s="1040"/>
    </row>
    <row r="7" spans="1:9" ht="14.25" thickBot="1" x14ac:dyDescent="0.3">
      <c r="A7" s="1005" t="s">
        <v>428</v>
      </c>
      <c r="B7" s="1006"/>
      <c r="C7" s="1006"/>
      <c r="D7" s="1006"/>
      <c r="E7" s="1006"/>
      <c r="F7" s="1006"/>
      <c r="G7" s="1007"/>
    </row>
    <row r="8" spans="1:9" ht="13.5" x14ac:dyDescent="0.25">
      <c r="A8" s="1008"/>
      <c r="B8" s="1009"/>
      <c r="C8" s="1009"/>
      <c r="D8" s="1009"/>
      <c r="E8" s="1009"/>
      <c r="F8" s="1009"/>
      <c r="G8" s="1010"/>
    </row>
    <row r="9" spans="1:9" x14ac:dyDescent="0.2">
      <c r="A9" s="169"/>
      <c r="B9" s="170"/>
      <c r="C9" s="171"/>
      <c r="D9" s="172"/>
      <c r="E9" s="172"/>
      <c r="F9" s="172"/>
      <c r="G9" s="173"/>
    </row>
    <row r="10" spans="1:9" x14ac:dyDescent="0.2">
      <c r="A10" s="174" t="s">
        <v>399</v>
      </c>
      <c r="B10" s="175" t="s">
        <v>400</v>
      </c>
      <c r="C10" s="175"/>
      <c r="D10" s="175"/>
      <c r="E10" s="176" t="s">
        <v>401</v>
      </c>
      <c r="F10" s="171"/>
      <c r="G10" s="177"/>
    </row>
    <row r="11" spans="1:9" x14ac:dyDescent="0.2">
      <c r="A11" s="174"/>
      <c r="B11" s="175"/>
      <c r="C11" s="175"/>
      <c r="D11" s="175"/>
      <c r="E11" s="176"/>
      <c r="F11" s="171"/>
      <c r="G11" s="177"/>
    </row>
    <row r="12" spans="1:9" x14ac:dyDescent="0.2">
      <c r="A12" s="1011"/>
      <c r="B12" s="1001"/>
      <c r="C12" s="1001"/>
      <c r="D12" s="1001"/>
      <c r="E12" s="1001"/>
      <c r="F12" s="1001"/>
      <c r="G12" s="178" t="s">
        <v>402</v>
      </c>
    </row>
    <row r="13" spans="1:9" x14ac:dyDescent="0.2">
      <c r="A13" s="179" t="s">
        <v>429</v>
      </c>
      <c r="B13" s="180"/>
      <c r="C13" s="180"/>
      <c r="D13" s="180"/>
      <c r="E13" s="181"/>
      <c r="F13" s="181"/>
      <c r="G13" s="182">
        <v>1948473.8700000048</v>
      </c>
      <c r="H13" s="183"/>
      <c r="I13" s="184"/>
    </row>
    <row r="14" spans="1:9" x14ac:dyDescent="0.2">
      <c r="A14" s="185" t="s">
        <v>404</v>
      </c>
      <c r="B14" s="186"/>
      <c r="C14" s="186"/>
      <c r="D14" s="186"/>
      <c r="E14" s="187"/>
      <c r="F14" s="187"/>
      <c r="G14" s="188"/>
      <c r="H14" s="189"/>
      <c r="I14" s="171"/>
    </row>
    <row r="15" spans="1:9" x14ac:dyDescent="0.2">
      <c r="A15" s="190" t="s">
        <v>405</v>
      </c>
      <c r="B15" s="187"/>
      <c r="C15" s="187"/>
      <c r="D15" s="187"/>
      <c r="E15" s="1012"/>
      <c r="F15" s="1012"/>
      <c r="G15" s="191">
        <v>0</v>
      </c>
      <c r="H15" s="183"/>
    </row>
    <row r="16" spans="1:9" x14ac:dyDescent="0.2">
      <c r="A16" s="190" t="s">
        <v>406</v>
      </c>
      <c r="B16" s="187"/>
      <c r="C16" s="187"/>
      <c r="D16" s="187"/>
      <c r="E16" s="249"/>
      <c r="F16" s="249"/>
      <c r="G16" s="193">
        <v>0</v>
      </c>
      <c r="H16" s="183"/>
    </row>
    <row r="17" spans="1:11" x14ac:dyDescent="0.2">
      <c r="A17" s="190" t="s">
        <v>407</v>
      </c>
      <c r="B17" s="187"/>
      <c r="C17" s="187"/>
      <c r="D17" s="187"/>
      <c r="E17" s="249"/>
      <c r="F17" s="249"/>
      <c r="G17" s="194">
        <f>+'[9]TRANSFERENCIA RECIBIDAS'!B10</f>
        <v>9990515.6899999995</v>
      </c>
    </row>
    <row r="18" spans="1:11" x14ac:dyDescent="0.2">
      <c r="A18" s="190" t="s">
        <v>408</v>
      </c>
      <c r="B18" s="187"/>
      <c r="C18" s="187"/>
      <c r="D18" s="187"/>
      <c r="E18" s="249"/>
      <c r="F18" s="249"/>
      <c r="G18" s="195"/>
    </row>
    <row r="19" spans="1:11" x14ac:dyDescent="0.2">
      <c r="A19" s="179"/>
      <c r="B19" s="180"/>
      <c r="C19" s="180"/>
      <c r="D19" s="180"/>
      <c r="E19" s="187"/>
      <c r="F19" s="187"/>
      <c r="G19" s="196">
        <f>+G13+G15+G18+G17+G16</f>
        <v>11938989.560000004</v>
      </c>
    </row>
    <row r="20" spans="1:11" x14ac:dyDescent="0.2">
      <c r="A20" s="185" t="s">
        <v>409</v>
      </c>
      <c r="B20" s="186"/>
      <c r="C20" s="187"/>
      <c r="D20" s="187"/>
      <c r="E20" s="187"/>
      <c r="F20" s="187"/>
      <c r="G20" s="188"/>
      <c r="I20" s="197"/>
      <c r="K20" s="167"/>
    </row>
    <row r="21" spans="1:11" x14ac:dyDescent="0.2">
      <c r="A21" s="190" t="s">
        <v>410</v>
      </c>
      <c r="B21" s="187"/>
      <c r="C21" s="186"/>
      <c r="D21" s="186"/>
      <c r="E21" s="187"/>
      <c r="F21" s="187"/>
      <c r="G21" s="198">
        <f>+'[9]CHEQUES EMITIDO '!D10</f>
        <v>27800</v>
      </c>
      <c r="I21" s="199"/>
      <c r="K21" s="167"/>
    </row>
    <row r="22" spans="1:11" x14ac:dyDescent="0.2">
      <c r="A22" s="200" t="s">
        <v>411</v>
      </c>
      <c r="B22" s="201"/>
      <c r="C22" s="202"/>
      <c r="D22" s="203"/>
      <c r="E22" s="201"/>
      <c r="F22" s="201"/>
      <c r="G22" s="204">
        <f>+'[9]NOMINA '!D9</f>
        <v>58248.03</v>
      </c>
      <c r="I22" s="199"/>
    </row>
    <row r="23" spans="1:11" x14ac:dyDescent="0.2">
      <c r="A23" s="205" t="s">
        <v>412</v>
      </c>
      <c r="B23" s="206"/>
      <c r="C23" s="206"/>
      <c r="D23" s="201"/>
      <c r="E23" s="207"/>
      <c r="F23" s="208"/>
      <c r="G23" s="209">
        <f>+[9]comisiones!E40</f>
        <v>6414.0100000000011</v>
      </c>
      <c r="I23" s="199"/>
    </row>
    <row r="24" spans="1:11" x14ac:dyDescent="0.2">
      <c r="A24" s="205" t="s">
        <v>413</v>
      </c>
      <c r="B24" s="206"/>
      <c r="C24" s="206"/>
      <c r="D24" s="201"/>
      <c r="E24" s="207"/>
      <c r="F24" s="207"/>
      <c r="G24" s="210">
        <f>+[9]TRANSFERENCIAS!D27</f>
        <v>3312419.45</v>
      </c>
      <c r="I24" s="199"/>
      <c r="J24" s="211"/>
      <c r="K24" s="167"/>
    </row>
    <row r="25" spans="1:11" x14ac:dyDescent="0.2">
      <c r="A25" s="190" t="s">
        <v>414</v>
      </c>
      <c r="B25" s="206"/>
      <c r="C25" s="206"/>
      <c r="D25" s="201"/>
      <c r="E25" s="207"/>
      <c r="F25" s="207"/>
      <c r="G25" s="209"/>
      <c r="I25" s="199"/>
      <c r="J25" s="211"/>
    </row>
    <row r="26" spans="1:11" x14ac:dyDescent="0.2">
      <c r="A26" s="212" t="s">
        <v>415</v>
      </c>
      <c r="B26" s="213"/>
      <c r="C26" s="213"/>
      <c r="D26" s="213"/>
      <c r="E26" s="213"/>
      <c r="F26" s="213"/>
      <c r="G26" s="214">
        <f>SUM(G21:G25)</f>
        <v>3404881.49</v>
      </c>
      <c r="I26" s="199"/>
      <c r="J26" s="211"/>
    </row>
    <row r="27" spans="1:11" ht="13.5" thickBot="1" x14ac:dyDescent="0.25">
      <c r="A27" s="998" t="s">
        <v>416</v>
      </c>
      <c r="B27" s="999"/>
      <c r="C27" s="215"/>
      <c r="D27" s="215"/>
      <c r="E27" s="1000"/>
      <c r="F27" s="1000"/>
      <c r="G27" s="216">
        <f>G19-G26</f>
        <v>8534108.070000004</v>
      </c>
      <c r="I27" s="184"/>
    </row>
    <row r="28" spans="1:11" ht="15.75" thickTop="1" x14ac:dyDescent="0.25">
      <c r="A28" s="217"/>
      <c r="B28" s="218"/>
      <c r="C28" s="215"/>
      <c r="D28" s="215"/>
      <c r="E28" s="250"/>
      <c r="F28" s="250"/>
      <c r="G28" s="220"/>
      <c r="H28" s="221"/>
      <c r="I28" s="222"/>
    </row>
    <row r="29" spans="1:11" ht="15" x14ac:dyDescent="0.25">
      <c r="A29" s="217"/>
      <c r="B29" s="218"/>
      <c r="C29" s="215"/>
      <c r="D29" s="215"/>
      <c r="E29" s="223"/>
      <c r="F29" s="250"/>
      <c r="G29" s="220"/>
      <c r="I29" s="224"/>
    </row>
    <row r="30" spans="1:11" x14ac:dyDescent="0.2">
      <c r="A30" s="190"/>
      <c r="B30" s="187"/>
      <c r="C30" s="187"/>
      <c r="D30" s="187"/>
      <c r="E30" s="187"/>
      <c r="F30" s="187"/>
      <c r="G30" s="178" t="s">
        <v>417</v>
      </c>
    </row>
    <row r="31" spans="1:11" ht="15" x14ac:dyDescent="0.25">
      <c r="A31" s="179" t="s">
        <v>418</v>
      </c>
      <c r="B31" s="180"/>
      <c r="C31" s="180"/>
      <c r="D31" s="180"/>
      <c r="E31" s="1001"/>
      <c r="F31" s="1001"/>
      <c r="G31" s="225">
        <v>8536326.3100000005</v>
      </c>
      <c r="H31" s="226"/>
      <c r="I31" s="184"/>
    </row>
    <row r="32" spans="1:11" x14ac:dyDescent="0.2">
      <c r="A32" s="185" t="s">
        <v>404</v>
      </c>
      <c r="B32" s="186"/>
      <c r="C32" s="186"/>
      <c r="D32" s="186"/>
      <c r="E32" s="187"/>
      <c r="F32" s="187"/>
      <c r="G32" s="227"/>
    </row>
    <row r="33" spans="1:12" x14ac:dyDescent="0.2">
      <c r="A33" s="190" t="s">
        <v>419</v>
      </c>
      <c r="B33" s="187"/>
      <c r="C33" s="187"/>
      <c r="D33" s="187"/>
      <c r="E33" s="1001"/>
      <c r="F33" s="1001"/>
      <c r="G33" s="188"/>
    </row>
    <row r="34" spans="1:12" x14ac:dyDescent="0.2">
      <c r="A34" s="190"/>
      <c r="B34" s="187"/>
      <c r="C34" s="187"/>
      <c r="D34" s="187"/>
      <c r="E34" s="248"/>
      <c r="F34" s="248"/>
      <c r="G34" s="188"/>
    </row>
    <row r="35" spans="1:12" x14ac:dyDescent="0.2">
      <c r="A35" s="179" t="s">
        <v>420</v>
      </c>
      <c r="B35" s="180"/>
      <c r="C35" s="180"/>
      <c r="D35" s="180"/>
      <c r="E35" s="1042"/>
      <c r="F35" s="1042"/>
      <c r="G35" s="229">
        <f>SUM(G31:G34)</f>
        <v>8536326.3100000005</v>
      </c>
    </row>
    <row r="36" spans="1:12" x14ac:dyDescent="0.2">
      <c r="A36" s="190"/>
      <c r="B36" s="187"/>
      <c r="C36" s="187"/>
      <c r="D36" s="187"/>
      <c r="E36" s="187"/>
      <c r="F36" s="187"/>
      <c r="G36" s="227"/>
    </row>
    <row r="37" spans="1:12" x14ac:dyDescent="0.2">
      <c r="A37" s="185" t="s">
        <v>409</v>
      </c>
      <c r="B37" s="186"/>
      <c r="C37" s="186"/>
      <c r="D37" s="186"/>
      <c r="E37" s="187"/>
      <c r="F37" s="187"/>
      <c r="G37" s="188"/>
    </row>
    <row r="38" spans="1:12" x14ac:dyDescent="0.2">
      <c r="A38" s="205" t="s">
        <v>421</v>
      </c>
      <c r="B38" s="187"/>
      <c r="C38" s="187"/>
      <c r="D38" s="187"/>
      <c r="E38" s="251"/>
      <c r="F38" s="251"/>
      <c r="G38" s="231">
        <f>-'[9]TRANSF EN TRANSITO'!D8</f>
        <v>-2218.2399999999998</v>
      </c>
      <c r="I38" s="232"/>
      <c r="J38" s="233"/>
      <c r="K38" s="234"/>
      <c r="L38" s="235"/>
    </row>
    <row r="39" spans="1:12" x14ac:dyDescent="0.2">
      <c r="A39" s="205" t="s">
        <v>422</v>
      </c>
      <c r="B39" s="187"/>
      <c r="C39" s="187"/>
      <c r="D39" s="187"/>
      <c r="E39" s="251"/>
      <c r="F39" s="251"/>
      <c r="G39" s="231">
        <f>-'[9]CK EN TRANSITO'!D12</f>
        <v>0</v>
      </c>
      <c r="I39" s="232"/>
      <c r="J39" s="233"/>
      <c r="K39" s="234"/>
      <c r="L39" s="235"/>
    </row>
    <row r="40" spans="1:12" x14ac:dyDescent="0.2">
      <c r="A40" s="190"/>
      <c r="B40" s="187"/>
      <c r="C40" s="187"/>
      <c r="D40" s="187"/>
      <c r="E40" s="251"/>
      <c r="F40" s="251"/>
      <c r="G40" s="182">
        <f>SUM(G38:G39)</f>
        <v>-2218.2399999999998</v>
      </c>
      <c r="I40" s="232"/>
      <c r="J40" s="233"/>
      <c r="K40" s="234"/>
      <c r="L40" s="235"/>
    </row>
    <row r="41" spans="1:12" x14ac:dyDescent="0.2">
      <c r="A41" s="190"/>
      <c r="B41" s="187"/>
      <c r="C41" s="187"/>
      <c r="D41" s="187"/>
      <c r="E41" s="251"/>
      <c r="F41" s="251"/>
      <c r="G41" s="188"/>
      <c r="I41" s="232"/>
      <c r="J41" s="233"/>
      <c r="L41" s="235"/>
    </row>
    <row r="42" spans="1:12" ht="13.5" thickBot="1" x14ac:dyDescent="0.25">
      <c r="A42" s="998" t="s">
        <v>416</v>
      </c>
      <c r="B42" s="999"/>
      <c r="C42" s="215"/>
      <c r="D42" s="215"/>
      <c r="E42" s="236"/>
      <c r="F42" s="236"/>
      <c r="G42" s="216">
        <f>G35+G40</f>
        <v>8534108.0700000003</v>
      </c>
      <c r="I42" s="184"/>
    </row>
    <row r="43" spans="1:12" ht="14.25" thickTop="1" thickBot="1" x14ac:dyDescent="0.25">
      <c r="A43" s="237"/>
      <c r="B43" s="238"/>
      <c r="C43" s="238"/>
      <c r="D43" s="238"/>
      <c r="E43" s="239"/>
      <c r="F43" s="239"/>
      <c r="G43" s="240"/>
      <c r="H43" s="183"/>
    </row>
    <row r="44" spans="1:12" x14ac:dyDescent="0.2">
      <c r="A44" s="180"/>
      <c r="B44" s="180"/>
      <c r="C44" s="180"/>
      <c r="D44" s="180"/>
      <c r="E44" s="187"/>
      <c r="F44" s="187"/>
      <c r="G44" s="241"/>
      <c r="H44" s="242"/>
    </row>
    <row r="45" spans="1:12" x14ac:dyDescent="0.2">
      <c r="A45" s="180"/>
      <c r="B45" s="180"/>
      <c r="C45" s="180"/>
      <c r="D45" s="180"/>
      <c r="E45" s="187"/>
      <c r="F45" s="187"/>
      <c r="G45" s="241"/>
      <c r="I45" s="243"/>
    </row>
    <row r="46" spans="1:12" x14ac:dyDescent="0.2">
      <c r="A46" s="180"/>
      <c r="B46" s="180"/>
      <c r="C46" s="180"/>
      <c r="D46" s="180"/>
      <c r="E46" s="187"/>
      <c r="F46" s="187"/>
      <c r="G46" s="241"/>
    </row>
    <row r="47" spans="1:12" x14ac:dyDescent="0.2">
      <c r="A47" s="180" t="s">
        <v>430</v>
      </c>
      <c r="B47" s="180"/>
      <c r="C47" s="180"/>
      <c r="D47" s="1043" t="s">
        <v>213</v>
      </c>
      <c r="E47" s="1043"/>
      <c r="F47" s="1043"/>
      <c r="G47" s="1043"/>
    </row>
    <row r="48" spans="1:12" x14ac:dyDescent="0.2">
      <c r="A48" s="180"/>
      <c r="B48" s="180"/>
      <c r="C48" s="180"/>
      <c r="D48" s="1041" t="s">
        <v>431</v>
      </c>
      <c r="E48" s="1041"/>
      <c r="F48" s="1041"/>
      <c r="G48" s="1041"/>
    </row>
    <row r="50" spans="1:7" x14ac:dyDescent="0.2">
      <c r="A50" s="244"/>
      <c r="B50" s="244"/>
    </row>
    <row r="51" spans="1:7" x14ac:dyDescent="0.2">
      <c r="A51" s="244"/>
      <c r="B51" s="244"/>
    </row>
    <row r="52" spans="1:7" x14ac:dyDescent="0.2">
      <c r="A52" s="244" t="s">
        <v>432</v>
      </c>
      <c r="B52" s="244"/>
      <c r="D52" s="1043" t="s">
        <v>433</v>
      </c>
      <c r="E52" s="1043"/>
      <c r="F52" s="1043"/>
      <c r="G52" s="1043"/>
    </row>
    <row r="53" spans="1:7" x14ac:dyDescent="0.2">
      <c r="A53" s="244"/>
      <c r="B53" s="244"/>
      <c r="D53" s="1041" t="s">
        <v>434</v>
      </c>
      <c r="E53" s="1041"/>
      <c r="F53" s="1041"/>
      <c r="G53" s="1041"/>
    </row>
    <row r="312" spans="11:11" x14ac:dyDescent="0.2">
      <c r="K312" s="184"/>
    </row>
    <row r="313" spans="11:11" x14ac:dyDescent="0.2">
      <c r="K313" s="184"/>
    </row>
    <row r="314" spans="11:11" x14ac:dyDescent="0.2">
      <c r="K314" s="184"/>
    </row>
    <row r="315" spans="11:11" x14ac:dyDescent="0.2">
      <c r="K315" s="184"/>
    </row>
  </sheetData>
  <mergeCells count="15">
    <mergeCell ref="D47:G47"/>
    <mergeCell ref="D48:G48"/>
    <mergeCell ref="D52:G52"/>
    <mergeCell ref="D53:G53"/>
    <mergeCell ref="A42:B42"/>
    <mergeCell ref="A6:G6"/>
    <mergeCell ref="A7:G7"/>
    <mergeCell ref="A8:G8"/>
    <mergeCell ref="A12:F12"/>
    <mergeCell ref="E15:F15"/>
    <mergeCell ref="A27:B27"/>
    <mergeCell ref="E27:F27"/>
    <mergeCell ref="E31:F31"/>
    <mergeCell ref="E33:F33"/>
    <mergeCell ref="E35:F35"/>
  </mergeCells>
  <pageMargins left="0.7" right="0.7" top="0.75" bottom="0.75" header="0.3" footer="0.3"/>
  <pageSetup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7"/>
  <sheetViews>
    <sheetView workbookViewId="0">
      <selection activeCell="D14" sqref="D14"/>
    </sheetView>
  </sheetViews>
  <sheetFormatPr baseColWidth="10" defaultColWidth="11.42578125" defaultRowHeight="15.75" x14ac:dyDescent="0.25"/>
  <cols>
    <col min="1" max="1" width="7.42578125" style="114" customWidth="1"/>
    <col min="2" max="2" width="63.7109375" style="145" bestFit="1" customWidth="1"/>
    <col min="3" max="3" width="30.140625" style="145" customWidth="1"/>
    <col min="4" max="4" width="23.28515625" style="145" customWidth="1"/>
    <col min="5" max="5" width="16.5703125" style="145" customWidth="1"/>
    <col min="6" max="6" width="17.28515625" style="145" customWidth="1"/>
    <col min="7" max="7" width="23" style="145" customWidth="1"/>
    <col min="8" max="8" width="20.140625" style="145" customWidth="1"/>
    <col min="9" max="9" width="24.28515625" style="145" customWidth="1"/>
    <col min="10" max="10" width="22.42578125" style="145" customWidth="1"/>
    <col min="11" max="11" width="21.28515625" style="145" customWidth="1"/>
    <col min="12" max="12" width="13" style="114" bestFit="1" customWidth="1"/>
    <col min="13" max="16384" width="11.42578125" style="114"/>
  </cols>
  <sheetData>
    <row r="1" spans="1:11" s="107" customFormat="1" x14ac:dyDescent="0.25">
      <c r="A1" s="1048"/>
      <c r="B1" s="1048"/>
      <c r="C1" s="1048"/>
      <c r="D1" s="1048"/>
      <c r="E1" s="1048"/>
      <c r="F1" s="106"/>
      <c r="G1" s="106"/>
      <c r="H1" s="106"/>
      <c r="I1" s="106"/>
      <c r="J1" s="106"/>
      <c r="K1" s="106"/>
    </row>
    <row r="2" spans="1:11" s="8" customFormat="1" x14ac:dyDescent="0.25">
      <c r="A2" s="1049" t="s">
        <v>228</v>
      </c>
      <c r="B2" s="1049"/>
      <c r="C2" s="1049"/>
      <c r="D2" s="1049"/>
      <c r="E2" s="1049"/>
      <c r="F2" s="108"/>
      <c r="G2" s="108"/>
      <c r="H2" s="108"/>
      <c r="I2" s="108"/>
      <c r="J2" s="108"/>
      <c r="K2" s="108"/>
    </row>
    <row r="3" spans="1:11" s="8" customFormat="1" x14ac:dyDescent="0.25">
      <c r="A3" s="917" t="s">
        <v>229</v>
      </c>
      <c r="B3" s="917"/>
      <c r="C3" s="917"/>
      <c r="D3" s="917"/>
      <c r="E3" s="917"/>
    </row>
    <row r="4" spans="1:11" s="8" customFormat="1" x14ac:dyDescent="0.25">
      <c r="A4" s="917" t="s">
        <v>230</v>
      </c>
      <c r="B4" s="917"/>
      <c r="C4" s="917"/>
      <c r="D4" s="917"/>
      <c r="E4" s="917"/>
    </row>
    <row r="5" spans="1:11" s="8" customFormat="1" x14ac:dyDescent="0.25">
      <c r="A5" s="917" t="s">
        <v>231</v>
      </c>
      <c r="B5" s="917"/>
      <c r="C5" s="917"/>
      <c r="D5" s="917"/>
      <c r="E5" s="917"/>
    </row>
    <row r="6" spans="1:11" s="8" customFormat="1" x14ac:dyDescent="0.25">
      <c r="A6" s="1050" t="s">
        <v>232</v>
      </c>
      <c r="B6" s="1050"/>
      <c r="C6" s="1050"/>
      <c r="D6" s="1050"/>
      <c r="E6" s="1050"/>
      <c r="F6" s="109"/>
      <c r="G6" s="109"/>
      <c r="H6" s="109"/>
      <c r="I6" s="109"/>
      <c r="J6" s="109"/>
      <c r="K6" s="109"/>
    </row>
    <row r="7" spans="1:11" x14ac:dyDescent="0.25">
      <c r="A7" s="110" t="s">
        <v>233</v>
      </c>
      <c r="B7" s="111" t="s">
        <v>234</v>
      </c>
      <c r="C7" s="111" t="s">
        <v>235</v>
      </c>
      <c r="D7" s="112" t="s">
        <v>236</v>
      </c>
      <c r="E7" s="110">
        <v>2016</v>
      </c>
      <c r="F7" s="110">
        <v>2017</v>
      </c>
      <c r="G7" s="110">
        <v>2018</v>
      </c>
      <c r="H7" s="110">
        <v>2019</v>
      </c>
      <c r="I7" s="113">
        <v>2020</v>
      </c>
      <c r="J7" s="113">
        <v>2021</v>
      </c>
      <c r="K7" s="113">
        <v>2022</v>
      </c>
    </row>
    <row r="8" spans="1:11" s="121" customFormat="1" x14ac:dyDescent="0.25">
      <c r="A8" s="115">
        <v>1</v>
      </c>
      <c r="B8" s="116" t="s">
        <v>237</v>
      </c>
      <c r="C8" s="117">
        <f>SUM(D8:K8)</f>
        <v>1508114.17</v>
      </c>
      <c r="D8" s="118"/>
      <c r="E8" s="118">
        <v>0</v>
      </c>
      <c r="F8" s="119">
        <v>0</v>
      </c>
      <c r="G8" s="119"/>
      <c r="H8" s="119"/>
      <c r="I8" s="120"/>
      <c r="J8" s="120"/>
      <c r="K8" s="120">
        <f>28658+360070+137820+178475-28658+171620+160716+499413.17</f>
        <v>1508114.17</v>
      </c>
    </row>
    <row r="9" spans="1:11" s="121" customFormat="1" x14ac:dyDescent="0.25">
      <c r="A9" s="115">
        <f>+A8+1</f>
        <v>2</v>
      </c>
      <c r="B9" s="116" t="s">
        <v>238</v>
      </c>
      <c r="C9" s="117">
        <f t="shared" ref="C9:C44" si="0">SUM(D9:K9)</f>
        <v>267805.07</v>
      </c>
      <c r="D9" s="118"/>
      <c r="E9" s="118"/>
      <c r="F9" s="119"/>
      <c r="G9" s="119"/>
      <c r="H9" s="119"/>
      <c r="I9" s="122"/>
      <c r="J9" s="122">
        <f>+'[10]ENERO REB'!E257</f>
        <v>267805.07</v>
      </c>
      <c r="K9" s="122"/>
    </row>
    <row r="10" spans="1:11" s="121" customFormat="1" x14ac:dyDescent="0.25">
      <c r="A10" s="115">
        <f t="shared" ref="A10:A73" si="1">+A9+1</f>
        <v>3</v>
      </c>
      <c r="B10" s="123" t="s">
        <v>239</v>
      </c>
      <c r="C10" s="117">
        <f t="shared" si="0"/>
        <v>0</v>
      </c>
      <c r="D10" s="118"/>
      <c r="E10" s="118"/>
      <c r="F10" s="124"/>
      <c r="G10" s="124"/>
      <c r="H10" s="124"/>
      <c r="I10" s="125"/>
      <c r="J10" s="125"/>
      <c r="K10" s="120"/>
    </row>
    <row r="11" spans="1:11" s="121" customFormat="1" x14ac:dyDescent="0.25">
      <c r="A11" s="115">
        <f t="shared" si="1"/>
        <v>4</v>
      </c>
      <c r="B11" s="126" t="s">
        <v>240</v>
      </c>
      <c r="C11" s="117">
        <f t="shared" si="0"/>
        <v>961403</v>
      </c>
      <c r="D11" s="118"/>
      <c r="E11" s="118"/>
      <c r="F11" s="124"/>
      <c r="G11" s="124">
        <f>107852+382261+182605-107852+241310+330518-182605-182605-8968-199656+265500-562860-265500</f>
        <v>0</v>
      </c>
      <c r="H11" s="124"/>
      <c r="I11" s="125"/>
      <c r="J11" s="120"/>
      <c r="K11" s="120">
        <f>252992+1135691-300000+122720-250000</f>
        <v>961403</v>
      </c>
    </row>
    <row r="12" spans="1:11" s="121" customFormat="1" x14ac:dyDescent="0.25">
      <c r="A12" s="115">
        <f t="shared" si="1"/>
        <v>5</v>
      </c>
      <c r="B12" s="116" t="s">
        <v>241</v>
      </c>
      <c r="C12" s="117">
        <f t="shared" si="0"/>
        <v>100650</v>
      </c>
      <c r="D12" s="118">
        <f>100650</f>
        <v>100650</v>
      </c>
      <c r="E12" s="118"/>
      <c r="F12" s="122"/>
      <c r="G12" s="119"/>
      <c r="H12" s="119"/>
      <c r="I12" s="120"/>
      <c r="J12" s="120"/>
      <c r="K12" s="120"/>
    </row>
    <row r="13" spans="1:11" x14ac:dyDescent="0.25">
      <c r="A13" s="127">
        <f t="shared" si="1"/>
        <v>6</v>
      </c>
      <c r="B13" s="123" t="s">
        <v>242</v>
      </c>
      <c r="C13" s="117">
        <f t="shared" si="0"/>
        <v>4156965.8700000024</v>
      </c>
      <c r="D13" s="118"/>
      <c r="E13" s="118">
        <v>0</v>
      </c>
      <c r="F13" s="118"/>
      <c r="G13" s="118">
        <v>0</v>
      </c>
      <c r="H13" s="128"/>
      <c r="I13" s="129"/>
      <c r="J13" s="129"/>
      <c r="K13" s="129">
        <f>2609720.48+61999.42+37434.54+19107.11+37434.54+44451.66+38214.22+19886.79+56541.66+73309.73+38214.22+41332.94+40217.68+40217.68+38214.22-2783.14-853280.01-1306582.7+58100.35+25207.86+72132.7+50391.45+41292.35+44931.99+46751.81+44931.99+48571.63+86224.35+64668.26+44931.99+68307.9+45+45841.9+74869.09+44931.99-44956.98+94413.53+68307.9+45841.9+66488.08+10+105960.61+44931.99-10+52211.27+44931.99+67397.99+22465.99+48571.63+41292.35+49481.54+45841.9+43112.17+69566.5+44931.99+46751.81+46751.81+45841.9+69217.81+44022.08+43112.17+45841.9+67397.99+49481.54+107388.67+65578.17+44022.08+64668.26+70127.72+41292.35+61938.53+44931.99+46751.81+88954.08+109599.05+38937.72+44022.08+63758.35</f>
        <v>4156965.8700000024</v>
      </c>
    </row>
    <row r="14" spans="1:11" s="121" customFormat="1" x14ac:dyDescent="0.25">
      <c r="A14" s="115">
        <f t="shared" si="1"/>
        <v>7</v>
      </c>
      <c r="B14" s="126" t="s">
        <v>243</v>
      </c>
      <c r="C14" s="117"/>
      <c r="D14" s="118"/>
      <c r="E14" s="118"/>
      <c r="F14" s="124"/>
      <c r="G14" s="124"/>
      <c r="H14" s="124"/>
      <c r="I14" s="125"/>
      <c r="J14" s="120"/>
      <c r="K14" s="120"/>
    </row>
    <row r="15" spans="1:11" s="121" customFormat="1" x14ac:dyDescent="0.25">
      <c r="A15" s="115">
        <f t="shared" si="1"/>
        <v>8</v>
      </c>
      <c r="B15" s="123" t="s">
        <v>244</v>
      </c>
      <c r="C15" s="117">
        <f t="shared" si="0"/>
        <v>795105.3</v>
      </c>
      <c r="D15" s="118"/>
      <c r="E15" s="118"/>
      <c r="F15" s="119"/>
      <c r="G15" s="119"/>
      <c r="H15" s="119"/>
      <c r="I15" s="120"/>
      <c r="J15" s="120">
        <f>583026.3-335785</f>
        <v>247241.30000000005</v>
      </c>
      <c r="K15" s="120">
        <f>1693206.8-760386.8-477220+92264</f>
        <v>547864</v>
      </c>
    </row>
    <row r="16" spans="1:11" s="121" customFormat="1" x14ac:dyDescent="0.25">
      <c r="A16" s="115">
        <f t="shared" si="1"/>
        <v>9</v>
      </c>
      <c r="B16" s="123" t="s">
        <v>245</v>
      </c>
      <c r="C16" s="117"/>
      <c r="D16" s="118"/>
      <c r="E16" s="118"/>
      <c r="F16" s="119"/>
      <c r="G16" s="119"/>
      <c r="H16" s="119"/>
      <c r="I16" s="120"/>
      <c r="J16" s="120"/>
      <c r="K16" s="120"/>
    </row>
    <row r="17" spans="1:11" s="121" customFormat="1" x14ac:dyDescent="0.25">
      <c r="A17" s="115">
        <f t="shared" si="1"/>
        <v>10</v>
      </c>
      <c r="B17" s="126" t="s">
        <v>246</v>
      </c>
      <c r="C17" s="117">
        <f t="shared" si="0"/>
        <v>477851.68</v>
      </c>
      <c r="D17" s="118"/>
      <c r="E17" s="118"/>
      <c r="F17" s="124"/>
      <c r="G17" s="124"/>
      <c r="H17" s="124"/>
      <c r="I17" s="125"/>
      <c r="J17" s="120">
        <f>477851.68</f>
        <v>477851.68</v>
      </c>
      <c r="K17" s="120"/>
    </row>
    <row r="18" spans="1:11" s="121" customFormat="1" x14ac:dyDescent="0.25">
      <c r="A18" s="115">
        <f t="shared" si="1"/>
        <v>11</v>
      </c>
      <c r="B18" s="116" t="s">
        <v>247</v>
      </c>
      <c r="C18" s="117"/>
      <c r="D18" s="118"/>
      <c r="E18" s="118">
        <v>0</v>
      </c>
      <c r="F18" s="119">
        <v>0</v>
      </c>
      <c r="G18" s="119">
        <f>17500+165800+52000-165800-69500</f>
        <v>0</v>
      </c>
      <c r="H18" s="119"/>
      <c r="I18" s="120"/>
      <c r="J18" s="120"/>
      <c r="K18" s="120"/>
    </row>
    <row r="19" spans="1:11" s="121" customFormat="1" x14ac:dyDescent="0.25">
      <c r="A19" s="115">
        <f t="shared" si="1"/>
        <v>12</v>
      </c>
      <c r="B19" s="116" t="s">
        <v>248</v>
      </c>
      <c r="C19" s="117">
        <f t="shared" si="0"/>
        <v>124545.46</v>
      </c>
      <c r="D19" s="118">
        <f>124545.46</f>
        <v>124545.46</v>
      </c>
      <c r="E19" s="118"/>
      <c r="F19" s="119"/>
      <c r="G19" s="119"/>
      <c r="H19" s="119"/>
      <c r="I19" s="120"/>
      <c r="J19" s="120"/>
      <c r="K19" s="120"/>
    </row>
    <row r="20" spans="1:11" s="121" customFormat="1" x14ac:dyDescent="0.25">
      <c r="A20" s="115">
        <f t="shared" si="1"/>
        <v>13</v>
      </c>
      <c r="B20" s="116" t="s">
        <v>249</v>
      </c>
      <c r="C20" s="117"/>
      <c r="D20" s="118"/>
      <c r="E20" s="118">
        <f>3195-3195</f>
        <v>0</v>
      </c>
      <c r="F20" s="119">
        <v>0</v>
      </c>
      <c r="G20" s="119"/>
      <c r="H20" s="119"/>
      <c r="I20" s="120"/>
      <c r="J20" s="120"/>
      <c r="K20" s="120"/>
    </row>
    <row r="21" spans="1:11" s="121" customFormat="1" x14ac:dyDescent="0.25">
      <c r="A21" s="115">
        <f t="shared" si="1"/>
        <v>14</v>
      </c>
      <c r="B21" s="116" t="s">
        <v>250</v>
      </c>
      <c r="C21" s="117">
        <f>SUM(D21:K21)</f>
        <v>3349020.32</v>
      </c>
      <c r="D21" s="118"/>
      <c r="E21" s="124">
        <v>0</v>
      </c>
      <c r="F21" s="124">
        <v>0</v>
      </c>
      <c r="G21" s="124">
        <f>1647950.84+324617-154787.76+103444-277396.58+33400+103333.2-271569.4-212551.2+247911.9-247911.9-247911.9-322504-264674-324617-136733.2</f>
        <v>0</v>
      </c>
      <c r="H21" s="124"/>
      <c r="I21" s="125">
        <f>104960-104960</f>
        <v>0</v>
      </c>
      <c r="J21" s="120"/>
      <c r="K21" s="120">
        <f>1609038.96+475587.44+42442+409357.16-250000+119840.06-42442+83352.8-289103.88+375920.76-350258.91+565432.7+18141.09+140666.52+441045.62</f>
        <v>3349020.32</v>
      </c>
    </row>
    <row r="22" spans="1:11" s="121" customFormat="1" x14ac:dyDescent="0.25">
      <c r="A22" s="115">
        <f t="shared" si="1"/>
        <v>15</v>
      </c>
      <c r="B22" s="130" t="s">
        <v>251</v>
      </c>
      <c r="C22" s="117">
        <f t="shared" si="0"/>
        <v>1445542.43</v>
      </c>
      <c r="D22" s="118"/>
      <c r="E22" s="124">
        <f>1272206.09-196939.6+9616.64-250625.44-12885.6-411805.99-47080.15-362485.95</f>
        <v>0</v>
      </c>
      <c r="F22" s="124">
        <v>0</v>
      </c>
      <c r="G22" s="124"/>
      <c r="H22" s="124"/>
      <c r="I22" s="125"/>
      <c r="J22" s="120"/>
      <c r="K22" s="120">
        <f>1445542.43</f>
        <v>1445542.43</v>
      </c>
    </row>
    <row r="23" spans="1:11" s="121" customFormat="1" x14ac:dyDescent="0.25">
      <c r="A23" s="115">
        <f t="shared" si="1"/>
        <v>16</v>
      </c>
      <c r="B23" s="130" t="s">
        <v>252</v>
      </c>
      <c r="C23" s="117">
        <f t="shared" si="0"/>
        <v>85779.98</v>
      </c>
      <c r="D23" s="118"/>
      <c r="E23" s="124"/>
      <c r="F23" s="124"/>
      <c r="G23" s="124"/>
      <c r="H23" s="124"/>
      <c r="I23" s="125"/>
      <c r="J23" s="120"/>
      <c r="K23" s="120">
        <v>85779.98</v>
      </c>
    </row>
    <row r="24" spans="1:11" s="121" customFormat="1" x14ac:dyDescent="0.25">
      <c r="A24" s="115">
        <f t="shared" si="1"/>
        <v>17</v>
      </c>
      <c r="B24" s="123" t="s">
        <v>253</v>
      </c>
      <c r="C24" s="117">
        <f t="shared" si="0"/>
        <v>7700</v>
      </c>
      <c r="D24" s="118"/>
      <c r="E24" s="118">
        <f>4480+560+560-5600</f>
        <v>0</v>
      </c>
      <c r="F24" s="124">
        <v>0</v>
      </c>
      <c r="G24" s="124"/>
      <c r="H24" s="124"/>
      <c r="I24" s="125"/>
      <c r="J24" s="120"/>
      <c r="K24" s="120">
        <f>6950-4200+1650+1650+1650</f>
        <v>7700</v>
      </c>
    </row>
    <row r="25" spans="1:11" s="121" customFormat="1" x14ac:dyDescent="0.25">
      <c r="A25" s="115">
        <f t="shared" si="1"/>
        <v>18</v>
      </c>
      <c r="B25" s="123" t="s">
        <v>254</v>
      </c>
      <c r="C25" s="117">
        <f t="shared" si="0"/>
        <v>1076350</v>
      </c>
      <c r="D25" s="118"/>
      <c r="E25" s="118"/>
      <c r="F25" s="119"/>
      <c r="G25" s="119"/>
      <c r="H25" s="119"/>
      <c r="I25" s="120"/>
      <c r="J25" s="120">
        <f>1430350+345000-345000-391800</f>
        <v>1038550</v>
      </c>
      <c r="K25" s="120">
        <f>644800-607000</f>
        <v>37800</v>
      </c>
    </row>
    <row r="26" spans="1:11" s="121" customFormat="1" x14ac:dyDescent="0.25">
      <c r="A26" s="115">
        <f t="shared" si="1"/>
        <v>19</v>
      </c>
      <c r="B26" s="123" t="s">
        <v>255</v>
      </c>
      <c r="C26" s="117">
        <f t="shared" si="0"/>
        <v>55460</v>
      </c>
      <c r="D26" s="118">
        <f>55460</f>
        <v>55460</v>
      </c>
      <c r="E26" s="118"/>
      <c r="F26" s="119"/>
      <c r="G26" s="119"/>
      <c r="H26" s="119"/>
      <c r="I26" s="120"/>
      <c r="J26" s="120"/>
      <c r="K26" s="120"/>
    </row>
    <row r="27" spans="1:11" s="121" customFormat="1" x14ac:dyDescent="0.25">
      <c r="A27" s="115">
        <f t="shared" si="1"/>
        <v>20</v>
      </c>
      <c r="B27" s="123" t="s">
        <v>256</v>
      </c>
      <c r="C27" s="117">
        <f t="shared" si="0"/>
        <v>5234933</v>
      </c>
      <c r="D27" s="118">
        <v>3557427</v>
      </c>
      <c r="E27" s="118">
        <f>342228</f>
        <v>342228</v>
      </c>
      <c r="F27" s="119">
        <f>153204</f>
        <v>153204</v>
      </c>
      <c r="G27" s="119">
        <v>216122</v>
      </c>
      <c r="H27" s="119">
        <v>836352</v>
      </c>
      <c r="I27" s="120"/>
      <c r="J27" s="120"/>
      <c r="K27" s="120">
        <f>43200+43200-43200+43200+43200-43200+43200</f>
        <v>129600</v>
      </c>
    </row>
    <row r="28" spans="1:11" s="121" customFormat="1" x14ac:dyDescent="0.25">
      <c r="A28" s="115">
        <f t="shared" si="1"/>
        <v>21</v>
      </c>
      <c r="B28" s="123" t="s">
        <v>257</v>
      </c>
      <c r="C28" s="117">
        <f t="shared" si="0"/>
        <v>370978.43</v>
      </c>
      <c r="D28" s="118"/>
      <c r="E28" s="118"/>
      <c r="F28" s="119"/>
      <c r="G28" s="119"/>
      <c r="H28" s="119"/>
      <c r="I28" s="131"/>
      <c r="J28" s="131">
        <f>+'[10]ENERO REB'!E442</f>
        <v>370978.43</v>
      </c>
      <c r="K28" s="131"/>
    </row>
    <row r="29" spans="1:11" x14ac:dyDescent="0.25">
      <c r="A29" s="115">
        <f t="shared" si="1"/>
        <v>22</v>
      </c>
      <c r="B29" s="123" t="s">
        <v>258</v>
      </c>
      <c r="C29" s="117">
        <f>SUM(D29:K29)</f>
        <v>508344</v>
      </c>
      <c r="D29" s="118"/>
      <c r="E29" s="118"/>
      <c r="F29" s="119"/>
      <c r="G29" s="119"/>
      <c r="H29" s="119"/>
      <c r="I29" s="131"/>
      <c r="J29" s="131">
        <f>926386.14-250000-168042.14</f>
        <v>508344</v>
      </c>
      <c r="K29" s="131">
        <f>495733.4-495733.4</f>
        <v>0</v>
      </c>
    </row>
    <row r="30" spans="1:11" s="121" customFormat="1" x14ac:dyDescent="0.25">
      <c r="A30" s="115">
        <f t="shared" si="1"/>
        <v>23</v>
      </c>
      <c r="B30" s="123" t="s">
        <v>259</v>
      </c>
      <c r="C30" s="117">
        <f t="shared" si="0"/>
        <v>405692.26</v>
      </c>
      <c r="D30" s="118"/>
      <c r="E30" s="118"/>
      <c r="F30" s="119"/>
      <c r="G30" s="119">
        <f>244497.18</f>
        <v>244497.18</v>
      </c>
      <c r="H30" s="119">
        <f>161194.52+0.56</f>
        <v>161195.07999999999</v>
      </c>
      <c r="I30" s="131"/>
      <c r="J30" s="131"/>
      <c r="K30" s="131"/>
    </row>
    <row r="31" spans="1:11" s="121" customFormat="1" x14ac:dyDescent="0.25">
      <c r="A31" s="115">
        <f t="shared" si="1"/>
        <v>24</v>
      </c>
      <c r="B31" s="116" t="s">
        <v>260</v>
      </c>
      <c r="C31" s="117">
        <f t="shared" si="0"/>
        <v>11300</v>
      </c>
      <c r="D31" s="118"/>
      <c r="E31" s="118">
        <v>0</v>
      </c>
      <c r="F31" s="119">
        <f>2300-2300</f>
        <v>0</v>
      </c>
      <c r="G31" s="119">
        <f>39900+4900+2600+5200+4500-42500-4500-10100</f>
        <v>0</v>
      </c>
      <c r="H31" s="119"/>
      <c r="I31" s="131"/>
      <c r="J31" s="131"/>
      <c r="K31" s="131">
        <f>9800+4100-9800+7200</f>
        <v>11300</v>
      </c>
    </row>
    <row r="32" spans="1:11" s="121" customFormat="1" x14ac:dyDescent="0.25">
      <c r="A32" s="115">
        <f t="shared" si="1"/>
        <v>25</v>
      </c>
      <c r="B32" s="116" t="s">
        <v>261</v>
      </c>
      <c r="C32" s="117">
        <f t="shared" si="0"/>
        <v>60905.7</v>
      </c>
      <c r="D32" s="118"/>
      <c r="E32" s="118"/>
      <c r="F32" s="119"/>
      <c r="G32" s="119"/>
      <c r="H32" s="119"/>
      <c r="I32" s="131"/>
      <c r="J32" s="131"/>
      <c r="K32" s="131">
        <f>60905.7</f>
        <v>60905.7</v>
      </c>
    </row>
    <row r="33" spans="1:11" s="121" customFormat="1" ht="35.25" customHeight="1" x14ac:dyDescent="0.25">
      <c r="A33" s="115">
        <f t="shared" si="1"/>
        <v>26</v>
      </c>
      <c r="B33" s="132" t="s">
        <v>262</v>
      </c>
      <c r="C33" s="117">
        <f t="shared" si="0"/>
        <v>265000</v>
      </c>
      <c r="D33" s="118"/>
      <c r="E33" s="118"/>
      <c r="F33" s="119"/>
      <c r="G33" s="119"/>
      <c r="H33" s="119"/>
      <c r="I33" s="131"/>
      <c r="J33" s="131">
        <f>135000-105000</f>
        <v>30000</v>
      </c>
      <c r="K33" s="131">
        <f>235000</f>
        <v>235000</v>
      </c>
    </row>
    <row r="34" spans="1:11" s="121" customFormat="1" ht="30.75" customHeight="1" x14ac:dyDescent="0.25">
      <c r="A34" s="115">
        <f t="shared" si="1"/>
        <v>27</v>
      </c>
      <c r="B34" s="133" t="s">
        <v>263</v>
      </c>
      <c r="C34" s="117">
        <f t="shared" si="0"/>
        <v>97500</v>
      </c>
      <c r="D34" s="118"/>
      <c r="E34" s="118"/>
      <c r="F34" s="119">
        <f>4500-4500</f>
        <v>0</v>
      </c>
      <c r="G34" s="119">
        <f>14100+60400+9000-4500+4499.15-4499.15-74500+130000-130000-4500</f>
        <v>0</v>
      </c>
      <c r="H34" s="119"/>
      <c r="I34" s="131">
        <f>178000+25000+45000-500-178000+8500-69500+5500-14000</f>
        <v>0</v>
      </c>
      <c r="J34" s="131"/>
      <c r="K34" s="131">
        <f>40000+41500+16000</f>
        <v>97500</v>
      </c>
    </row>
    <row r="35" spans="1:11" s="121" customFormat="1" ht="32.25" customHeight="1" x14ac:dyDescent="0.25">
      <c r="A35" s="115">
        <f t="shared" si="1"/>
        <v>28</v>
      </c>
      <c r="B35" s="134" t="s">
        <v>264</v>
      </c>
      <c r="C35" s="117">
        <f>SUM(D35:K35)</f>
        <v>1353393.69</v>
      </c>
      <c r="D35" s="118"/>
      <c r="E35" s="118">
        <v>0</v>
      </c>
      <c r="F35" s="119"/>
      <c r="G35" s="119"/>
      <c r="H35" s="119"/>
      <c r="I35" s="131">
        <f>590527-590527</f>
        <v>0</v>
      </c>
      <c r="J35" s="131"/>
      <c r="K35" s="131">
        <f>1353393.69</f>
        <v>1353393.69</v>
      </c>
    </row>
    <row r="36" spans="1:11" s="121" customFormat="1" ht="32.25" customHeight="1" x14ac:dyDescent="0.25">
      <c r="A36" s="115">
        <f t="shared" si="1"/>
        <v>29</v>
      </c>
      <c r="B36" s="134" t="s">
        <v>265</v>
      </c>
      <c r="C36" s="117">
        <f t="shared" si="0"/>
        <v>63720</v>
      </c>
      <c r="D36" s="118"/>
      <c r="E36" s="118"/>
      <c r="F36" s="119"/>
      <c r="G36" s="119"/>
      <c r="H36" s="119"/>
      <c r="I36" s="131"/>
      <c r="J36" s="131"/>
      <c r="K36" s="131">
        <f>63720</f>
        <v>63720</v>
      </c>
    </row>
    <row r="37" spans="1:11" x14ac:dyDescent="0.25">
      <c r="A37" s="115">
        <f t="shared" si="1"/>
        <v>30</v>
      </c>
      <c r="B37" s="116" t="s">
        <v>266</v>
      </c>
      <c r="C37" s="117">
        <f t="shared" si="0"/>
        <v>128250</v>
      </c>
      <c r="D37" s="118"/>
      <c r="E37" s="118"/>
      <c r="F37" s="119">
        <f>128250</f>
        <v>128250</v>
      </c>
      <c r="G37" s="119"/>
      <c r="H37" s="119"/>
      <c r="I37" s="131"/>
      <c r="J37" s="135"/>
      <c r="K37" s="135"/>
    </row>
    <row r="38" spans="1:11" x14ac:dyDescent="0.25">
      <c r="A38" s="115">
        <f t="shared" si="1"/>
        <v>31</v>
      </c>
      <c r="B38" s="116" t="s">
        <v>267</v>
      </c>
      <c r="C38" s="117">
        <f t="shared" si="0"/>
        <v>2547150</v>
      </c>
      <c r="D38" s="118"/>
      <c r="E38" s="118"/>
      <c r="F38" s="119"/>
      <c r="G38" s="119"/>
      <c r="H38" s="119"/>
      <c r="I38" s="131"/>
      <c r="J38" s="131"/>
      <c r="K38" s="131">
        <f>367250+605750+494000+2500+555500-367250+349200+617975-300000-194000+416225</f>
        <v>2547150</v>
      </c>
    </row>
    <row r="39" spans="1:11" x14ac:dyDescent="0.25">
      <c r="A39" s="115">
        <f t="shared" si="1"/>
        <v>32</v>
      </c>
      <c r="B39" s="116" t="s">
        <v>268</v>
      </c>
      <c r="C39" s="117">
        <f t="shared" si="0"/>
        <v>52864</v>
      </c>
      <c r="D39" s="118"/>
      <c r="E39" s="118"/>
      <c r="F39" s="119"/>
      <c r="G39" s="119"/>
      <c r="H39" s="119"/>
      <c r="I39" s="131"/>
      <c r="J39" s="131"/>
      <c r="K39" s="131">
        <f>52864</f>
        <v>52864</v>
      </c>
    </row>
    <row r="40" spans="1:11" x14ac:dyDescent="0.25">
      <c r="A40" s="115">
        <f t="shared" si="1"/>
        <v>33</v>
      </c>
      <c r="B40" s="116" t="s">
        <v>269</v>
      </c>
      <c r="C40" s="117">
        <f t="shared" si="0"/>
        <v>191444.1</v>
      </c>
      <c r="D40" s="118"/>
      <c r="E40" s="118"/>
      <c r="F40" s="119"/>
      <c r="G40" s="119"/>
      <c r="H40" s="119"/>
      <c r="I40" s="131"/>
      <c r="J40" s="131">
        <f>+'[10]ENERO REB'!E506</f>
        <v>191444.1</v>
      </c>
      <c r="K40" s="131"/>
    </row>
    <row r="41" spans="1:11" x14ac:dyDescent="0.25">
      <c r="A41" s="115">
        <f t="shared" si="1"/>
        <v>34</v>
      </c>
      <c r="B41" s="116" t="s">
        <v>270</v>
      </c>
      <c r="C41" s="117">
        <f t="shared" si="0"/>
        <v>483249</v>
      </c>
      <c r="D41" s="118"/>
      <c r="E41" s="118"/>
      <c r="F41" s="119"/>
      <c r="G41" s="119"/>
      <c r="H41" s="119"/>
      <c r="I41" s="131"/>
      <c r="J41" s="131">
        <f>483249</f>
        <v>483249</v>
      </c>
      <c r="K41" s="131"/>
    </row>
    <row r="42" spans="1:11" x14ac:dyDescent="0.25">
      <c r="A42" s="115">
        <f t="shared" si="1"/>
        <v>35</v>
      </c>
      <c r="B42" s="116" t="s">
        <v>271</v>
      </c>
      <c r="C42" s="117">
        <f>D42+E42+F42+G42+H42+I42+J42+K42</f>
        <v>516844.3</v>
      </c>
      <c r="D42" s="118"/>
      <c r="E42" s="118"/>
      <c r="F42" s="119"/>
      <c r="G42" s="119"/>
      <c r="H42" s="119"/>
      <c r="I42" s="131"/>
      <c r="J42" s="131"/>
      <c r="K42" s="131">
        <f>173520+173324.3+170000</f>
        <v>516844.3</v>
      </c>
    </row>
    <row r="43" spans="1:11" x14ac:dyDescent="0.25">
      <c r="A43" s="115">
        <f t="shared" si="1"/>
        <v>36</v>
      </c>
      <c r="B43" s="116" t="s">
        <v>272</v>
      </c>
      <c r="C43" s="117">
        <f t="shared" si="0"/>
        <v>0</v>
      </c>
      <c r="D43" s="118"/>
      <c r="E43" s="118"/>
      <c r="F43" s="124"/>
      <c r="G43" s="124"/>
      <c r="H43" s="124"/>
      <c r="I43" s="135"/>
      <c r="J43" s="131"/>
      <c r="K43" s="131"/>
    </row>
    <row r="44" spans="1:11" x14ac:dyDescent="0.25">
      <c r="A44" s="115">
        <f t="shared" si="1"/>
        <v>37</v>
      </c>
      <c r="B44" s="116" t="s">
        <v>273</v>
      </c>
      <c r="C44" s="117">
        <f t="shared" si="0"/>
        <v>4262708.8</v>
      </c>
      <c r="D44" s="118"/>
      <c r="E44" s="118">
        <v>0</v>
      </c>
      <c r="F44" s="119">
        <f>1489607-89540-177709-62500-89975-247000-377565-220806-224512</f>
        <v>0</v>
      </c>
      <c r="G44" s="119"/>
      <c r="H44" s="119"/>
      <c r="I44" s="131"/>
      <c r="J44" s="131">
        <f>3231238.5-190000-200000</f>
        <v>2841238.5</v>
      </c>
      <c r="K44" s="131">
        <f>659320+368632+124337+0.6-300000+759280-852289.6+221825+440365.3</f>
        <v>1421470.3</v>
      </c>
    </row>
    <row r="45" spans="1:11" x14ac:dyDescent="0.25">
      <c r="A45" s="115">
        <f t="shared" si="1"/>
        <v>38</v>
      </c>
      <c r="B45" s="116" t="s">
        <v>274</v>
      </c>
      <c r="C45" s="117">
        <f t="shared" ref="C45:C64" si="2">SUM(D45:K45)</f>
        <v>62894</v>
      </c>
      <c r="D45" s="118"/>
      <c r="E45" s="118"/>
      <c r="F45" s="119"/>
      <c r="G45" s="119"/>
      <c r="H45" s="119">
        <f>62894</f>
        <v>62894</v>
      </c>
      <c r="I45" s="131"/>
      <c r="J45" s="131"/>
      <c r="K45" s="131"/>
    </row>
    <row r="46" spans="1:11" x14ac:dyDescent="0.25">
      <c r="A46" s="115">
        <f t="shared" si="1"/>
        <v>39</v>
      </c>
      <c r="B46" s="123" t="s">
        <v>275</v>
      </c>
      <c r="C46" s="117">
        <f t="shared" si="2"/>
        <v>37115</v>
      </c>
      <c r="D46" s="118">
        <f>37115</f>
        <v>37115</v>
      </c>
      <c r="E46" s="118"/>
      <c r="F46" s="124"/>
      <c r="G46" s="124"/>
      <c r="H46" s="124"/>
      <c r="I46" s="135"/>
      <c r="J46" s="131"/>
      <c r="K46" s="131"/>
    </row>
    <row r="47" spans="1:11" x14ac:dyDescent="0.25">
      <c r="A47" s="115">
        <f t="shared" si="1"/>
        <v>40</v>
      </c>
      <c r="B47" s="136" t="s">
        <v>276</v>
      </c>
      <c r="C47" s="117">
        <f t="shared" si="2"/>
        <v>205628</v>
      </c>
      <c r="D47" s="118">
        <f>205628</f>
        <v>205628</v>
      </c>
      <c r="E47" s="118"/>
      <c r="F47" s="124"/>
      <c r="G47" s="124"/>
      <c r="H47" s="124"/>
      <c r="I47" s="135"/>
      <c r="J47" s="131"/>
      <c r="K47" s="131"/>
    </row>
    <row r="48" spans="1:11" x14ac:dyDescent="0.25">
      <c r="A48" s="115">
        <f t="shared" si="1"/>
        <v>41</v>
      </c>
      <c r="B48" s="123" t="s">
        <v>277</v>
      </c>
      <c r="C48" s="117">
        <f>SUM(D48:K48)</f>
        <v>814960</v>
      </c>
      <c r="D48" s="118"/>
      <c r="E48" s="118"/>
      <c r="F48" s="124"/>
      <c r="G48" s="124"/>
      <c r="H48" s="124"/>
      <c r="I48" s="135"/>
      <c r="J48" s="131">
        <f>906840-250000</f>
        <v>656840</v>
      </c>
      <c r="K48" s="131">
        <f>158120</f>
        <v>158120</v>
      </c>
    </row>
    <row r="49" spans="1:11" x14ac:dyDescent="0.25">
      <c r="A49" s="115">
        <f t="shared" si="1"/>
        <v>42</v>
      </c>
      <c r="B49" s="123" t="s">
        <v>278</v>
      </c>
      <c r="C49" s="117">
        <f t="shared" si="2"/>
        <v>384750.79999999993</v>
      </c>
      <c r="D49" s="118"/>
      <c r="E49" s="118"/>
      <c r="F49" s="124"/>
      <c r="G49" s="124"/>
      <c r="H49" s="124"/>
      <c r="I49" s="135"/>
      <c r="J49" s="131">
        <f>674395.2-167442-213062.4</f>
        <v>293890.79999999993</v>
      </c>
      <c r="K49" s="131">
        <v>90860</v>
      </c>
    </row>
    <row r="50" spans="1:11" s="121" customFormat="1" x14ac:dyDescent="0.25">
      <c r="A50" s="115">
        <f t="shared" si="1"/>
        <v>43</v>
      </c>
      <c r="B50" s="137" t="s">
        <v>279</v>
      </c>
      <c r="C50" s="117">
        <f>D50+E50+F50+G50+H50+I50+J50+K50</f>
        <v>347461.4</v>
      </c>
      <c r="D50" s="118"/>
      <c r="E50" s="118"/>
      <c r="F50" s="124"/>
      <c r="G50" s="124"/>
      <c r="H50" s="124"/>
      <c r="I50" s="135"/>
      <c r="J50" s="131"/>
      <c r="K50" s="131">
        <f>347461.4</f>
        <v>347461.4</v>
      </c>
    </row>
    <row r="51" spans="1:11" s="121" customFormat="1" x14ac:dyDescent="0.25">
      <c r="A51" s="115">
        <f t="shared" si="1"/>
        <v>44</v>
      </c>
      <c r="B51" s="137" t="s">
        <v>280</v>
      </c>
      <c r="C51" s="117">
        <f>D51+E51+F51+G51+H51+I51+J51+K51</f>
        <v>0</v>
      </c>
      <c r="D51" s="118"/>
      <c r="E51" s="118"/>
      <c r="F51" s="124"/>
      <c r="G51" s="124"/>
      <c r="H51" s="124"/>
      <c r="I51" s="135"/>
      <c r="J51" s="131"/>
      <c r="K51" s="131"/>
    </row>
    <row r="52" spans="1:11" s="121" customFormat="1" x14ac:dyDescent="0.25">
      <c r="A52" s="115">
        <f t="shared" si="1"/>
        <v>45</v>
      </c>
      <c r="B52" s="123" t="s">
        <v>281</v>
      </c>
      <c r="C52" s="117">
        <f t="shared" si="2"/>
        <v>363969.8</v>
      </c>
      <c r="D52" s="118"/>
      <c r="E52" s="118"/>
      <c r="F52" s="124"/>
      <c r="G52" s="124"/>
      <c r="H52" s="124"/>
      <c r="I52" s="135"/>
      <c r="J52" s="131">
        <f>+'[10]ENERO REB'!E589</f>
        <v>158092</v>
      </c>
      <c r="K52" s="131">
        <v>205877.8</v>
      </c>
    </row>
    <row r="53" spans="1:11" s="121" customFormat="1" x14ac:dyDescent="0.25">
      <c r="A53" s="115">
        <f t="shared" si="1"/>
        <v>46</v>
      </c>
      <c r="B53" s="123" t="s">
        <v>282</v>
      </c>
      <c r="C53" s="117">
        <f>D53+E53+F53+H53+G53+I53+J53+K53</f>
        <v>133322.29999999999</v>
      </c>
      <c r="D53" s="118"/>
      <c r="E53" s="118"/>
      <c r="F53" s="124"/>
      <c r="G53" s="124"/>
      <c r="H53" s="124"/>
      <c r="I53" s="135"/>
      <c r="J53" s="131"/>
      <c r="K53" s="131">
        <f>26107.5+107214.8</f>
        <v>133322.29999999999</v>
      </c>
    </row>
    <row r="54" spans="1:11" x14ac:dyDescent="0.25">
      <c r="A54" s="115">
        <f t="shared" si="1"/>
        <v>47</v>
      </c>
      <c r="B54" s="123" t="s">
        <v>283</v>
      </c>
      <c r="C54" s="117">
        <f t="shared" si="2"/>
        <v>145262.1</v>
      </c>
      <c r="D54" s="118"/>
      <c r="E54" s="118"/>
      <c r="F54" s="124"/>
      <c r="G54" s="124"/>
      <c r="H54" s="124"/>
      <c r="I54" s="135"/>
      <c r="J54" s="131">
        <f>145262.1</f>
        <v>145262.1</v>
      </c>
      <c r="K54" s="131"/>
    </row>
    <row r="55" spans="1:11" x14ac:dyDescent="0.25">
      <c r="A55" s="115">
        <f t="shared" si="1"/>
        <v>48</v>
      </c>
      <c r="B55" s="116" t="s">
        <v>284</v>
      </c>
      <c r="C55" s="117">
        <f t="shared" si="2"/>
        <v>2735840</v>
      </c>
      <c r="D55" s="118"/>
      <c r="E55" s="118"/>
      <c r="F55" s="124"/>
      <c r="G55" s="124"/>
      <c r="H55" s="138"/>
      <c r="I55" s="124"/>
      <c r="J55" s="119">
        <f>2166480</f>
        <v>2166480</v>
      </c>
      <c r="K55" s="119">
        <f>769360-200000</f>
        <v>569360</v>
      </c>
    </row>
    <row r="56" spans="1:11" x14ac:dyDescent="0.25">
      <c r="A56" s="115">
        <f t="shared" si="1"/>
        <v>49</v>
      </c>
      <c r="B56" s="116" t="s">
        <v>285</v>
      </c>
      <c r="C56" s="117">
        <f>D56+J56+K56</f>
        <v>1021746.45</v>
      </c>
      <c r="D56" s="118"/>
      <c r="E56" s="118"/>
      <c r="F56" s="124"/>
      <c r="G56" s="124"/>
      <c r="H56" s="124"/>
      <c r="I56" s="135"/>
      <c r="J56" s="131">
        <f>440705.01</f>
        <v>440705.01</v>
      </c>
      <c r="K56" s="131">
        <f>581041.44</f>
        <v>581041.43999999994</v>
      </c>
    </row>
    <row r="57" spans="1:11" x14ac:dyDescent="0.25">
      <c r="A57" s="115">
        <f t="shared" si="1"/>
        <v>50</v>
      </c>
      <c r="B57" s="116" t="s">
        <v>286</v>
      </c>
      <c r="C57" s="117">
        <f t="shared" si="2"/>
        <v>2141916.4</v>
      </c>
      <c r="D57" s="118"/>
      <c r="E57" s="118"/>
      <c r="F57" s="124"/>
      <c r="G57" s="124"/>
      <c r="H57" s="124"/>
      <c r="I57" s="135"/>
      <c r="J57" s="131">
        <f>2768066.4-386000-240150</f>
        <v>2141916.4</v>
      </c>
      <c r="K57" s="131">
        <f>500875-300000-200875</f>
        <v>0</v>
      </c>
    </row>
    <row r="58" spans="1:11" x14ac:dyDescent="0.25">
      <c r="A58" s="115">
        <f t="shared" si="1"/>
        <v>51</v>
      </c>
      <c r="B58" s="116" t="s">
        <v>287</v>
      </c>
      <c r="C58" s="117">
        <f t="shared" si="2"/>
        <v>553500</v>
      </c>
      <c r="D58" s="118"/>
      <c r="E58" s="118"/>
      <c r="F58" s="124"/>
      <c r="G58" s="124"/>
      <c r="H58" s="124"/>
      <c r="I58" s="135"/>
      <c r="J58" s="131"/>
      <c r="K58" s="131">
        <f>136000+142500+152500+122500</f>
        <v>553500</v>
      </c>
    </row>
    <row r="59" spans="1:11" x14ac:dyDescent="0.25">
      <c r="A59" s="115">
        <f t="shared" si="1"/>
        <v>52</v>
      </c>
      <c r="B59" s="116" t="s">
        <v>288</v>
      </c>
      <c r="C59" s="117">
        <f t="shared" si="2"/>
        <v>701376.64</v>
      </c>
      <c r="D59" s="118"/>
      <c r="E59" s="118"/>
      <c r="F59" s="119"/>
      <c r="G59" s="124"/>
      <c r="H59" s="124"/>
      <c r="I59" s="135">
        <f>256296+247884+196092.4+36540+113723.6-196092.4+69300-36540-247884+375397-256296-183023.6+39375-375397+95000-134375</f>
        <v>0</v>
      </c>
      <c r="J59" s="131">
        <f>592241.34-160246.7-150000</f>
        <v>281994.63999999996</v>
      </c>
      <c r="K59" s="131">
        <f>149400+161650+162955.6+77891.8+184457+173050+1140+72172-658462.6-77891.8+23020+150000</f>
        <v>419382.00000000006</v>
      </c>
    </row>
    <row r="60" spans="1:11" x14ac:dyDescent="0.25">
      <c r="A60" s="115">
        <f t="shared" si="1"/>
        <v>53</v>
      </c>
      <c r="B60" s="116" t="s">
        <v>289</v>
      </c>
      <c r="C60" s="117">
        <f t="shared" si="2"/>
        <v>97399.299999999988</v>
      </c>
      <c r="D60" s="118">
        <f>18194</f>
        <v>18194</v>
      </c>
      <c r="E60" s="118">
        <f>78322.9+890-7.6</f>
        <v>79205.299999999988</v>
      </c>
      <c r="F60" s="119"/>
      <c r="G60" s="124"/>
      <c r="H60" s="124"/>
      <c r="I60" s="135"/>
      <c r="J60" s="131"/>
      <c r="K60" s="131"/>
    </row>
    <row r="61" spans="1:11" x14ac:dyDescent="0.25">
      <c r="A61" s="115">
        <f t="shared" si="1"/>
        <v>54</v>
      </c>
      <c r="B61" s="116" t="s">
        <v>290</v>
      </c>
      <c r="C61" s="117">
        <f>SUM(D61:K61)</f>
        <v>1014837.5</v>
      </c>
      <c r="D61" s="118"/>
      <c r="E61" s="118"/>
      <c r="F61" s="119">
        <v>0</v>
      </c>
      <c r="G61" s="119">
        <f>64467+259364-206081+34175-117750-0.05+39400+0.05-73575</f>
        <v>0</v>
      </c>
      <c r="H61" s="119">
        <f>165935-165935</f>
        <v>0</v>
      </c>
      <c r="I61" s="131"/>
      <c r="J61" s="131">
        <f>883552.5-250640</f>
        <v>632912.5</v>
      </c>
      <c r="K61" s="131">
        <f>381925</f>
        <v>381925</v>
      </c>
    </row>
    <row r="62" spans="1:11" x14ac:dyDescent="0.25">
      <c r="A62" s="115">
        <f t="shared" si="1"/>
        <v>55</v>
      </c>
      <c r="B62" s="116" t="s">
        <v>291</v>
      </c>
      <c r="C62" s="117">
        <f t="shared" si="2"/>
        <v>1497646.56</v>
      </c>
      <c r="D62" s="118"/>
      <c r="E62" s="118">
        <f>391152.68-263712.8-127439.88</f>
        <v>0</v>
      </c>
      <c r="F62" s="119">
        <v>0</v>
      </c>
      <c r="G62" s="124">
        <f>453674.8+211860.8-90234.8-200000-163440-211860.8</f>
        <v>0</v>
      </c>
      <c r="H62" s="124"/>
      <c r="I62" s="135"/>
      <c r="J62" s="131">
        <f>980222.78-400000</f>
        <v>580222.78</v>
      </c>
      <c r="K62" s="131">
        <f>1448783.08-531359.3</f>
        <v>917423.78</v>
      </c>
    </row>
    <row r="63" spans="1:11" x14ac:dyDescent="0.25">
      <c r="A63" s="115">
        <f t="shared" si="1"/>
        <v>56</v>
      </c>
      <c r="B63" s="116" t="s">
        <v>292</v>
      </c>
      <c r="C63" s="117">
        <f t="shared" si="2"/>
        <v>225000</v>
      </c>
      <c r="D63" s="118">
        <f>225000</f>
        <v>225000</v>
      </c>
      <c r="E63" s="118"/>
      <c r="F63" s="119"/>
      <c r="G63" s="124"/>
      <c r="H63" s="124"/>
      <c r="I63" s="135"/>
      <c r="J63" s="131"/>
      <c r="K63" s="131"/>
    </row>
    <row r="64" spans="1:11" x14ac:dyDescent="0.25">
      <c r="A64" s="115">
        <f t="shared" si="1"/>
        <v>57</v>
      </c>
      <c r="B64" s="116" t="s">
        <v>293</v>
      </c>
      <c r="C64" s="117">
        <f t="shared" si="2"/>
        <v>739412</v>
      </c>
      <c r="D64" s="118"/>
      <c r="E64" s="118"/>
      <c r="F64" s="119"/>
      <c r="G64" s="124">
        <f>691500-84000-264000-272366.31-71133.69</f>
        <v>0</v>
      </c>
      <c r="H64" s="124"/>
      <c r="I64" s="135"/>
      <c r="J64" s="131">
        <f>889412-150000</f>
        <v>739412</v>
      </c>
      <c r="K64" s="131"/>
    </row>
    <row r="65" spans="1:12" x14ac:dyDescent="0.25">
      <c r="A65" s="115">
        <f t="shared" si="1"/>
        <v>58</v>
      </c>
      <c r="B65" s="116" t="s">
        <v>294</v>
      </c>
      <c r="C65" s="117">
        <f>D65+E65+F65+G65+J65+K65</f>
        <v>601000</v>
      </c>
      <c r="D65" s="118"/>
      <c r="E65" s="118"/>
      <c r="F65" s="119"/>
      <c r="G65" s="124"/>
      <c r="H65" s="124"/>
      <c r="I65" s="135"/>
      <c r="J65" s="131"/>
      <c r="K65" s="131">
        <f>95000+95000+321250+95000-190000+335500-321250-95000+121000+144500</f>
        <v>601000</v>
      </c>
    </row>
    <row r="66" spans="1:12" s="121" customFormat="1" x14ac:dyDescent="0.25">
      <c r="A66" s="115">
        <f t="shared" si="1"/>
        <v>59</v>
      </c>
      <c r="B66" s="136" t="s">
        <v>295</v>
      </c>
      <c r="C66" s="117">
        <f t="shared" ref="C66:C91" si="3">SUM(D66:K66)</f>
        <v>144211.33999999997</v>
      </c>
      <c r="D66" s="118"/>
      <c r="E66" s="118"/>
      <c r="F66" s="119"/>
      <c r="G66" s="124"/>
      <c r="H66" s="124"/>
      <c r="I66" s="135"/>
      <c r="J66" s="131"/>
      <c r="K66" s="131">
        <f>342023+144211.34-342023</f>
        <v>144211.33999999997</v>
      </c>
    </row>
    <row r="67" spans="1:12" x14ac:dyDescent="0.25">
      <c r="A67" s="115">
        <f t="shared" si="1"/>
        <v>60</v>
      </c>
      <c r="B67" s="136" t="s">
        <v>296</v>
      </c>
      <c r="C67" s="117">
        <f t="shared" si="3"/>
        <v>160570</v>
      </c>
      <c r="D67" s="118">
        <f>160570</f>
        <v>160570</v>
      </c>
      <c r="E67" s="118"/>
      <c r="F67" s="119"/>
      <c r="G67" s="124" t="s">
        <v>297</v>
      </c>
      <c r="H67" s="124"/>
      <c r="I67" s="135"/>
      <c r="J67" s="131"/>
      <c r="K67" s="131"/>
    </row>
    <row r="68" spans="1:12" x14ac:dyDescent="0.25">
      <c r="A68" s="115">
        <f t="shared" si="1"/>
        <v>61</v>
      </c>
      <c r="B68" s="139" t="s">
        <v>298</v>
      </c>
      <c r="C68" s="117">
        <f t="shared" si="3"/>
        <v>2561976</v>
      </c>
      <c r="D68" s="118"/>
      <c r="E68" s="118"/>
      <c r="F68" s="124"/>
      <c r="G68" s="124"/>
      <c r="H68" s="124"/>
      <c r="I68" s="135"/>
      <c r="J68" s="131"/>
      <c r="K68" s="131">
        <f>496964+435000+440000+520300+917575+225575-435000-61964+61964+921862-520300-440000</f>
        <v>2561976</v>
      </c>
    </row>
    <row r="69" spans="1:12" x14ac:dyDescent="0.25">
      <c r="A69" s="115">
        <f t="shared" si="1"/>
        <v>62</v>
      </c>
      <c r="B69" s="136" t="s">
        <v>299</v>
      </c>
      <c r="C69" s="117">
        <f t="shared" si="3"/>
        <v>1451198.44</v>
      </c>
      <c r="D69" s="118"/>
      <c r="E69" s="118"/>
      <c r="F69" s="119"/>
      <c r="G69" s="124"/>
      <c r="H69" s="124"/>
      <c r="I69" s="135"/>
      <c r="J69" s="131">
        <f>1948638.63-354083.92-247172.77-320252-389978.39</f>
        <v>637151.54999999993</v>
      </c>
      <c r="K69" s="131">
        <f>140464.6+85045.84+383363.41+313863.48-225510.44+116820</f>
        <v>814046.8899999999</v>
      </c>
    </row>
    <row r="70" spans="1:12" x14ac:dyDescent="0.25">
      <c r="A70" s="115">
        <f t="shared" si="1"/>
        <v>63</v>
      </c>
      <c r="B70" s="123" t="s">
        <v>300</v>
      </c>
      <c r="C70" s="117">
        <f t="shared" si="3"/>
        <v>692323.2</v>
      </c>
      <c r="D70" s="118"/>
      <c r="E70" s="118"/>
      <c r="F70" s="119"/>
      <c r="G70" s="119"/>
      <c r="H70" s="119"/>
      <c r="I70" s="131"/>
      <c r="J70" s="131">
        <f>1193729.68-404250-539990.98</f>
        <v>249488.69999999995</v>
      </c>
      <c r="K70" s="131">
        <f>435754.5+7080</f>
        <v>442834.5</v>
      </c>
    </row>
    <row r="71" spans="1:12" x14ac:dyDescent="0.25">
      <c r="A71" s="115">
        <f t="shared" si="1"/>
        <v>64</v>
      </c>
      <c r="B71" s="116" t="s">
        <v>301</v>
      </c>
      <c r="C71" s="117">
        <f t="shared" si="3"/>
        <v>12401.94</v>
      </c>
      <c r="D71" s="118">
        <f>12401.94</f>
        <v>12401.94</v>
      </c>
      <c r="E71" s="118"/>
      <c r="F71" s="119"/>
      <c r="G71" s="119"/>
      <c r="H71" s="119"/>
      <c r="I71" s="131"/>
      <c r="J71" s="131"/>
      <c r="K71" s="131"/>
    </row>
    <row r="72" spans="1:12" x14ac:dyDescent="0.25">
      <c r="A72" s="115">
        <f t="shared" si="1"/>
        <v>65</v>
      </c>
      <c r="B72" s="123" t="s">
        <v>302</v>
      </c>
      <c r="C72" s="117">
        <f t="shared" si="3"/>
        <v>4091339.53</v>
      </c>
      <c r="D72" s="118"/>
      <c r="E72" s="118">
        <v>0</v>
      </c>
      <c r="F72" s="119"/>
      <c r="G72" s="119">
        <f>111393.24+36570.34+170146.94-111393.24+81576-100000-188293.28+8850+65720-7500+56533.74-123603.74</f>
        <v>0</v>
      </c>
      <c r="H72" s="119"/>
      <c r="I72" s="131"/>
      <c r="J72" s="131">
        <f>4326719.5-362383.37</f>
        <v>3964336.13</v>
      </c>
      <c r="K72" s="131">
        <f>127003.4</f>
        <v>127003.4</v>
      </c>
    </row>
    <row r="73" spans="1:12" x14ac:dyDescent="0.25">
      <c r="A73" s="115">
        <f t="shared" si="1"/>
        <v>66</v>
      </c>
      <c r="B73" s="123" t="s">
        <v>303</v>
      </c>
      <c r="C73" s="117">
        <f t="shared" si="3"/>
        <v>15540.13</v>
      </c>
      <c r="D73" s="118">
        <f>15540.13</f>
        <v>15540.13</v>
      </c>
      <c r="E73" s="118"/>
      <c r="F73" s="119"/>
      <c r="G73" s="119"/>
      <c r="H73" s="119"/>
      <c r="I73" s="131"/>
      <c r="J73" s="131"/>
      <c r="K73" s="131"/>
    </row>
    <row r="74" spans="1:12" x14ac:dyDescent="0.25">
      <c r="A74" s="115">
        <f t="shared" ref="A74:A137" si="4">+A73+1</f>
        <v>67</v>
      </c>
      <c r="B74" s="123" t="s">
        <v>304</v>
      </c>
      <c r="C74" s="117">
        <f t="shared" si="3"/>
        <v>1212959</v>
      </c>
      <c r="D74" s="118"/>
      <c r="E74" s="118"/>
      <c r="F74" s="119"/>
      <c r="G74" s="119"/>
      <c r="H74" s="119"/>
      <c r="I74" s="131"/>
      <c r="J74" s="131">
        <f>1212990-31</f>
        <v>1212959</v>
      </c>
      <c r="K74" s="131"/>
    </row>
    <row r="75" spans="1:12" s="121" customFormat="1" x14ac:dyDescent="0.25">
      <c r="A75" s="115">
        <f t="shared" si="4"/>
        <v>68</v>
      </c>
      <c r="B75" s="123" t="s">
        <v>305</v>
      </c>
      <c r="C75" s="117">
        <f t="shared" si="3"/>
        <v>98000</v>
      </c>
      <c r="D75" s="118"/>
      <c r="E75" s="118">
        <v>0</v>
      </c>
      <c r="F75" s="119">
        <v>0</v>
      </c>
      <c r="G75" s="119">
        <f>220500+90000-130500+67500+54000-180000-67500-54000</f>
        <v>0</v>
      </c>
      <c r="H75" s="119"/>
      <c r="I75" s="131">
        <f>135000-135000</f>
        <v>0</v>
      </c>
      <c r="J75" s="131"/>
      <c r="K75" s="131">
        <f>98000</f>
        <v>98000</v>
      </c>
      <c r="L75" s="140"/>
    </row>
    <row r="76" spans="1:12" x14ac:dyDescent="0.25">
      <c r="A76" s="115">
        <f t="shared" si="4"/>
        <v>69</v>
      </c>
      <c r="B76" s="123" t="s">
        <v>306</v>
      </c>
      <c r="C76" s="117">
        <f t="shared" si="3"/>
        <v>1970.6</v>
      </c>
      <c r="D76" s="118">
        <f>1970.6</f>
        <v>1970.6</v>
      </c>
      <c r="E76" s="118"/>
      <c r="F76" s="119"/>
      <c r="G76" s="119"/>
      <c r="H76" s="119"/>
      <c r="I76" s="131"/>
      <c r="J76" s="131"/>
      <c r="K76" s="131"/>
    </row>
    <row r="77" spans="1:12" x14ac:dyDescent="0.25">
      <c r="A77" s="115">
        <f t="shared" si="4"/>
        <v>70</v>
      </c>
      <c r="B77" s="116" t="s">
        <v>307</v>
      </c>
      <c r="C77" s="117">
        <f>SUM(D77:K77)</f>
        <v>1594446.9300000002</v>
      </c>
      <c r="D77" s="118"/>
      <c r="E77" s="118"/>
      <c r="F77" s="124"/>
      <c r="G77" s="124"/>
      <c r="H77" s="124"/>
      <c r="I77" s="135"/>
      <c r="J77" s="138"/>
      <c r="K77" s="131">
        <f>369506.61+620918.5+0.03+571726.71-243000+126506.61-253013.2-6000+707801.67-300000</f>
        <v>1594446.9300000002</v>
      </c>
    </row>
    <row r="78" spans="1:12" x14ac:dyDescent="0.25">
      <c r="A78" s="115">
        <f t="shared" si="4"/>
        <v>71</v>
      </c>
      <c r="B78" s="116" t="s">
        <v>308</v>
      </c>
      <c r="C78" s="117">
        <f t="shared" si="3"/>
        <v>91405.65</v>
      </c>
      <c r="D78" s="118">
        <f>91405.65</f>
        <v>91405.65</v>
      </c>
      <c r="E78" s="118"/>
      <c r="F78" s="119"/>
      <c r="G78" s="119"/>
      <c r="H78" s="119"/>
      <c r="I78" s="131"/>
      <c r="J78" s="122"/>
      <c r="K78" s="122"/>
    </row>
    <row r="79" spans="1:12" s="121" customFormat="1" x14ac:dyDescent="0.25">
      <c r="A79" s="115">
        <f t="shared" si="4"/>
        <v>72</v>
      </c>
      <c r="B79" s="116" t="s">
        <v>309</v>
      </c>
      <c r="C79" s="117">
        <f t="shared" si="3"/>
        <v>30680</v>
      </c>
      <c r="D79" s="118">
        <f>30680</f>
        <v>30680</v>
      </c>
      <c r="E79" s="118"/>
      <c r="F79" s="119"/>
      <c r="G79" s="119"/>
      <c r="H79" s="119"/>
      <c r="I79" s="131"/>
      <c r="J79" s="131"/>
      <c r="K79" s="131"/>
    </row>
    <row r="80" spans="1:12" x14ac:dyDescent="0.25">
      <c r="A80" s="115">
        <f t="shared" si="4"/>
        <v>73</v>
      </c>
      <c r="B80" s="116" t="s">
        <v>310</v>
      </c>
      <c r="C80" s="117">
        <f>SUM(D80:K80)</f>
        <v>620713.04</v>
      </c>
      <c r="D80" s="118"/>
      <c r="E80" s="118"/>
      <c r="F80" s="119"/>
      <c r="G80" s="119"/>
      <c r="H80" s="119"/>
      <c r="I80" s="131"/>
      <c r="J80" s="131"/>
      <c r="K80" s="131">
        <v>620713.04</v>
      </c>
    </row>
    <row r="81" spans="1:11" x14ac:dyDescent="0.25">
      <c r="A81" s="115">
        <f t="shared" si="4"/>
        <v>74</v>
      </c>
      <c r="B81" s="116" t="s">
        <v>311</v>
      </c>
      <c r="C81" s="117">
        <f>SUM(D81:K81)</f>
        <v>642552.46</v>
      </c>
      <c r="D81" s="118"/>
      <c r="E81" s="118"/>
      <c r="F81" s="119"/>
      <c r="G81" s="119"/>
      <c r="H81" s="119"/>
      <c r="I81" s="131"/>
      <c r="J81" s="131"/>
      <c r="K81" s="131">
        <f>642552.46</f>
        <v>642552.46</v>
      </c>
    </row>
    <row r="82" spans="1:11" x14ac:dyDescent="0.25">
      <c r="A82" s="115">
        <f t="shared" si="4"/>
        <v>75</v>
      </c>
      <c r="B82" s="116" t="s">
        <v>312</v>
      </c>
      <c r="C82" s="117">
        <f t="shared" si="3"/>
        <v>464317.18</v>
      </c>
      <c r="D82" s="118">
        <f>464317.18</f>
        <v>464317.18</v>
      </c>
      <c r="E82" s="118"/>
      <c r="F82" s="119"/>
      <c r="G82" s="119"/>
      <c r="H82" s="119"/>
      <c r="I82" s="131"/>
      <c r="J82" s="131"/>
      <c r="K82" s="131"/>
    </row>
    <row r="83" spans="1:11" x14ac:dyDescent="0.25">
      <c r="A83" s="115">
        <f t="shared" si="4"/>
        <v>76</v>
      </c>
      <c r="B83" s="126" t="s">
        <v>313</v>
      </c>
      <c r="C83" s="117">
        <f t="shared" si="3"/>
        <v>1467540.04</v>
      </c>
      <c r="D83" s="118"/>
      <c r="E83" s="118"/>
      <c r="F83" s="119"/>
      <c r="G83" s="119">
        <f>118076.97+62327.6+118745.76+317174.56-180404.57-286000-149920.32</f>
        <v>0</v>
      </c>
      <c r="H83" s="119"/>
      <c r="I83" s="131"/>
      <c r="J83" s="131">
        <f>274691.02</f>
        <v>274691.02</v>
      </c>
      <c r="K83" s="131">
        <f>1192849.02</f>
        <v>1192849.02</v>
      </c>
    </row>
    <row r="84" spans="1:11" x14ac:dyDescent="0.25">
      <c r="A84" s="115">
        <f t="shared" si="4"/>
        <v>77</v>
      </c>
      <c r="B84" s="126" t="s">
        <v>314</v>
      </c>
      <c r="C84" s="117">
        <f t="shared" si="3"/>
        <v>47350</v>
      </c>
      <c r="D84" s="118"/>
      <c r="E84" s="118">
        <f>49524+1596-51120</f>
        <v>0</v>
      </c>
      <c r="F84" s="119">
        <v>0</v>
      </c>
      <c r="G84" s="119">
        <f>74633+26635+27055+27460+23950-74633-81150-23950</f>
        <v>0</v>
      </c>
      <c r="H84" s="119"/>
      <c r="I84" s="131"/>
      <c r="J84" s="131"/>
      <c r="K84" s="131">
        <f>17416+32176+21850-17416-32176+55730-21850+1300-21850+17900+13750-48930+2450+27000</f>
        <v>47350</v>
      </c>
    </row>
    <row r="85" spans="1:11" x14ac:dyDescent="0.25">
      <c r="A85" s="115">
        <f t="shared" si="4"/>
        <v>78</v>
      </c>
      <c r="B85" s="123" t="s">
        <v>315</v>
      </c>
      <c r="C85" s="117"/>
      <c r="D85" s="118"/>
      <c r="E85" s="118"/>
      <c r="F85" s="119"/>
      <c r="G85" s="119"/>
      <c r="H85" s="119"/>
      <c r="I85" s="131"/>
      <c r="J85" s="131"/>
      <c r="K85" s="131"/>
    </row>
    <row r="86" spans="1:11" x14ac:dyDescent="0.25">
      <c r="A86" s="115">
        <f t="shared" si="4"/>
        <v>79</v>
      </c>
      <c r="B86" s="123" t="s">
        <v>316</v>
      </c>
      <c r="C86" s="117">
        <f t="shared" si="3"/>
        <v>84800.7</v>
      </c>
      <c r="D86" s="118"/>
      <c r="E86" s="118"/>
      <c r="F86" s="119"/>
      <c r="G86" s="119"/>
      <c r="H86" s="119"/>
      <c r="I86" s="131"/>
      <c r="J86" s="131"/>
      <c r="K86" s="131">
        <f>84800.7</f>
        <v>84800.7</v>
      </c>
    </row>
    <row r="87" spans="1:11" s="121" customFormat="1" x14ac:dyDescent="0.25">
      <c r="A87" s="115">
        <f t="shared" si="4"/>
        <v>80</v>
      </c>
      <c r="B87" s="123" t="s">
        <v>317</v>
      </c>
      <c r="C87" s="117">
        <f t="shared" si="3"/>
        <v>321101.3</v>
      </c>
      <c r="D87" s="118"/>
      <c r="E87" s="118"/>
      <c r="F87" s="119"/>
      <c r="G87" s="119"/>
      <c r="H87" s="119"/>
      <c r="I87" s="131"/>
      <c r="J87" s="131">
        <f>321101.3</f>
        <v>321101.3</v>
      </c>
      <c r="K87" s="131"/>
    </row>
    <row r="88" spans="1:11" x14ac:dyDescent="0.25">
      <c r="A88" s="115">
        <f t="shared" si="4"/>
        <v>81</v>
      </c>
      <c r="B88" s="123" t="s">
        <v>318</v>
      </c>
      <c r="C88" s="117">
        <f>D88+E88+F88+G88+H88+I88+J88+K88</f>
        <v>108990</v>
      </c>
      <c r="D88" s="118"/>
      <c r="E88" s="118"/>
      <c r="F88" s="124"/>
      <c r="G88" s="124"/>
      <c r="H88" s="124"/>
      <c r="I88" s="135"/>
      <c r="J88" s="131"/>
      <c r="K88" s="131">
        <f>108990</f>
        <v>108990</v>
      </c>
    </row>
    <row r="89" spans="1:11" x14ac:dyDescent="0.25">
      <c r="A89" s="115">
        <f t="shared" si="4"/>
        <v>82</v>
      </c>
      <c r="B89" s="123" t="s">
        <v>319</v>
      </c>
      <c r="C89" s="117">
        <f t="shared" si="3"/>
        <v>665952.4</v>
      </c>
      <c r="D89" s="118">
        <f>665952.4</f>
        <v>665952.4</v>
      </c>
      <c r="E89" s="118"/>
      <c r="F89" s="119"/>
      <c r="G89" s="119"/>
      <c r="H89" s="119"/>
      <c r="I89" s="131"/>
      <c r="J89" s="131"/>
      <c r="K89" s="131"/>
    </row>
    <row r="90" spans="1:11" x14ac:dyDescent="0.25">
      <c r="A90" s="115">
        <f t="shared" si="4"/>
        <v>83</v>
      </c>
      <c r="B90" s="123" t="s">
        <v>320</v>
      </c>
      <c r="C90" s="117">
        <f t="shared" si="3"/>
        <v>59295</v>
      </c>
      <c r="D90" s="118"/>
      <c r="E90" s="118"/>
      <c r="F90" s="119"/>
      <c r="G90" s="119"/>
      <c r="H90" s="119"/>
      <c r="I90" s="131"/>
      <c r="J90" s="131">
        <f>+'[10]ENERO REB'!E999</f>
        <v>0</v>
      </c>
      <c r="K90" s="131">
        <f>59295</f>
        <v>59295</v>
      </c>
    </row>
    <row r="91" spans="1:11" x14ac:dyDescent="0.25">
      <c r="A91" s="115">
        <f t="shared" si="4"/>
        <v>84</v>
      </c>
      <c r="B91" s="123" t="s">
        <v>321</v>
      </c>
      <c r="C91" s="117">
        <f t="shared" si="3"/>
        <v>76400.28</v>
      </c>
      <c r="D91" s="118"/>
      <c r="E91" s="118"/>
      <c r="F91" s="119"/>
      <c r="G91" s="119">
        <f>89731.92-89731.92</f>
        <v>0</v>
      </c>
      <c r="H91" s="119">
        <f>76400+0.28</f>
        <v>76400.28</v>
      </c>
      <c r="I91" s="131"/>
      <c r="J91" s="131"/>
      <c r="K91" s="131"/>
    </row>
    <row r="92" spans="1:11" x14ac:dyDescent="0.25">
      <c r="A92" s="115">
        <f t="shared" si="4"/>
        <v>85</v>
      </c>
      <c r="B92" s="123" t="s">
        <v>322</v>
      </c>
      <c r="C92" s="117">
        <f>J92+K92</f>
        <v>1267913.2</v>
      </c>
      <c r="D92" s="118"/>
      <c r="E92" s="118"/>
      <c r="F92" s="119"/>
      <c r="G92" s="119"/>
      <c r="H92" s="119"/>
      <c r="I92" s="131"/>
      <c r="J92" s="131">
        <f>1267913.2</f>
        <v>1267913.2</v>
      </c>
      <c r="K92" s="131"/>
    </row>
    <row r="93" spans="1:11" x14ac:dyDescent="0.25">
      <c r="A93" s="115">
        <f t="shared" si="4"/>
        <v>86</v>
      </c>
      <c r="B93" s="123" t="s">
        <v>323</v>
      </c>
      <c r="C93" s="117">
        <f t="shared" ref="C93:C142" si="5">SUM(D93:K93)</f>
        <v>964483</v>
      </c>
      <c r="D93" s="118"/>
      <c r="E93" s="118"/>
      <c r="F93" s="119"/>
      <c r="G93" s="119"/>
      <c r="H93" s="119">
        <f>582241.5</f>
        <v>582241.5</v>
      </c>
      <c r="I93" s="131">
        <f>582241.5-200000</f>
        <v>382241.5</v>
      </c>
      <c r="J93" s="131"/>
      <c r="K93" s="131"/>
    </row>
    <row r="94" spans="1:11" x14ac:dyDescent="0.25">
      <c r="A94" s="115">
        <f t="shared" si="4"/>
        <v>87</v>
      </c>
      <c r="B94" s="136" t="s">
        <v>324</v>
      </c>
      <c r="C94" s="117"/>
      <c r="D94" s="118"/>
      <c r="E94" s="118">
        <f>46832+618+6520.5-53970.5+6687+4030-10717</f>
        <v>0</v>
      </c>
      <c r="F94" s="124">
        <v>0</v>
      </c>
      <c r="G94" s="141">
        <f>2363.5-2363.5</f>
        <v>0</v>
      </c>
      <c r="H94" s="141"/>
      <c r="I94" s="135"/>
      <c r="J94" s="131"/>
      <c r="K94" s="131"/>
    </row>
    <row r="95" spans="1:11" s="121" customFormat="1" x14ac:dyDescent="0.25">
      <c r="A95" s="115">
        <f t="shared" si="4"/>
        <v>88</v>
      </c>
      <c r="B95" s="116" t="s">
        <v>325</v>
      </c>
      <c r="C95" s="117">
        <f t="shared" si="5"/>
        <v>14960</v>
      </c>
      <c r="D95" s="118">
        <v>14960</v>
      </c>
      <c r="E95" s="118"/>
      <c r="F95" s="119"/>
      <c r="G95" s="119"/>
      <c r="H95" s="119"/>
      <c r="I95" s="131"/>
      <c r="J95" s="131">
        <v>0</v>
      </c>
      <c r="K95" s="131"/>
    </row>
    <row r="96" spans="1:11" s="121" customFormat="1" x14ac:dyDescent="0.25">
      <c r="A96" s="115">
        <f t="shared" si="4"/>
        <v>89</v>
      </c>
      <c r="B96" s="123" t="s">
        <v>326</v>
      </c>
      <c r="C96" s="117">
        <f t="shared" si="5"/>
        <v>878689.06999999983</v>
      </c>
      <c r="D96" s="118"/>
      <c r="E96" s="118">
        <v>0</v>
      </c>
      <c r="F96" s="118"/>
      <c r="G96" s="118"/>
      <c r="H96" s="118">
        <f>46404.42-46404.42</f>
        <v>0</v>
      </c>
      <c r="I96" s="142"/>
      <c r="J96" s="142">
        <f>382052.34-152609.79-229442.55</f>
        <v>0</v>
      </c>
      <c r="K96" s="142">
        <f>579386.72+220391.54+303963.66-250000-129245.9+154193.05</f>
        <v>878689.06999999983</v>
      </c>
    </row>
    <row r="97" spans="1:13" x14ac:dyDescent="0.25">
      <c r="A97" s="115">
        <f t="shared" si="4"/>
        <v>90</v>
      </c>
      <c r="B97" s="116" t="s">
        <v>327</v>
      </c>
      <c r="C97" s="117">
        <f t="shared" si="5"/>
        <v>195408</v>
      </c>
      <c r="D97" s="118"/>
      <c r="E97" s="118"/>
      <c r="F97" s="124"/>
      <c r="G97" s="124"/>
      <c r="H97" s="124"/>
      <c r="I97" s="135"/>
      <c r="J97" s="122"/>
      <c r="K97" s="131">
        <f>195408+48852-97704+48852</f>
        <v>195408</v>
      </c>
    </row>
    <row r="98" spans="1:13" x14ac:dyDescent="0.25">
      <c r="A98" s="115">
        <f t="shared" si="4"/>
        <v>91</v>
      </c>
      <c r="B98" s="116" t="s">
        <v>328</v>
      </c>
      <c r="C98" s="117">
        <f>SUM(D98:K98)</f>
        <v>1794447.48</v>
      </c>
      <c r="D98" s="118"/>
      <c r="E98" s="118">
        <f>569975-118800-172780-278395</f>
        <v>0</v>
      </c>
      <c r="F98" s="119">
        <v>0</v>
      </c>
      <c r="G98" s="119"/>
      <c r="H98" s="119"/>
      <c r="I98" s="131"/>
      <c r="J98" s="131">
        <f>2062459.48-283110-592473-180422</f>
        <v>1006454.48</v>
      </c>
      <c r="K98" s="131">
        <f>180422+305287.24-305287.24+107471+500100</f>
        <v>787993</v>
      </c>
    </row>
    <row r="99" spans="1:13" x14ac:dyDescent="0.25">
      <c r="A99" s="115">
        <f t="shared" si="4"/>
        <v>92</v>
      </c>
      <c r="B99" s="123" t="s">
        <v>329</v>
      </c>
      <c r="C99" s="117">
        <f t="shared" si="5"/>
        <v>84950</v>
      </c>
      <c r="D99" s="118"/>
      <c r="E99" s="118"/>
      <c r="F99" s="119"/>
      <c r="G99" s="119"/>
      <c r="H99" s="119"/>
      <c r="I99" s="131"/>
      <c r="J99" s="131">
        <f>+'[10]ENERO REB'!E1062</f>
        <v>84950</v>
      </c>
      <c r="K99" s="131"/>
    </row>
    <row r="100" spans="1:13" x14ac:dyDescent="0.25">
      <c r="A100" s="115">
        <f t="shared" si="4"/>
        <v>93</v>
      </c>
      <c r="B100" s="116" t="s">
        <v>330</v>
      </c>
      <c r="C100" s="117">
        <f t="shared" si="5"/>
        <v>14006.6</v>
      </c>
      <c r="D100" s="118">
        <f>14006.6</f>
        <v>14006.6</v>
      </c>
      <c r="E100" s="118"/>
      <c r="F100" s="119"/>
      <c r="G100" s="119"/>
      <c r="H100" s="119"/>
      <c r="I100" s="131"/>
      <c r="J100" s="131"/>
      <c r="K100" s="131"/>
    </row>
    <row r="101" spans="1:13" x14ac:dyDescent="0.25">
      <c r="A101" s="115">
        <f t="shared" si="4"/>
        <v>94</v>
      </c>
      <c r="B101" s="123" t="s">
        <v>331</v>
      </c>
      <c r="C101" s="117">
        <f t="shared" si="5"/>
        <v>25000</v>
      </c>
      <c r="D101" s="118"/>
      <c r="E101" s="118">
        <v>0</v>
      </c>
      <c r="F101" s="119">
        <f>25000</f>
        <v>25000</v>
      </c>
      <c r="G101" s="119"/>
      <c r="H101" s="119"/>
      <c r="I101" s="131"/>
      <c r="J101" s="131"/>
      <c r="K101" s="131"/>
      <c r="M101" s="121"/>
    </row>
    <row r="102" spans="1:13" ht="23.25" customHeight="1" x14ac:dyDescent="0.25">
      <c r="A102" s="115">
        <f t="shared" si="4"/>
        <v>95</v>
      </c>
      <c r="B102" s="123" t="s">
        <v>332</v>
      </c>
      <c r="C102" s="117">
        <f t="shared" si="5"/>
        <v>571210.37</v>
      </c>
      <c r="D102" s="118"/>
      <c r="E102" s="118"/>
      <c r="F102" s="119"/>
      <c r="G102" s="119"/>
      <c r="H102" s="119"/>
      <c r="I102" s="131"/>
      <c r="J102" s="131"/>
      <c r="K102" s="131">
        <f>571210.37</f>
        <v>571210.37</v>
      </c>
    </row>
    <row r="103" spans="1:13" s="121" customFormat="1" x14ac:dyDescent="0.25">
      <c r="A103" s="115">
        <f t="shared" si="4"/>
        <v>96</v>
      </c>
      <c r="B103" s="123" t="s">
        <v>333</v>
      </c>
      <c r="C103" s="117">
        <f t="shared" si="5"/>
        <v>948734.04</v>
      </c>
      <c r="D103" s="118"/>
      <c r="E103" s="118"/>
      <c r="F103" s="119"/>
      <c r="G103" s="119"/>
      <c r="H103" s="119"/>
      <c r="I103" s="131"/>
      <c r="J103" s="131">
        <f>+'[10]ENERO REB'!E1072</f>
        <v>948734.04</v>
      </c>
      <c r="K103" s="131"/>
    </row>
    <row r="104" spans="1:13" x14ac:dyDescent="0.25">
      <c r="A104" s="115">
        <f t="shared" si="4"/>
        <v>97</v>
      </c>
      <c r="B104" s="123" t="s">
        <v>334</v>
      </c>
      <c r="C104" s="117">
        <f>K104</f>
        <v>378485</v>
      </c>
      <c r="D104" s="118"/>
      <c r="E104" s="118"/>
      <c r="F104" s="119"/>
      <c r="G104" s="119"/>
      <c r="H104" s="119"/>
      <c r="I104" s="131"/>
      <c r="J104" s="131"/>
      <c r="K104" s="131">
        <f>378485</f>
        <v>378485</v>
      </c>
    </row>
    <row r="105" spans="1:13" x14ac:dyDescent="0.25">
      <c r="A105" s="115">
        <f t="shared" si="4"/>
        <v>98</v>
      </c>
      <c r="B105" s="143" t="s">
        <v>335</v>
      </c>
      <c r="C105" s="117">
        <f>SUM(D105:K105)</f>
        <v>2189572.2304599993</v>
      </c>
      <c r="D105" s="118"/>
      <c r="E105" s="118"/>
      <c r="F105" s="124"/>
      <c r="G105" s="124"/>
      <c r="H105" s="124"/>
      <c r="I105" s="135"/>
      <c r="J105" s="131"/>
      <c r="K105" s="131">
        <f>1304433.15-360-200000+60-400000+374498.15+471252.47-121726.73-278273.27+298157.68+299423.61-349954.15954-328677.15+298157.68+377657.68-300000+0.01+238368.12+60000+125382.4+266801.59+54371</f>
        <v>2189572.2304599993</v>
      </c>
    </row>
    <row r="106" spans="1:13" x14ac:dyDescent="0.25">
      <c r="A106" s="115">
        <f t="shared" si="4"/>
        <v>99</v>
      </c>
      <c r="B106" s="143" t="s">
        <v>336</v>
      </c>
      <c r="C106" s="117">
        <f t="shared" si="5"/>
        <v>81500</v>
      </c>
      <c r="D106" s="118"/>
      <c r="E106" s="118"/>
      <c r="F106" s="119"/>
      <c r="G106" s="119"/>
      <c r="H106" s="119"/>
      <c r="I106" s="131"/>
      <c r="J106" s="131">
        <f>+'[10]ENERO REB'!E1091</f>
        <v>70000</v>
      </c>
      <c r="K106" s="142">
        <f>10000+1500</f>
        <v>11500</v>
      </c>
    </row>
    <row r="107" spans="1:13" x14ac:dyDescent="0.25">
      <c r="A107" s="115">
        <f t="shared" si="4"/>
        <v>100</v>
      </c>
      <c r="B107" s="143" t="s">
        <v>337</v>
      </c>
      <c r="C107" s="117"/>
      <c r="D107" s="118"/>
      <c r="E107" s="118"/>
      <c r="F107" s="119"/>
      <c r="G107" s="119"/>
      <c r="H107" s="119"/>
      <c r="I107" s="131"/>
      <c r="J107" s="131"/>
      <c r="K107" s="142"/>
    </row>
    <row r="108" spans="1:13" x14ac:dyDescent="0.25">
      <c r="A108" s="115">
        <f t="shared" si="4"/>
        <v>101</v>
      </c>
      <c r="B108" s="116" t="s">
        <v>338</v>
      </c>
      <c r="C108" s="117">
        <f t="shared" si="5"/>
        <v>414726</v>
      </c>
      <c r="D108" s="118"/>
      <c r="E108" s="118">
        <v>0</v>
      </c>
      <c r="F108" s="118">
        <v>0</v>
      </c>
      <c r="G108" s="118"/>
      <c r="H108" s="118"/>
      <c r="I108" s="142"/>
      <c r="J108" s="142">
        <f>799556.72-264072.72-210935-119798</f>
        <v>204751</v>
      </c>
      <c r="K108" s="142">
        <f>209975</f>
        <v>209975</v>
      </c>
    </row>
    <row r="109" spans="1:13" x14ac:dyDescent="0.25">
      <c r="A109" s="115">
        <f t="shared" si="4"/>
        <v>102</v>
      </c>
      <c r="B109" s="116" t="s">
        <v>339</v>
      </c>
      <c r="C109" s="117">
        <f t="shared" si="5"/>
        <v>484095</v>
      </c>
      <c r="D109" s="118"/>
      <c r="E109" s="118"/>
      <c r="F109" s="124"/>
      <c r="G109" s="124"/>
      <c r="H109" s="124"/>
      <c r="I109" s="135"/>
      <c r="J109" s="135"/>
      <c r="K109" s="131">
        <f>484095</f>
        <v>484095</v>
      </c>
    </row>
    <row r="110" spans="1:13" x14ac:dyDescent="0.25">
      <c r="A110" s="115">
        <f t="shared" si="4"/>
        <v>103</v>
      </c>
      <c r="B110" s="116" t="s">
        <v>340</v>
      </c>
      <c r="C110" s="117">
        <f t="shared" si="5"/>
        <v>15965.8</v>
      </c>
      <c r="D110" s="118"/>
      <c r="E110" s="118"/>
      <c r="F110" s="119">
        <f>15966.58-0.78</f>
        <v>15965.8</v>
      </c>
      <c r="G110" s="119"/>
      <c r="H110" s="119"/>
      <c r="I110" s="131"/>
      <c r="J110" s="131"/>
      <c r="K110" s="131"/>
    </row>
    <row r="111" spans="1:13" x14ac:dyDescent="0.25">
      <c r="A111" s="115">
        <f t="shared" si="4"/>
        <v>104</v>
      </c>
      <c r="B111" s="116" t="s">
        <v>341</v>
      </c>
      <c r="C111" s="117">
        <f t="shared" si="5"/>
        <v>865119</v>
      </c>
      <c r="D111" s="118">
        <f>865119</f>
        <v>865119</v>
      </c>
      <c r="E111" s="118"/>
      <c r="F111" s="119"/>
      <c r="G111" s="119"/>
      <c r="H111" s="119"/>
      <c r="I111" s="131"/>
      <c r="J111" s="131"/>
      <c r="K111" s="131"/>
    </row>
    <row r="112" spans="1:13" x14ac:dyDescent="0.25">
      <c r="A112" s="115">
        <f t="shared" si="4"/>
        <v>105</v>
      </c>
      <c r="B112" s="116" t="s">
        <v>342</v>
      </c>
      <c r="C112" s="117">
        <f t="shared" si="5"/>
        <v>4750</v>
      </c>
      <c r="D112" s="118">
        <f>4750</f>
        <v>4750</v>
      </c>
      <c r="E112" s="118"/>
      <c r="F112" s="119"/>
      <c r="G112" s="119"/>
      <c r="H112" s="119"/>
      <c r="I112" s="131"/>
      <c r="J112" s="131"/>
      <c r="K112" s="131"/>
      <c r="L112" s="144"/>
    </row>
    <row r="113" spans="1:11" x14ac:dyDescent="0.25">
      <c r="A113" s="115">
        <f t="shared" si="4"/>
        <v>106</v>
      </c>
      <c r="B113" s="116" t="s">
        <v>343</v>
      </c>
      <c r="C113" s="117">
        <f t="shared" si="5"/>
        <v>1571922</v>
      </c>
      <c r="D113" s="118"/>
      <c r="E113" s="118"/>
      <c r="F113" s="119"/>
      <c r="G113" s="119"/>
      <c r="H113" s="119">
        <f>92230+101070+88825+115500+25700+54000+56272-148502+117496-101070-88825-115500-79700-117496</f>
        <v>0</v>
      </c>
      <c r="I113" s="131"/>
      <c r="J113" s="131">
        <f>867988-118750-199578</f>
        <v>549660</v>
      </c>
      <c r="K113" s="131">
        <f>248700+190292+196125-248700+22680+103115+478280+31770</f>
        <v>1022262</v>
      </c>
    </row>
    <row r="114" spans="1:11" x14ac:dyDescent="0.25">
      <c r="A114" s="115">
        <f t="shared" si="4"/>
        <v>107</v>
      </c>
      <c r="B114" s="116" t="s">
        <v>344</v>
      </c>
      <c r="C114" s="117">
        <f t="shared" si="5"/>
        <v>402250</v>
      </c>
      <c r="D114" s="118"/>
      <c r="E114" s="118">
        <v>0</v>
      </c>
      <c r="F114" s="119">
        <f>88500+41300-129800</f>
        <v>0</v>
      </c>
      <c r="G114" s="119">
        <f>237050+23600+24650.2+23600-24650.2</f>
        <v>284250</v>
      </c>
      <c r="H114" s="119">
        <f>23600+23600+23600+23600+23600+88825-88825</f>
        <v>118000</v>
      </c>
      <c r="I114" s="131"/>
      <c r="J114" s="131">
        <v>0</v>
      </c>
      <c r="K114" s="131"/>
    </row>
    <row r="115" spans="1:11" x14ac:dyDescent="0.25">
      <c r="A115" s="115">
        <f t="shared" si="4"/>
        <v>108</v>
      </c>
      <c r="B115" s="123" t="s">
        <v>345</v>
      </c>
      <c r="C115" s="117">
        <f>SUM(D115:K115)</f>
        <v>1315165.3</v>
      </c>
      <c r="D115" s="118"/>
      <c r="E115" s="124">
        <f>108480-108480</f>
        <v>0</v>
      </c>
      <c r="F115" s="124">
        <f>0</f>
        <v>0</v>
      </c>
      <c r="G115" s="124">
        <f>90000-90000</f>
        <v>0</v>
      </c>
      <c r="H115" s="124">
        <f>528993-262099.49-266893.51</f>
        <v>0</v>
      </c>
      <c r="I115" s="135"/>
      <c r="J115" s="135"/>
      <c r="K115" s="131">
        <f>1680715.3-538914+173364+173364-173364</f>
        <v>1315165.3</v>
      </c>
    </row>
    <row r="116" spans="1:11" s="145" customFormat="1" x14ac:dyDescent="0.25">
      <c r="A116" s="115">
        <f t="shared" si="4"/>
        <v>109</v>
      </c>
      <c r="B116" s="130" t="s">
        <v>346</v>
      </c>
      <c r="C116" s="117">
        <f t="shared" si="5"/>
        <v>316453.58</v>
      </c>
      <c r="D116" s="118"/>
      <c r="E116" s="118">
        <v>0</v>
      </c>
      <c r="F116" s="119">
        <f>725142.45-96521.64-198232.92-125838.74-76454.56-111274.59-116820</f>
        <v>0</v>
      </c>
      <c r="G116" s="119"/>
      <c r="H116" s="119"/>
      <c r="I116" s="131"/>
      <c r="J116" s="131">
        <f>+'[10]ENERO REB'!E1169</f>
        <v>316453.58</v>
      </c>
      <c r="K116" s="131"/>
    </row>
    <row r="117" spans="1:11" x14ac:dyDescent="0.25">
      <c r="A117" s="115">
        <f t="shared" si="4"/>
        <v>110</v>
      </c>
      <c r="B117" s="123" t="s">
        <v>347</v>
      </c>
      <c r="C117" s="117">
        <f t="shared" si="5"/>
        <v>2611489</v>
      </c>
      <c r="D117" s="118"/>
      <c r="E117" s="118">
        <v>0</v>
      </c>
      <c r="F117" s="119">
        <f>554933.6-300000-249823.62+89998.02-8732-86376</f>
        <v>0</v>
      </c>
      <c r="G117" s="119">
        <f>2146385.8-488313.6-34928-596543.2-285914-740687</f>
        <v>0</v>
      </c>
      <c r="H117" s="119"/>
      <c r="I117" s="131"/>
      <c r="J117" s="131">
        <f>935102.8</f>
        <v>935102.8</v>
      </c>
      <c r="K117" s="131">
        <f xml:space="preserve"> 308145.2+153034.2+509414.8+705789+3</f>
        <v>1676386.2</v>
      </c>
    </row>
    <row r="118" spans="1:11" x14ac:dyDescent="0.25">
      <c r="A118" s="115">
        <f t="shared" si="4"/>
        <v>111</v>
      </c>
      <c r="B118" s="130" t="s">
        <v>348</v>
      </c>
      <c r="C118" s="117">
        <f t="shared" si="5"/>
        <v>217651</v>
      </c>
      <c r="D118" s="118"/>
      <c r="E118" s="118"/>
      <c r="F118" s="119"/>
      <c r="G118" s="119"/>
      <c r="H118" s="119"/>
      <c r="I118" s="131"/>
      <c r="J118" s="131"/>
      <c r="K118" s="131">
        <f>211438.07+217651-211438.07</f>
        <v>217651</v>
      </c>
    </row>
    <row r="119" spans="1:11" x14ac:dyDescent="0.25">
      <c r="A119" s="115">
        <f t="shared" si="4"/>
        <v>112</v>
      </c>
      <c r="B119" s="116" t="s">
        <v>349</v>
      </c>
      <c r="C119" s="117">
        <f t="shared" si="5"/>
        <v>213724.32</v>
      </c>
      <c r="D119" s="118"/>
      <c r="E119" s="118"/>
      <c r="F119" s="119"/>
      <c r="G119" s="119"/>
      <c r="H119" s="119"/>
      <c r="I119" s="131"/>
      <c r="J119" s="131">
        <f>+'[10]ENERO REB'!E1217</f>
        <v>213724.32</v>
      </c>
      <c r="K119" s="131"/>
    </row>
    <row r="120" spans="1:11" x14ac:dyDescent="0.25">
      <c r="A120" s="115">
        <f t="shared" si="4"/>
        <v>113</v>
      </c>
      <c r="B120" s="116" t="s">
        <v>350</v>
      </c>
      <c r="C120" s="117">
        <f t="shared" si="5"/>
        <v>370048</v>
      </c>
      <c r="D120" s="118"/>
      <c r="E120" s="118"/>
      <c r="F120" s="119"/>
      <c r="G120" s="119"/>
      <c r="H120" s="119"/>
      <c r="I120" s="131"/>
      <c r="J120" s="131">
        <f>+'[10]ENERO REB'!E1222</f>
        <v>370048</v>
      </c>
      <c r="K120" s="131"/>
    </row>
    <row r="121" spans="1:11" x14ac:dyDescent="0.25">
      <c r="A121" s="115">
        <f t="shared" si="4"/>
        <v>114</v>
      </c>
      <c r="B121" s="116" t="s">
        <v>351</v>
      </c>
      <c r="C121" s="117">
        <f t="shared" si="5"/>
        <v>829535</v>
      </c>
      <c r="D121" s="118"/>
      <c r="E121" s="118">
        <f>75250-70900-4350</f>
        <v>0</v>
      </c>
      <c r="F121" s="119">
        <v>0</v>
      </c>
      <c r="G121" s="119">
        <f>68050+71075+16800+64300+63125-220225-63125</f>
        <v>0</v>
      </c>
      <c r="H121" s="119"/>
      <c r="I121" s="131"/>
      <c r="J121" s="131">
        <f>525735</f>
        <v>525735</v>
      </c>
      <c r="K121" s="131">
        <f>55000+58400+65100+70005-113400+80600+88095</f>
        <v>303800</v>
      </c>
    </row>
    <row r="122" spans="1:11" x14ac:dyDescent="0.25">
      <c r="A122" s="115">
        <f t="shared" si="4"/>
        <v>115</v>
      </c>
      <c r="B122" s="116" t="s">
        <v>352</v>
      </c>
      <c r="C122" s="117">
        <f t="shared" si="5"/>
        <v>1524250</v>
      </c>
      <c r="D122" s="118"/>
      <c r="E122" s="118">
        <f>75250-70900-4350</f>
        <v>0</v>
      </c>
      <c r="F122" s="119"/>
      <c r="G122" s="119"/>
      <c r="H122" s="119"/>
      <c r="I122" s="131"/>
      <c r="J122" s="131">
        <f>945218-176800</f>
        <v>768418</v>
      </c>
      <c r="K122" s="131">
        <f>826357+78806+173513+234519-742019-163144+125382.4-582.4+141600+81600-200</f>
        <v>755832</v>
      </c>
    </row>
    <row r="123" spans="1:11" s="145" customFormat="1" x14ac:dyDescent="0.25">
      <c r="A123" s="115">
        <f t="shared" si="4"/>
        <v>116</v>
      </c>
      <c r="B123" s="116" t="s">
        <v>353</v>
      </c>
      <c r="C123" s="117">
        <f t="shared" si="5"/>
        <v>760577.65999999992</v>
      </c>
      <c r="D123" s="118"/>
      <c r="E123" s="119"/>
      <c r="F123" s="119"/>
      <c r="G123" s="119"/>
      <c r="H123" s="119"/>
      <c r="I123" s="131"/>
      <c r="J123" s="131"/>
      <c r="K123" s="131">
        <f>106502.88+56076.22+515921.39-106502.88+174455.52+47311.63+183998.1-200000-250000+323814.8-91000</f>
        <v>760577.65999999992</v>
      </c>
    </row>
    <row r="124" spans="1:11" x14ac:dyDescent="0.25">
      <c r="A124" s="115">
        <f t="shared" si="4"/>
        <v>117</v>
      </c>
      <c r="B124" s="116" t="s">
        <v>354</v>
      </c>
      <c r="C124" s="117">
        <f t="shared" si="5"/>
        <v>910823.67999999993</v>
      </c>
      <c r="D124" s="118"/>
      <c r="E124" s="118"/>
      <c r="F124" s="119"/>
      <c r="G124" s="119"/>
      <c r="H124" s="119"/>
      <c r="I124" s="131"/>
      <c r="J124" s="131"/>
      <c r="K124" s="131">
        <f>390433.68-200000+720390</f>
        <v>910823.67999999993</v>
      </c>
    </row>
    <row r="125" spans="1:11" x14ac:dyDescent="0.25">
      <c r="A125" s="115">
        <f t="shared" si="4"/>
        <v>118</v>
      </c>
      <c r="B125" s="116" t="s">
        <v>355</v>
      </c>
      <c r="C125" s="117">
        <f t="shared" si="5"/>
        <v>598714.47</v>
      </c>
      <c r="D125" s="118"/>
      <c r="E125" s="118"/>
      <c r="F125" s="119"/>
      <c r="G125" s="119"/>
      <c r="H125" s="119"/>
      <c r="I125" s="131"/>
      <c r="J125" s="131">
        <f>898714.47-300000</f>
        <v>598714.47</v>
      </c>
      <c r="K125" s="131"/>
    </row>
    <row r="126" spans="1:11" x14ac:dyDescent="0.25">
      <c r="A126" s="115">
        <f t="shared" si="4"/>
        <v>119</v>
      </c>
      <c r="B126" s="116" t="s">
        <v>356</v>
      </c>
      <c r="C126" s="117">
        <f t="shared" si="5"/>
        <v>127086</v>
      </c>
      <c r="D126" s="118">
        <f>127086</f>
        <v>127086</v>
      </c>
      <c r="E126" s="118"/>
      <c r="F126" s="119"/>
      <c r="G126" s="119"/>
      <c r="H126" s="119"/>
      <c r="I126" s="131"/>
      <c r="J126" s="131"/>
      <c r="K126" s="131"/>
    </row>
    <row r="127" spans="1:11" x14ac:dyDescent="0.25">
      <c r="A127" s="115">
        <f t="shared" si="4"/>
        <v>120</v>
      </c>
      <c r="B127" s="126" t="s">
        <v>357</v>
      </c>
      <c r="C127" s="117">
        <f>D127+E127+F127+G127+H127+I127+J127+K127</f>
        <v>706660</v>
      </c>
      <c r="D127" s="118"/>
      <c r="E127" s="118"/>
      <c r="F127" s="119"/>
      <c r="G127" s="119"/>
      <c r="H127" s="119"/>
      <c r="I127" s="131"/>
      <c r="J127" s="131">
        <f>+'[10]ENERO REB'!E1260</f>
        <v>255660</v>
      </c>
      <c r="K127" s="131">
        <f>127000+175500+148500</f>
        <v>451000</v>
      </c>
    </row>
    <row r="128" spans="1:11" x14ac:dyDescent="0.25">
      <c r="A128" s="115">
        <f t="shared" si="4"/>
        <v>121</v>
      </c>
      <c r="B128" s="126" t="s">
        <v>358</v>
      </c>
      <c r="C128" s="117">
        <f>D128+E128+F128+G128+H128+I128+J128+K128</f>
        <v>363114.3</v>
      </c>
      <c r="D128" s="118"/>
      <c r="E128" s="118"/>
      <c r="F128" s="119"/>
      <c r="G128" s="119"/>
      <c r="H128" s="119"/>
      <c r="I128" s="131"/>
      <c r="J128" s="131"/>
      <c r="K128" s="131">
        <f>363114.3+148500-148500</f>
        <v>363114.3</v>
      </c>
    </row>
    <row r="129" spans="1:11" x14ac:dyDescent="0.25">
      <c r="A129" s="115">
        <f t="shared" si="4"/>
        <v>122</v>
      </c>
      <c r="B129" s="126" t="s">
        <v>359</v>
      </c>
      <c r="C129" s="117">
        <f t="shared" si="5"/>
        <v>61042.35</v>
      </c>
      <c r="D129" s="118"/>
      <c r="E129" s="118"/>
      <c r="F129" s="119"/>
      <c r="G129" s="119"/>
      <c r="H129" s="119"/>
      <c r="I129" s="131"/>
      <c r="J129" s="131">
        <f>61042.35</f>
        <v>61042.35</v>
      </c>
      <c r="K129" s="131"/>
    </row>
    <row r="130" spans="1:11" x14ac:dyDescent="0.25">
      <c r="A130" s="115">
        <f t="shared" si="4"/>
        <v>123</v>
      </c>
      <c r="B130" s="116" t="s">
        <v>360</v>
      </c>
      <c r="C130" s="117">
        <f t="shared" si="5"/>
        <v>6260817.8599999994</v>
      </c>
      <c r="D130" s="118">
        <f>4654146.68</f>
        <v>4654146.68</v>
      </c>
      <c r="E130" s="118">
        <v>0</v>
      </c>
      <c r="F130" s="119">
        <f>301760.73-159330.03+0.3</f>
        <v>142430.99999999997</v>
      </c>
      <c r="G130" s="119">
        <f>253447.18</f>
        <v>253447.18</v>
      </c>
      <c r="H130" s="119">
        <f>1210793</f>
        <v>1210793</v>
      </c>
      <c r="I130" s="131"/>
      <c r="J130" s="131"/>
      <c r="K130" s="131"/>
    </row>
    <row r="131" spans="1:11" s="145" customFormat="1" x14ac:dyDescent="0.25">
      <c r="A131" s="115">
        <f t="shared" si="4"/>
        <v>124</v>
      </c>
      <c r="B131" s="123" t="s">
        <v>361</v>
      </c>
      <c r="C131" s="117">
        <f t="shared" si="5"/>
        <v>1479118</v>
      </c>
      <c r="D131" s="118"/>
      <c r="E131" s="118"/>
      <c r="F131" s="119"/>
      <c r="G131" s="146"/>
      <c r="H131" s="119"/>
      <c r="I131" s="131"/>
      <c r="J131" s="131"/>
      <c r="K131" s="131">
        <f>260535+240990+310325+304930-260535+366405-100000-12660-10500+295825+25320-250000+308483</f>
        <v>1479118</v>
      </c>
    </row>
    <row r="132" spans="1:11" x14ac:dyDescent="0.25">
      <c r="A132" s="115">
        <f t="shared" si="4"/>
        <v>125</v>
      </c>
      <c r="B132" s="123" t="s">
        <v>362</v>
      </c>
      <c r="C132" s="117"/>
      <c r="D132" s="118"/>
      <c r="E132" s="118"/>
      <c r="F132" s="119"/>
      <c r="G132" s="146"/>
      <c r="H132" s="119"/>
      <c r="I132" s="131"/>
      <c r="J132" s="131"/>
      <c r="K132" s="131"/>
    </row>
    <row r="133" spans="1:11" s="121" customFormat="1" x14ac:dyDescent="0.25">
      <c r="A133" s="115">
        <f t="shared" si="4"/>
        <v>126</v>
      </c>
      <c r="B133" s="116" t="s">
        <v>363</v>
      </c>
      <c r="C133" s="117">
        <f t="shared" si="5"/>
        <v>3733002</v>
      </c>
      <c r="D133" s="118"/>
      <c r="E133" s="118">
        <v>0</v>
      </c>
      <c r="F133" s="119">
        <f>106000-106000</f>
        <v>0</v>
      </c>
      <c r="G133" s="119"/>
      <c r="H133" s="119"/>
      <c r="I133" s="131"/>
      <c r="J133" s="131">
        <f>3102250-250000</f>
        <v>2852250</v>
      </c>
      <c r="K133" s="131">
        <f>729000+151752</f>
        <v>880752</v>
      </c>
    </row>
    <row r="134" spans="1:11" x14ac:dyDescent="0.25">
      <c r="A134" s="115">
        <f t="shared" si="4"/>
        <v>127</v>
      </c>
      <c r="B134" s="143" t="s">
        <v>364</v>
      </c>
      <c r="C134" s="117">
        <f t="shared" si="5"/>
        <v>743636</v>
      </c>
      <c r="D134" s="118"/>
      <c r="E134" s="118"/>
      <c r="F134" s="119"/>
      <c r="G134" s="119"/>
      <c r="H134" s="119"/>
      <c r="I134" s="131"/>
      <c r="J134" s="131">
        <f>354878</f>
        <v>354878</v>
      </c>
      <c r="K134" s="131">
        <f>646640-257882</f>
        <v>388758</v>
      </c>
    </row>
    <row r="135" spans="1:11" x14ac:dyDescent="0.25">
      <c r="A135" s="115">
        <f t="shared" si="4"/>
        <v>128</v>
      </c>
      <c r="B135" s="143" t="s">
        <v>365</v>
      </c>
      <c r="C135" s="117">
        <f t="shared" si="5"/>
        <v>1494582.67</v>
      </c>
      <c r="D135" s="118"/>
      <c r="E135" s="118"/>
      <c r="F135" s="124"/>
      <c r="G135" s="124"/>
      <c r="H135" s="124"/>
      <c r="I135" s="131"/>
      <c r="J135" s="131">
        <f>1494582.67</f>
        <v>1494582.67</v>
      </c>
      <c r="K135" s="131"/>
    </row>
    <row r="136" spans="1:11" x14ac:dyDescent="0.25">
      <c r="A136" s="115">
        <f t="shared" si="4"/>
        <v>129</v>
      </c>
      <c r="B136" s="147" t="s">
        <v>366</v>
      </c>
      <c r="C136" s="117">
        <f>SUM(D136:K136)</f>
        <v>2376276.41</v>
      </c>
      <c r="D136" s="118"/>
      <c r="E136" s="118"/>
      <c r="F136" s="124"/>
      <c r="G136" s="124"/>
      <c r="H136" s="124"/>
      <c r="I136" s="131"/>
      <c r="J136" s="131">
        <f>2450724.21-197947.8</f>
        <v>2252776.41</v>
      </c>
      <c r="K136" s="131">
        <f>123500</f>
        <v>123500</v>
      </c>
    </row>
    <row r="137" spans="1:11" x14ac:dyDescent="0.25">
      <c r="A137" s="115">
        <f t="shared" si="4"/>
        <v>130</v>
      </c>
      <c r="B137" s="130" t="s">
        <v>367</v>
      </c>
      <c r="C137" s="117">
        <f t="shared" si="5"/>
        <v>388844.19999999995</v>
      </c>
      <c r="D137" s="118"/>
      <c r="E137" s="118">
        <f>0</f>
        <v>0</v>
      </c>
      <c r="F137" s="119">
        <v>0</v>
      </c>
      <c r="G137" s="119"/>
      <c r="H137" s="119"/>
      <c r="I137" s="131"/>
      <c r="J137" s="131">
        <f>1213346.2-259010-335002-230490</f>
        <v>388844.19999999995</v>
      </c>
      <c r="K137" s="131"/>
    </row>
    <row r="138" spans="1:11" x14ac:dyDescent="0.25">
      <c r="A138" s="115">
        <f t="shared" ref="A138:A158" si="6">+A137+1</f>
        <v>131</v>
      </c>
      <c r="B138" s="143" t="s">
        <v>368</v>
      </c>
      <c r="C138" s="117">
        <f t="shared" si="5"/>
        <v>0</v>
      </c>
      <c r="D138" s="118"/>
      <c r="E138" s="118">
        <f>0</f>
        <v>0</v>
      </c>
      <c r="F138" s="119"/>
      <c r="G138" s="119"/>
      <c r="H138" s="119"/>
      <c r="I138" s="131"/>
      <c r="J138" s="131"/>
      <c r="K138" s="131"/>
    </row>
    <row r="139" spans="1:11" s="121" customFormat="1" x14ac:dyDescent="0.25">
      <c r="A139" s="115">
        <f t="shared" si="6"/>
        <v>132</v>
      </c>
      <c r="B139" s="130" t="s">
        <v>369</v>
      </c>
      <c r="C139" s="117">
        <f t="shared" si="5"/>
        <v>844735</v>
      </c>
      <c r="D139" s="118">
        <f>28000+710810+105925</f>
        <v>844735</v>
      </c>
      <c r="E139" s="118"/>
      <c r="F139" s="119"/>
      <c r="G139" s="119"/>
      <c r="H139" s="119"/>
      <c r="I139" s="131"/>
      <c r="J139" s="131"/>
      <c r="K139" s="131"/>
    </row>
    <row r="140" spans="1:11" x14ac:dyDescent="0.25">
      <c r="A140" s="115">
        <f t="shared" si="6"/>
        <v>133</v>
      </c>
      <c r="B140" s="116" t="s">
        <v>370</v>
      </c>
      <c r="C140" s="117">
        <f t="shared" si="5"/>
        <v>1108892</v>
      </c>
      <c r="D140" s="118">
        <f>339000+769892</f>
        <v>1108892</v>
      </c>
      <c r="E140" s="118"/>
      <c r="F140" s="119"/>
      <c r="G140" s="119"/>
      <c r="H140" s="119"/>
      <c r="I140" s="131"/>
      <c r="J140" s="131"/>
      <c r="K140" s="131"/>
    </row>
    <row r="141" spans="1:11" x14ac:dyDescent="0.25">
      <c r="A141" s="115">
        <f t="shared" si="6"/>
        <v>134</v>
      </c>
      <c r="B141" s="116" t="s">
        <v>371</v>
      </c>
      <c r="C141" s="117">
        <f t="shared" si="5"/>
        <v>1019688.6399999999</v>
      </c>
      <c r="D141" s="118"/>
      <c r="E141" s="118"/>
      <c r="F141" s="119"/>
      <c r="G141" s="119"/>
      <c r="H141" s="119"/>
      <c r="I141" s="131"/>
      <c r="J141" s="131">
        <f>856515.2-180191.56</f>
        <v>676323.6399999999</v>
      </c>
      <c r="K141" s="131">
        <f>343365</f>
        <v>343365</v>
      </c>
    </row>
    <row r="142" spans="1:11" x14ac:dyDescent="0.25">
      <c r="A142" s="115">
        <f t="shared" si="6"/>
        <v>135</v>
      </c>
      <c r="B142" s="116" t="s">
        <v>372</v>
      </c>
      <c r="C142" s="117">
        <f t="shared" si="5"/>
        <v>28000</v>
      </c>
      <c r="D142" s="118"/>
      <c r="E142" s="118"/>
      <c r="F142" s="119"/>
      <c r="G142" s="119"/>
      <c r="H142" s="119">
        <v>28000</v>
      </c>
      <c r="I142" s="131"/>
      <c r="J142" s="131"/>
      <c r="K142" s="131"/>
    </row>
    <row r="143" spans="1:11" x14ac:dyDescent="0.25">
      <c r="A143" s="115">
        <f t="shared" si="6"/>
        <v>136</v>
      </c>
      <c r="B143" s="116" t="s">
        <v>373</v>
      </c>
      <c r="C143" s="117">
        <f>D143+E143+F143+G143+H143+I143+J143+K143</f>
        <v>115356.79999999999</v>
      </c>
      <c r="D143" s="118"/>
      <c r="E143" s="118"/>
      <c r="F143" s="119"/>
      <c r="G143" s="119"/>
      <c r="H143" s="119"/>
      <c r="I143" s="122"/>
      <c r="J143" s="148"/>
      <c r="K143" s="148">
        <f>171518.9+216553.6-171518.9+0.59+115356.8-216553.6-0.59</f>
        <v>115356.79999999999</v>
      </c>
    </row>
    <row r="144" spans="1:11" x14ac:dyDescent="0.25">
      <c r="A144" s="115">
        <f t="shared" si="6"/>
        <v>137</v>
      </c>
      <c r="B144" s="116" t="s">
        <v>374</v>
      </c>
      <c r="C144" s="117">
        <f>SUM(D144:K144)</f>
        <v>1261750</v>
      </c>
      <c r="D144" s="128"/>
      <c r="E144" s="118"/>
      <c r="F144" s="119"/>
      <c r="G144" s="119"/>
      <c r="H144" s="119"/>
      <c r="I144" s="131"/>
      <c r="J144" s="131">
        <f>1261750</f>
        <v>1261750</v>
      </c>
      <c r="K144" s="131"/>
    </row>
    <row r="145" spans="1:11" ht="36.75" customHeight="1" x14ac:dyDescent="0.25">
      <c r="A145" s="115">
        <f t="shared" si="6"/>
        <v>138</v>
      </c>
      <c r="B145" s="132" t="s">
        <v>375</v>
      </c>
      <c r="C145" s="149">
        <f>D145+E145+F145+G145+H145+I145+J145+K145</f>
        <v>1992009.2000000002</v>
      </c>
      <c r="D145" s="118"/>
      <c r="E145" s="124">
        <f>0</f>
        <v>0</v>
      </c>
      <c r="F145" s="124"/>
      <c r="G145" s="124"/>
      <c r="H145" s="124"/>
      <c r="I145" s="135"/>
      <c r="J145" s="131">
        <f>2082915-219108-150000-212293.9-301672.9</f>
        <v>1199840.2000000002</v>
      </c>
      <c r="K145" s="131">
        <f>619349+180-170+0.01+71995+62420+38295-0.01+100</f>
        <v>792169</v>
      </c>
    </row>
    <row r="146" spans="1:11" x14ac:dyDescent="0.25">
      <c r="A146" s="115">
        <f t="shared" si="6"/>
        <v>139</v>
      </c>
      <c r="B146" s="116" t="s">
        <v>376</v>
      </c>
      <c r="C146" s="149">
        <f>D146+E146+F146+G146+H146+I146+J146+K146</f>
        <v>407250</v>
      </c>
      <c r="D146" s="128"/>
      <c r="E146" s="118"/>
      <c r="F146" s="119"/>
      <c r="G146" s="119"/>
      <c r="H146" s="119"/>
      <c r="I146" s="131"/>
      <c r="J146" s="131"/>
      <c r="K146" s="131">
        <f>407250</f>
        <v>407250</v>
      </c>
    </row>
    <row r="147" spans="1:11" s="121" customFormat="1" ht="22.5" customHeight="1" x14ac:dyDescent="0.25">
      <c r="A147" s="115">
        <f t="shared" si="6"/>
        <v>140</v>
      </c>
      <c r="B147" s="116" t="s">
        <v>377</v>
      </c>
      <c r="C147" s="117">
        <f t="shared" ref="C147:C155" si="7">SUM(D147:K147)</f>
        <v>2021842.23</v>
      </c>
      <c r="D147" s="118"/>
      <c r="E147" s="118">
        <v>0</v>
      </c>
      <c r="F147" s="119"/>
      <c r="G147" s="119"/>
      <c r="H147" s="119"/>
      <c r="I147" s="131"/>
      <c r="J147" s="131">
        <f>1445496.63-150000</f>
        <v>1295496.6299999999</v>
      </c>
      <c r="K147" s="131">
        <f>295360+33930.9+290718.24+65573.46-295360.19+336123+0.01+0.18</f>
        <v>726345.6</v>
      </c>
    </row>
    <row r="148" spans="1:11" x14ac:dyDescent="0.25">
      <c r="A148" s="115">
        <f t="shared" si="6"/>
        <v>141</v>
      </c>
      <c r="B148" s="116" t="s">
        <v>378</v>
      </c>
      <c r="C148" s="117">
        <f t="shared" si="7"/>
        <v>350416</v>
      </c>
      <c r="D148" s="118">
        <f>350416</f>
        <v>350416</v>
      </c>
      <c r="E148" s="118"/>
      <c r="F148" s="119"/>
      <c r="G148" s="119"/>
      <c r="H148" s="119"/>
      <c r="I148" s="131"/>
      <c r="J148" s="131"/>
      <c r="K148" s="131"/>
    </row>
    <row r="149" spans="1:11" x14ac:dyDescent="0.25">
      <c r="A149" s="115">
        <f t="shared" si="6"/>
        <v>142</v>
      </c>
      <c r="B149" s="116" t="s">
        <v>379</v>
      </c>
      <c r="C149" s="117">
        <f>SUM(D149:K149)</f>
        <v>881938.40999999992</v>
      </c>
      <c r="D149" s="118"/>
      <c r="E149" s="118"/>
      <c r="F149" s="119"/>
      <c r="G149" s="119"/>
      <c r="H149" s="119"/>
      <c r="I149" s="131"/>
      <c r="J149" s="131">
        <f>781499.21</f>
        <v>781499.21</v>
      </c>
      <c r="K149" s="131">
        <f>81939.3-0.1+18500</f>
        <v>100439.2</v>
      </c>
    </row>
    <row r="150" spans="1:11" x14ac:dyDescent="0.25">
      <c r="A150" s="115">
        <f t="shared" si="6"/>
        <v>143</v>
      </c>
      <c r="B150" s="130" t="s">
        <v>380</v>
      </c>
      <c r="C150" s="117">
        <f t="shared" si="7"/>
        <v>100831</v>
      </c>
      <c r="D150" s="118">
        <f>100831</f>
        <v>100831</v>
      </c>
      <c r="E150" s="118"/>
      <c r="F150" s="119"/>
      <c r="G150" s="119"/>
      <c r="H150" s="119"/>
      <c r="I150" s="131"/>
      <c r="J150" s="131"/>
      <c r="K150" s="131"/>
    </row>
    <row r="151" spans="1:11" x14ac:dyDescent="0.25">
      <c r="A151" s="115">
        <f t="shared" si="6"/>
        <v>144</v>
      </c>
      <c r="B151" s="130" t="s">
        <v>381</v>
      </c>
      <c r="C151" s="117">
        <f t="shared" si="7"/>
        <v>833755.54999999993</v>
      </c>
      <c r="D151" s="118"/>
      <c r="E151" s="118"/>
      <c r="F151" s="119"/>
      <c r="G151" s="119"/>
      <c r="H151" s="119"/>
      <c r="I151" s="131">
        <f>807120+134520-134520-134520+134520+134520-269040+134520+134520-403560-134520+134520-134520-134520-269040</f>
        <v>0</v>
      </c>
      <c r="J151" s="131"/>
      <c r="K151" s="131">
        <f>149340.74+159816.25+180869.99+161453.74+178946-149340.74+162522.64-159816.25+169831.32-0.01+161453.74-322907.47+141585.6</f>
        <v>833755.54999999993</v>
      </c>
    </row>
    <row r="152" spans="1:11" x14ac:dyDescent="0.25">
      <c r="A152" s="115">
        <f t="shared" si="6"/>
        <v>145</v>
      </c>
      <c r="B152" s="130" t="s">
        <v>382</v>
      </c>
      <c r="C152" s="117">
        <f t="shared" si="7"/>
        <v>664800</v>
      </c>
      <c r="D152" s="118"/>
      <c r="E152" s="118"/>
      <c r="F152" s="119"/>
      <c r="G152" s="119"/>
      <c r="H152" s="119"/>
      <c r="I152" s="131"/>
      <c r="J152" s="131"/>
      <c r="K152" s="131">
        <f>664800+544000-544000</f>
        <v>664800</v>
      </c>
    </row>
    <row r="153" spans="1:11" x14ac:dyDescent="0.25">
      <c r="A153" s="115">
        <f t="shared" si="6"/>
        <v>146</v>
      </c>
      <c r="B153" s="126" t="s">
        <v>383</v>
      </c>
      <c r="C153" s="117">
        <f t="shared" si="7"/>
        <v>118818</v>
      </c>
      <c r="D153" s="118"/>
      <c r="E153" s="118">
        <f>32872.03+16746.83+17539.45-67158.31+27895.87-27895.87</f>
        <v>0</v>
      </c>
      <c r="F153" s="119">
        <v>0</v>
      </c>
      <c r="G153" s="119"/>
      <c r="H153" s="119"/>
      <c r="I153" s="131"/>
      <c r="J153" s="131"/>
      <c r="K153" s="131">
        <f>138102-6000+26568-22140-70848+29520+23+23616-23</f>
        <v>118818</v>
      </c>
    </row>
    <row r="154" spans="1:11" x14ac:dyDescent="0.25">
      <c r="A154" s="115">
        <f t="shared" si="6"/>
        <v>147</v>
      </c>
      <c r="B154" s="116" t="s">
        <v>384</v>
      </c>
      <c r="C154" s="117">
        <f t="shared" si="7"/>
        <v>288578</v>
      </c>
      <c r="D154" s="118">
        <f>288578</f>
        <v>288578</v>
      </c>
      <c r="E154" s="118"/>
      <c r="F154" s="119"/>
      <c r="G154" s="119"/>
      <c r="H154" s="119"/>
      <c r="I154" s="131"/>
      <c r="J154" s="131"/>
      <c r="K154" s="131"/>
    </row>
    <row r="155" spans="1:11" x14ac:dyDescent="0.25">
      <c r="A155" s="115">
        <f t="shared" si="6"/>
        <v>148</v>
      </c>
      <c r="B155" s="116" t="s">
        <v>385</v>
      </c>
      <c r="C155" s="117">
        <f t="shared" si="7"/>
        <v>15800</v>
      </c>
      <c r="D155" s="118">
        <f>15800</f>
        <v>15800</v>
      </c>
      <c r="E155" s="118"/>
      <c r="F155" s="119"/>
      <c r="G155" s="119"/>
      <c r="H155" s="119"/>
      <c r="I155" s="131"/>
      <c r="J155" s="131"/>
      <c r="K155" s="131"/>
    </row>
    <row r="156" spans="1:11" x14ac:dyDescent="0.25">
      <c r="A156" s="115">
        <f t="shared" si="6"/>
        <v>149</v>
      </c>
      <c r="B156" s="116" t="s">
        <v>386</v>
      </c>
      <c r="C156" s="117">
        <f>SUM(D156:K156)</f>
        <v>2044300.47</v>
      </c>
      <c r="D156" s="118"/>
      <c r="E156" s="118"/>
      <c r="F156" s="119"/>
      <c r="G156" s="119"/>
      <c r="H156" s="119"/>
      <c r="I156" s="131"/>
      <c r="J156" s="131"/>
      <c r="K156" s="131">
        <f>1801237.5+236448-0.6+0.6-0.01+6614.98</f>
        <v>2044300.47</v>
      </c>
    </row>
    <row r="157" spans="1:11" x14ac:dyDescent="0.25">
      <c r="A157" s="115">
        <f t="shared" si="6"/>
        <v>150</v>
      </c>
      <c r="B157" s="116" t="s">
        <v>387</v>
      </c>
      <c r="C157" s="117">
        <f>SUM(D157:K157)</f>
        <v>4717973.96</v>
      </c>
      <c r="D157" s="118"/>
      <c r="E157" s="118">
        <f>0</f>
        <v>0</v>
      </c>
      <c r="F157" s="119">
        <v>0</v>
      </c>
      <c r="G157" s="119"/>
      <c r="H157" s="119"/>
      <c r="I157" s="131"/>
      <c r="J157" s="131">
        <f>3310003.63-400000-405958</f>
        <v>2504045.63</v>
      </c>
      <c r="K157" s="131">
        <f>2213928.33</f>
        <v>2213928.33</v>
      </c>
    </row>
    <row r="158" spans="1:11" x14ac:dyDescent="0.25">
      <c r="A158" s="115">
        <f t="shared" si="6"/>
        <v>151</v>
      </c>
      <c r="B158" s="128" t="s">
        <v>388</v>
      </c>
      <c r="C158" s="117">
        <v>220376</v>
      </c>
      <c r="D158" s="118"/>
      <c r="E158" s="150"/>
      <c r="F158" s="151"/>
      <c r="G158" s="151"/>
      <c r="H158" s="151">
        <f>220376.61+0.49-0.5</f>
        <v>220376.59999999998</v>
      </c>
      <c r="I158" s="131"/>
      <c r="J158" s="131"/>
      <c r="K158" s="131"/>
    </row>
    <row r="159" spans="1:11" x14ac:dyDescent="0.25">
      <c r="A159" s="1047" t="s">
        <v>389</v>
      </c>
      <c r="B159" s="1047"/>
      <c r="C159" s="152">
        <f>D159+E159+F159+G159+H159+I159+J159+K159</f>
        <v>121117554.42045999</v>
      </c>
      <c r="D159" s="153">
        <f t="shared" ref="D159:J159" si="8">SUM(D8:D158)</f>
        <v>14156177.640000001</v>
      </c>
      <c r="E159" s="153">
        <f t="shared" si="8"/>
        <v>421433.3</v>
      </c>
      <c r="F159" s="153">
        <f t="shared" si="8"/>
        <v>464850.79999999993</v>
      </c>
      <c r="G159" s="153">
        <f t="shared" si="8"/>
        <v>998316.35999999987</v>
      </c>
      <c r="H159" s="153">
        <f t="shared" si="8"/>
        <v>3296252.4600000004</v>
      </c>
      <c r="I159" s="153">
        <f t="shared" si="8"/>
        <v>382241.5</v>
      </c>
      <c r="J159" s="153">
        <f t="shared" si="8"/>
        <v>44593805.840000011</v>
      </c>
      <c r="K159" s="153">
        <f>SUM(K8:K158)</f>
        <v>56804476.52045998</v>
      </c>
    </row>
    <row r="160" spans="1:11" x14ac:dyDescent="0.25">
      <c r="A160" s="1047" t="s">
        <v>390</v>
      </c>
      <c r="B160" s="1047"/>
      <c r="C160" s="152">
        <f>37892927.23</f>
        <v>37892927.229999997</v>
      </c>
    </row>
    <row r="161" spans="1:11" x14ac:dyDescent="0.25">
      <c r="A161" s="1047" t="s">
        <v>157</v>
      </c>
      <c r="B161" s="1047"/>
      <c r="C161" s="152">
        <f>C160+C159</f>
        <v>159010481.65045998</v>
      </c>
      <c r="D161" s="154"/>
      <c r="E161" s="154"/>
      <c r="F161" s="154"/>
      <c r="G161" s="154"/>
      <c r="H161" s="154"/>
      <c r="J161" s="155"/>
      <c r="K161" s="155"/>
    </row>
    <row r="162" spans="1:11" x14ac:dyDescent="0.25">
      <c r="A162" s="156"/>
      <c r="B162" s="156"/>
      <c r="C162" s="157"/>
    </row>
    <row r="163" spans="1:11" x14ac:dyDescent="0.25">
      <c r="A163" s="156"/>
      <c r="B163" s="156"/>
      <c r="C163" s="157"/>
    </row>
    <row r="164" spans="1:11" x14ac:dyDescent="0.25">
      <c r="A164" s="156"/>
      <c r="B164" s="156"/>
      <c r="C164" s="157"/>
    </row>
    <row r="165" spans="1:11" x14ac:dyDescent="0.25">
      <c r="A165" s="145"/>
      <c r="B165" s="158"/>
      <c r="C165" s="157"/>
      <c r="D165" s="154"/>
      <c r="E165" s="154"/>
      <c r="F165" s="154"/>
      <c r="G165" s="154"/>
      <c r="H165" s="154"/>
    </row>
    <row r="166" spans="1:11" x14ac:dyDescent="0.25">
      <c r="A166" s="159" t="s">
        <v>391</v>
      </c>
      <c r="B166" s="160"/>
      <c r="C166" s="161"/>
      <c r="D166" s="158"/>
      <c r="E166" s="162" t="s">
        <v>392</v>
      </c>
      <c r="F166" s="158"/>
      <c r="G166" s="158"/>
      <c r="H166" s="158"/>
      <c r="I166" s="114"/>
      <c r="J166" s="114"/>
      <c r="K166" s="114"/>
    </row>
    <row r="167" spans="1:11" x14ac:dyDescent="0.25">
      <c r="A167" s="158"/>
      <c r="B167" s="158"/>
      <c r="C167" s="158"/>
      <c r="D167" s="158"/>
      <c r="E167" s="158"/>
      <c r="F167" s="158"/>
      <c r="G167" s="158"/>
      <c r="H167" s="158"/>
      <c r="I167" s="114"/>
      <c r="J167" s="114"/>
      <c r="K167" s="114"/>
    </row>
    <row r="168" spans="1:11" x14ac:dyDescent="0.25">
      <c r="A168" s="158"/>
      <c r="B168" s="158"/>
      <c r="C168" s="158"/>
      <c r="D168" s="158"/>
      <c r="E168" s="158"/>
      <c r="F168" s="158"/>
      <c r="G168" s="158"/>
      <c r="H168" s="158"/>
      <c r="I168" s="114"/>
      <c r="J168" s="114"/>
      <c r="K168" s="114"/>
    </row>
    <row r="169" spans="1:11" x14ac:dyDescent="0.25">
      <c r="A169" s="158"/>
      <c r="B169" s="158"/>
      <c r="C169" s="158"/>
      <c r="D169" s="158"/>
      <c r="E169" s="158"/>
      <c r="F169" s="158"/>
      <c r="G169" s="158"/>
      <c r="H169" s="158"/>
      <c r="I169" s="114"/>
      <c r="J169" s="114"/>
      <c r="K169" s="114"/>
    </row>
    <row r="170" spans="1:11" x14ac:dyDescent="0.25">
      <c r="A170" s="158"/>
      <c r="B170" s="158"/>
      <c r="C170" s="158"/>
      <c r="D170" s="158"/>
      <c r="E170" s="158"/>
      <c r="F170" s="158"/>
      <c r="G170" s="158"/>
      <c r="H170" s="158"/>
      <c r="I170" s="114"/>
      <c r="J170" s="114"/>
      <c r="K170" s="114"/>
    </row>
    <row r="171" spans="1:11" x14ac:dyDescent="0.25">
      <c r="A171" s="158"/>
      <c r="B171" s="158"/>
      <c r="D171" s="158"/>
      <c r="E171" s="158"/>
      <c r="F171" s="158"/>
      <c r="G171" s="158"/>
      <c r="H171" s="158"/>
      <c r="I171" s="114"/>
      <c r="J171" s="114"/>
      <c r="K171" s="114"/>
    </row>
    <row r="172" spans="1:11" x14ac:dyDescent="0.25">
      <c r="A172" s="162" t="s">
        <v>393</v>
      </c>
      <c r="B172" s="162"/>
      <c r="C172" s="158"/>
      <c r="D172" s="162"/>
      <c r="E172" s="162" t="s">
        <v>394</v>
      </c>
      <c r="F172" s="162"/>
      <c r="G172" s="162"/>
      <c r="H172" s="162"/>
      <c r="I172" s="114"/>
      <c r="J172" s="114"/>
      <c r="K172" s="114"/>
    </row>
    <row r="173" spans="1:11" x14ac:dyDescent="0.25">
      <c r="B173" s="163"/>
      <c r="I173" s="114"/>
      <c r="J173" s="114"/>
      <c r="K173" s="114"/>
    </row>
    <row r="174" spans="1:11" x14ac:dyDescent="0.25">
      <c r="A174" s="145"/>
      <c r="B174" s="158"/>
      <c r="D174" s="154"/>
      <c r="E174" s="154"/>
      <c r="F174" s="154"/>
      <c r="G174" s="154"/>
      <c r="H174" s="154"/>
      <c r="I174" s="114"/>
      <c r="J174" s="114"/>
      <c r="K174" s="114"/>
    </row>
    <row r="175" spans="1:11" x14ac:dyDescent="0.25">
      <c r="A175" s="145"/>
      <c r="B175" s="158"/>
      <c r="D175" s="154"/>
      <c r="E175" s="154"/>
      <c r="F175" s="154"/>
      <c r="G175" s="154"/>
      <c r="H175" s="154"/>
      <c r="I175" s="114"/>
      <c r="J175" s="114"/>
      <c r="K175" s="114"/>
    </row>
    <row r="176" spans="1:11" x14ac:dyDescent="0.25">
      <c r="A176" s="158"/>
      <c r="D176" s="154"/>
      <c r="E176" s="154"/>
      <c r="F176" s="154"/>
      <c r="G176" s="154"/>
      <c r="I176" s="114"/>
      <c r="J176" s="114"/>
      <c r="K176" s="114"/>
    </row>
    <row r="177" spans="1:11" x14ac:dyDescent="0.25">
      <c r="A177" s="158"/>
      <c r="D177" s="154"/>
      <c r="E177" s="154"/>
      <c r="F177" s="154"/>
      <c r="G177" s="154"/>
      <c r="I177" s="114"/>
      <c r="J177" s="114"/>
      <c r="K177" s="114"/>
    </row>
  </sheetData>
  <mergeCells count="9">
    <mergeCell ref="A159:B159"/>
    <mergeCell ref="A160:B160"/>
    <mergeCell ref="A161:B161"/>
    <mergeCell ref="A1:E1"/>
    <mergeCell ref="A2:E2"/>
    <mergeCell ref="A3:E3"/>
    <mergeCell ref="A4:E4"/>
    <mergeCell ref="A5:E5"/>
    <mergeCell ref="A6:E6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9"/>
  <sheetViews>
    <sheetView topLeftCell="A58" zoomScaleNormal="100" workbookViewId="0">
      <selection activeCell="B31" sqref="B31"/>
    </sheetView>
  </sheetViews>
  <sheetFormatPr baseColWidth="10" defaultColWidth="10.7109375" defaultRowHeight="15" x14ac:dyDescent="0.25"/>
  <cols>
    <col min="1" max="1" width="38.85546875" style="46" customWidth="1"/>
    <col min="2" max="2" width="21.140625" style="81" bestFit="1" customWidth="1"/>
    <col min="3" max="3" width="21.28515625" style="81" bestFit="1" customWidth="1"/>
    <col min="4" max="4" width="14.85546875" bestFit="1" customWidth="1"/>
    <col min="5" max="5" width="13.85546875" bestFit="1" customWidth="1"/>
  </cols>
  <sheetData>
    <row r="1" spans="1:6" x14ac:dyDescent="0.25">
      <c r="A1" s="1026" t="s">
        <v>188</v>
      </c>
      <c r="B1" s="1026"/>
      <c r="C1" s="1026"/>
      <c r="D1" s="1026"/>
    </row>
    <row r="2" spans="1:6" ht="21" x14ac:dyDescent="0.35">
      <c r="A2" s="1053" t="s">
        <v>14</v>
      </c>
      <c r="B2" s="1053"/>
      <c r="C2" s="1053"/>
      <c r="D2" s="1053"/>
      <c r="E2" s="40"/>
    </row>
    <row r="3" spans="1:6" ht="15.75" x14ac:dyDescent="0.25">
      <c r="A3" s="911" t="s">
        <v>220</v>
      </c>
      <c r="B3" s="911"/>
      <c r="C3" s="911"/>
      <c r="D3" s="911"/>
      <c r="E3" s="26"/>
      <c r="F3" s="26"/>
    </row>
    <row r="4" spans="1:6" x14ac:dyDescent="0.25">
      <c r="A4" s="41"/>
      <c r="B4" s="77"/>
      <c r="C4" s="77"/>
      <c r="D4" s="40"/>
      <c r="E4" s="40"/>
    </row>
    <row r="5" spans="1:6" x14ac:dyDescent="0.25">
      <c r="A5" s="41"/>
      <c r="B5" s="77"/>
      <c r="C5" s="77"/>
      <c r="D5" s="40"/>
      <c r="E5" s="40"/>
    </row>
    <row r="6" spans="1:6" ht="31.5" x14ac:dyDescent="0.25">
      <c r="A6" s="45" t="s">
        <v>198</v>
      </c>
      <c r="B6" s="43"/>
      <c r="C6" s="43"/>
      <c r="D6" s="40"/>
      <c r="E6" s="40"/>
    </row>
    <row r="7" spans="1:6" ht="39" customHeight="1" x14ac:dyDescent="0.25">
      <c r="A7" s="1052" t="s">
        <v>221</v>
      </c>
      <c r="B7" s="1052"/>
      <c r="C7" s="1052"/>
      <c r="D7" s="40"/>
      <c r="E7" s="40"/>
    </row>
    <row r="8" spans="1:6" x14ac:dyDescent="0.25">
      <c r="A8" s="91" t="s">
        <v>88</v>
      </c>
      <c r="B8" s="103">
        <v>2022</v>
      </c>
      <c r="C8" s="103">
        <v>2021</v>
      </c>
      <c r="D8" s="40"/>
      <c r="E8" s="40"/>
    </row>
    <row r="9" spans="1:6" x14ac:dyDescent="0.25">
      <c r="A9" s="41"/>
      <c r="B9" s="75"/>
      <c r="C9" s="75"/>
      <c r="D9" s="42"/>
      <c r="E9" s="40"/>
    </row>
    <row r="10" spans="1:6" ht="30" x14ac:dyDescent="0.25">
      <c r="A10" s="47" t="s">
        <v>190</v>
      </c>
      <c r="B10" s="75">
        <f>46780535.74+355135</f>
        <v>47135670.740000002</v>
      </c>
      <c r="C10" s="75">
        <f>50429198.42+40500</f>
        <v>50469698.420000002</v>
      </c>
      <c r="D10" s="42"/>
      <c r="E10" s="40"/>
    </row>
    <row r="11" spans="1:6" ht="30" x14ac:dyDescent="0.25">
      <c r="A11" s="47" t="s">
        <v>189</v>
      </c>
      <c r="B11" s="44">
        <v>7416837.4000000004</v>
      </c>
      <c r="C11" s="44">
        <v>11158926.07</v>
      </c>
      <c r="D11" s="42"/>
      <c r="E11" s="40"/>
    </row>
    <row r="12" spans="1:6" ht="15.75" thickBot="1" x14ac:dyDescent="0.3">
      <c r="A12" s="101" t="s">
        <v>157</v>
      </c>
      <c r="B12" s="78">
        <f>SUM(B10:B11)</f>
        <v>54552508.140000001</v>
      </c>
      <c r="C12" s="78">
        <f>SUM(C10:C11)</f>
        <v>61628624.490000002</v>
      </c>
      <c r="D12" s="42"/>
      <c r="E12" s="40"/>
    </row>
    <row r="13" spans="1:6" ht="15.75" thickTop="1" x14ac:dyDescent="0.25">
      <c r="A13" s="41"/>
      <c r="B13" s="75"/>
      <c r="C13" s="75"/>
      <c r="D13" s="42"/>
      <c r="E13" s="40"/>
    </row>
    <row r="14" spans="1:6" ht="26.25" x14ac:dyDescent="0.25">
      <c r="A14" s="48" t="s">
        <v>199</v>
      </c>
      <c r="B14" s="43"/>
      <c r="C14" s="43"/>
      <c r="D14" s="40"/>
      <c r="E14" s="40"/>
    </row>
    <row r="15" spans="1:6" ht="39" customHeight="1" x14ac:dyDescent="0.25">
      <c r="A15" s="1052" t="s">
        <v>222</v>
      </c>
      <c r="B15" s="1052"/>
      <c r="C15" s="1052"/>
      <c r="D15" s="40"/>
      <c r="E15" s="40"/>
    </row>
    <row r="16" spans="1:6" x14ac:dyDescent="0.25">
      <c r="A16" s="48" t="s">
        <v>91</v>
      </c>
      <c r="B16" s="88">
        <v>2022</v>
      </c>
      <c r="C16" s="88">
        <v>2021</v>
      </c>
      <c r="D16" s="40"/>
      <c r="E16" s="40"/>
    </row>
    <row r="17" spans="1:5" x14ac:dyDescent="0.25">
      <c r="A17" s="41"/>
      <c r="B17" s="43"/>
      <c r="C17" s="43"/>
      <c r="D17" s="40"/>
      <c r="E17" s="40"/>
    </row>
    <row r="18" spans="1:5" x14ac:dyDescent="0.25">
      <c r="A18" s="47" t="s">
        <v>93</v>
      </c>
      <c r="B18" s="76"/>
      <c r="C18" s="76"/>
      <c r="D18" s="40"/>
      <c r="E18" s="40"/>
    </row>
    <row r="19" spans="1:5" x14ac:dyDescent="0.25">
      <c r="A19" s="47" t="s">
        <v>94</v>
      </c>
      <c r="B19" s="74">
        <v>3300078</v>
      </c>
      <c r="C19" s="74">
        <v>4018313.23</v>
      </c>
      <c r="D19" s="40"/>
      <c r="E19" s="40"/>
    </row>
    <row r="20" spans="1:5" x14ac:dyDescent="0.25">
      <c r="A20" s="47" t="s">
        <v>174</v>
      </c>
      <c r="B20" s="74">
        <v>4669202.93</v>
      </c>
      <c r="C20" s="74">
        <v>7907420.2400000002</v>
      </c>
      <c r="D20" s="40"/>
      <c r="E20" s="40"/>
    </row>
    <row r="21" spans="1:5" x14ac:dyDescent="0.25">
      <c r="A21" s="47" t="s">
        <v>95</v>
      </c>
      <c r="B21" s="74">
        <f>38995.93*6</f>
        <v>233975.58000000002</v>
      </c>
      <c r="C21" s="74">
        <v>284136.78000000003</v>
      </c>
      <c r="D21" s="50"/>
      <c r="E21" s="40"/>
    </row>
    <row r="22" spans="1:5" x14ac:dyDescent="0.25">
      <c r="A22" s="47" t="s">
        <v>96</v>
      </c>
      <c r="B22" s="74">
        <f>39050.92*6</f>
        <v>234305.52</v>
      </c>
      <c r="C22" s="74">
        <v>281661.65999999997</v>
      </c>
      <c r="D22" s="40"/>
      <c r="E22" s="40"/>
    </row>
    <row r="23" spans="1:5" x14ac:dyDescent="0.25">
      <c r="A23" s="47" t="s">
        <v>97</v>
      </c>
      <c r="B23" s="74">
        <f>6600.16*6</f>
        <v>39600.959999999999</v>
      </c>
      <c r="C23" s="74">
        <v>37830.839999999997</v>
      </c>
      <c r="D23" s="40"/>
      <c r="E23" s="40"/>
    </row>
    <row r="24" spans="1:5" x14ac:dyDescent="0.25">
      <c r="A24" s="47" t="s">
        <v>182</v>
      </c>
      <c r="B24" s="74"/>
      <c r="C24" s="74">
        <v>105820.22</v>
      </c>
      <c r="D24" s="40"/>
      <c r="E24" s="40"/>
    </row>
    <row r="25" spans="1:5" ht="30" x14ac:dyDescent="0.25">
      <c r="A25" s="47" t="s">
        <v>181</v>
      </c>
      <c r="B25" s="74"/>
      <c r="C25" s="74">
        <v>5399061.25</v>
      </c>
      <c r="D25" s="40"/>
      <c r="E25" s="40"/>
    </row>
    <row r="26" spans="1:5" ht="15.75" thickBot="1" x14ac:dyDescent="0.3">
      <c r="A26" s="101" t="s">
        <v>157</v>
      </c>
      <c r="B26" s="102">
        <f>SUM(B18:B25)</f>
        <v>8477162.9900000002</v>
      </c>
      <c r="C26" s="102">
        <f>SUM(C18:C25)</f>
        <v>18034244.219999999</v>
      </c>
      <c r="D26" s="40"/>
      <c r="E26" s="40"/>
    </row>
    <row r="27" spans="1:5" ht="15.75" thickTop="1" x14ac:dyDescent="0.25">
      <c r="A27" s="41"/>
      <c r="B27" s="75"/>
      <c r="C27" s="75"/>
      <c r="D27" s="50"/>
      <c r="E27" s="40"/>
    </row>
    <row r="28" spans="1:5" ht="26.25" x14ac:dyDescent="0.25">
      <c r="A28" s="48" t="s">
        <v>210</v>
      </c>
      <c r="B28" s="43"/>
      <c r="C28" s="43"/>
      <c r="D28" s="40"/>
      <c r="E28" s="40"/>
    </row>
    <row r="29" spans="1:5" ht="39" customHeight="1" x14ac:dyDescent="0.25">
      <c r="A29" s="1052" t="s">
        <v>223</v>
      </c>
      <c r="B29" s="1052"/>
      <c r="C29" s="1052"/>
      <c r="D29" s="1052"/>
      <c r="E29" s="40"/>
    </row>
    <row r="30" spans="1:5" x14ac:dyDescent="0.25">
      <c r="A30" s="41" t="s">
        <v>88</v>
      </c>
      <c r="B30" s="88">
        <v>2022</v>
      </c>
      <c r="C30" s="88">
        <v>2021</v>
      </c>
      <c r="D30" s="40"/>
      <c r="E30" s="40"/>
    </row>
    <row r="31" spans="1:5" ht="30" x14ac:dyDescent="0.25">
      <c r="A31" s="46" t="s">
        <v>98</v>
      </c>
      <c r="B31" s="74">
        <f>138000+41500</f>
        <v>179500</v>
      </c>
      <c r="C31" s="74">
        <v>118700</v>
      </c>
      <c r="D31" s="40"/>
      <c r="E31" s="40"/>
    </row>
    <row r="32" spans="1:5" ht="15.75" thickBot="1" x14ac:dyDescent="0.3">
      <c r="A32" s="48" t="s">
        <v>157</v>
      </c>
      <c r="B32" s="87">
        <f>SUM(B31:B31)</f>
        <v>179500</v>
      </c>
      <c r="C32" s="87">
        <f>SUM(C31:C31)</f>
        <v>118700</v>
      </c>
      <c r="D32" s="40"/>
      <c r="E32" s="40"/>
    </row>
    <row r="33" spans="1:5" ht="15.75" thickTop="1" x14ac:dyDescent="0.25">
      <c r="B33" s="43"/>
      <c r="C33" s="43"/>
      <c r="D33" s="40"/>
      <c r="E33" s="40"/>
    </row>
    <row r="34" spans="1:5" ht="26.25" x14ac:dyDescent="0.25">
      <c r="A34" s="48" t="s">
        <v>200</v>
      </c>
      <c r="B34" s="43"/>
      <c r="C34" s="43"/>
      <c r="D34" s="40"/>
      <c r="E34" s="40"/>
    </row>
    <row r="35" spans="1:5" ht="39" customHeight="1" x14ac:dyDescent="0.25">
      <c r="A35" s="1052" t="s">
        <v>224</v>
      </c>
      <c r="B35" s="1052"/>
      <c r="C35" s="1052"/>
      <c r="D35" s="40"/>
      <c r="E35" s="40"/>
    </row>
    <row r="36" spans="1:5" x14ac:dyDescent="0.25">
      <c r="A36" s="41" t="s">
        <v>128</v>
      </c>
      <c r="B36" s="88">
        <v>2022</v>
      </c>
      <c r="C36" s="88">
        <v>2021</v>
      </c>
      <c r="D36" s="40"/>
      <c r="E36" s="40"/>
    </row>
    <row r="37" spans="1:5" x14ac:dyDescent="0.25">
      <c r="A37" s="41"/>
      <c r="B37" s="43"/>
      <c r="C37" s="43"/>
      <c r="D37" s="40"/>
      <c r="E37" s="40"/>
    </row>
    <row r="38" spans="1:5" x14ac:dyDescent="0.25">
      <c r="A38" s="47" t="s">
        <v>99</v>
      </c>
      <c r="B38" s="74">
        <v>8242270.29</v>
      </c>
      <c r="C38" s="74">
        <v>4734652.26</v>
      </c>
      <c r="D38" s="40"/>
      <c r="E38" s="40"/>
    </row>
    <row r="39" spans="1:5" x14ac:dyDescent="0.25">
      <c r="A39" s="47" t="s">
        <v>100</v>
      </c>
      <c r="B39" s="74"/>
      <c r="C39" s="74">
        <v>115491.16</v>
      </c>
      <c r="D39" s="40"/>
      <c r="E39" s="40"/>
    </row>
    <row r="40" spans="1:5" x14ac:dyDescent="0.25">
      <c r="A40" s="47" t="s">
        <v>101</v>
      </c>
      <c r="B40" s="74"/>
      <c r="C40" s="74">
        <v>42180.04</v>
      </c>
      <c r="D40" s="40"/>
      <c r="E40" s="40"/>
    </row>
    <row r="41" spans="1:5" x14ac:dyDescent="0.25">
      <c r="A41" s="47" t="s">
        <v>102</v>
      </c>
      <c r="B41" s="74"/>
      <c r="C41" s="74">
        <v>47729.599999999999</v>
      </c>
      <c r="D41" s="40"/>
      <c r="E41" s="40"/>
    </row>
    <row r="42" spans="1:5" x14ac:dyDescent="0.25">
      <c r="A42" s="47" t="s">
        <v>103</v>
      </c>
      <c r="B42" s="74">
        <v>1265220</v>
      </c>
      <c r="C42" s="74">
        <f>1613769.12+56640+1448353.1-1569940.84</f>
        <v>1548821.3800000001</v>
      </c>
      <c r="D42" s="40"/>
      <c r="E42" s="40"/>
    </row>
    <row r="43" spans="1:5" x14ac:dyDescent="0.25">
      <c r="A43" s="47" t="s">
        <v>104</v>
      </c>
      <c r="B43" s="74">
        <v>764000</v>
      </c>
      <c r="C43" s="74">
        <v>677020.34</v>
      </c>
      <c r="D43" s="40"/>
      <c r="E43" s="40"/>
    </row>
    <row r="44" spans="1:5" ht="14.25" hidden="1" customHeight="1" x14ac:dyDescent="0.25">
      <c r="A44" s="47" t="s">
        <v>105</v>
      </c>
      <c r="B44" s="74"/>
      <c r="C44" s="74"/>
      <c r="D44" s="40"/>
      <c r="E44" s="40"/>
    </row>
    <row r="45" spans="1:5" hidden="1" x14ac:dyDescent="0.25">
      <c r="A45" s="47" t="s">
        <v>106</v>
      </c>
      <c r="B45" s="74"/>
      <c r="C45" s="74"/>
      <c r="D45" s="40"/>
      <c r="E45" s="40"/>
    </row>
    <row r="46" spans="1:5" x14ac:dyDescent="0.25">
      <c r="A46" s="47" t="s">
        <v>107</v>
      </c>
      <c r="B46" s="74">
        <v>19657707.73</v>
      </c>
      <c r="C46" s="74">
        <v>12048001.24</v>
      </c>
      <c r="D46" s="50"/>
      <c r="E46" s="40"/>
    </row>
    <row r="47" spans="1:5" x14ac:dyDescent="0.25">
      <c r="A47" s="47" t="s">
        <v>108</v>
      </c>
      <c r="B47" s="74"/>
      <c r="C47" s="74">
        <v>260992.4</v>
      </c>
      <c r="D47" s="40"/>
      <c r="E47" s="40"/>
    </row>
    <row r="48" spans="1:5" x14ac:dyDescent="0.25">
      <c r="A48" s="47" t="s">
        <v>109</v>
      </c>
      <c r="B48" s="74">
        <v>874426.02</v>
      </c>
      <c r="C48" s="74">
        <v>1725975.02</v>
      </c>
      <c r="D48" s="50"/>
      <c r="E48" s="40"/>
    </row>
    <row r="49" spans="1:5" x14ac:dyDescent="0.25">
      <c r="A49" s="47" t="s">
        <v>110</v>
      </c>
      <c r="B49" s="74"/>
      <c r="C49" s="74">
        <v>16825.2</v>
      </c>
      <c r="D49" s="40"/>
      <c r="E49" s="40"/>
    </row>
    <row r="50" spans="1:5" x14ac:dyDescent="0.25">
      <c r="A50" s="47" t="s">
        <v>111</v>
      </c>
      <c r="B50" s="74"/>
      <c r="C50" s="74">
        <v>36580</v>
      </c>
      <c r="D50" s="40"/>
      <c r="E50" s="40"/>
    </row>
    <row r="51" spans="1:5" x14ac:dyDescent="0.25">
      <c r="A51" s="47" t="s">
        <v>112</v>
      </c>
      <c r="B51" s="74"/>
      <c r="C51" s="74">
        <v>4307</v>
      </c>
      <c r="D51" s="40"/>
      <c r="E51" s="40"/>
    </row>
    <row r="52" spans="1:5" ht="15.75" customHeight="1" x14ac:dyDescent="0.25">
      <c r="A52" s="47" t="s">
        <v>113</v>
      </c>
      <c r="B52" s="74"/>
      <c r="C52" s="74">
        <v>32325.35</v>
      </c>
      <c r="D52" s="40"/>
      <c r="E52" s="40"/>
    </row>
    <row r="53" spans="1:5" x14ac:dyDescent="0.25">
      <c r="A53" s="47" t="s">
        <v>114</v>
      </c>
      <c r="B53" s="74"/>
      <c r="C53" s="74">
        <v>520</v>
      </c>
      <c r="D53" s="40"/>
      <c r="E53" s="40"/>
    </row>
    <row r="54" spans="1:5" x14ac:dyDescent="0.25">
      <c r="A54" s="47" t="s">
        <v>185</v>
      </c>
      <c r="B54" s="74"/>
      <c r="C54" s="74">
        <v>23447.78</v>
      </c>
      <c r="D54" s="40"/>
      <c r="E54" s="40"/>
    </row>
    <row r="55" spans="1:5" x14ac:dyDescent="0.25">
      <c r="A55" s="47" t="s">
        <v>115</v>
      </c>
      <c r="B55" s="74"/>
      <c r="C55" s="74">
        <f>138859.84+14705.75+543006.67</f>
        <v>696572.26</v>
      </c>
      <c r="D55" s="40"/>
      <c r="E55" s="40"/>
    </row>
    <row r="56" spans="1:5" x14ac:dyDescent="0.25">
      <c r="A56" s="47" t="s">
        <v>116</v>
      </c>
      <c r="B56" s="74"/>
      <c r="C56" s="74">
        <v>50000</v>
      </c>
      <c r="D56" s="40"/>
      <c r="E56" s="40"/>
    </row>
    <row r="57" spans="1:5" x14ac:dyDescent="0.25">
      <c r="A57" s="47" t="s">
        <v>117</v>
      </c>
      <c r="B57" s="74">
        <v>1270054</v>
      </c>
      <c r="C57" s="74">
        <v>312800</v>
      </c>
      <c r="D57" s="40"/>
      <c r="E57" s="40"/>
    </row>
    <row r="58" spans="1:5" x14ac:dyDescent="0.25">
      <c r="A58" s="47" t="s">
        <v>118</v>
      </c>
      <c r="B58" s="74">
        <v>77970</v>
      </c>
      <c r="C58" s="74">
        <v>23246</v>
      </c>
      <c r="D58" s="40"/>
      <c r="E58" s="40"/>
    </row>
    <row r="59" spans="1:5" x14ac:dyDescent="0.25">
      <c r="A59" s="47" t="s">
        <v>119</v>
      </c>
      <c r="B59" s="74"/>
      <c r="C59" s="74">
        <v>25308</v>
      </c>
      <c r="D59" s="40"/>
      <c r="E59" s="40"/>
    </row>
    <row r="60" spans="1:5" ht="30" x14ac:dyDescent="0.25">
      <c r="A60" s="47" t="s">
        <v>120</v>
      </c>
      <c r="B60" s="74"/>
      <c r="C60" s="74">
        <f>95845.5+314971.8</f>
        <v>410817.3</v>
      </c>
      <c r="D60" s="40"/>
      <c r="E60" s="40"/>
    </row>
    <row r="61" spans="1:5" x14ac:dyDescent="0.25">
      <c r="A61" s="47" t="s">
        <v>121</v>
      </c>
      <c r="B61" s="74">
        <f>97704+3135841.74</f>
        <v>3233545.74</v>
      </c>
      <c r="C61" s="74">
        <f>1268423.75+364660.92</f>
        <v>1633084.67</v>
      </c>
      <c r="D61" s="50"/>
      <c r="E61" s="40"/>
    </row>
    <row r="62" spans="1:5" ht="30" x14ac:dyDescent="0.25">
      <c r="A62" s="47" t="s">
        <v>122</v>
      </c>
      <c r="B62" s="74">
        <v>1751051.73</v>
      </c>
      <c r="C62" s="74">
        <v>408309.3</v>
      </c>
      <c r="D62" s="50"/>
      <c r="E62" s="40"/>
    </row>
    <row r="63" spans="1:5" x14ac:dyDescent="0.25">
      <c r="A63" s="47" t="s">
        <v>123</v>
      </c>
      <c r="B63" s="74">
        <v>29195047.289999999</v>
      </c>
      <c r="C63" s="74">
        <f>11696292.06+4313475.8</f>
        <v>16009767.859999999</v>
      </c>
      <c r="D63" s="50"/>
      <c r="E63" s="40"/>
    </row>
    <row r="64" spans="1:5" ht="30" x14ac:dyDescent="0.25">
      <c r="A64" s="47" t="s">
        <v>176</v>
      </c>
      <c r="B64" s="74">
        <v>15160556.23</v>
      </c>
      <c r="C64" s="74">
        <f>7631561.9+255987+58531.07+11528555.46</f>
        <v>19474635.43</v>
      </c>
      <c r="D64" s="50"/>
      <c r="E64" s="40"/>
    </row>
    <row r="65" spans="1:5" ht="30" hidden="1" x14ac:dyDescent="0.25">
      <c r="A65" s="46" t="s">
        <v>124</v>
      </c>
      <c r="B65" s="74"/>
      <c r="C65" s="74"/>
      <c r="D65" s="40"/>
      <c r="E65" s="40"/>
    </row>
    <row r="66" spans="1:5" hidden="1" x14ac:dyDescent="0.25">
      <c r="A66" s="46" t="s">
        <v>125</v>
      </c>
      <c r="B66" s="74"/>
      <c r="C66" s="74"/>
      <c r="D66" s="40"/>
      <c r="E66" s="40"/>
    </row>
    <row r="67" spans="1:5" x14ac:dyDescent="0.25">
      <c r="A67" s="47" t="s">
        <v>126</v>
      </c>
      <c r="B67" s="74">
        <v>84800.7</v>
      </c>
      <c r="C67" s="74">
        <v>1734620.56</v>
      </c>
      <c r="D67" s="50"/>
      <c r="E67" s="40"/>
    </row>
    <row r="68" spans="1:5" x14ac:dyDescent="0.25">
      <c r="A68" s="47" t="s">
        <v>127</v>
      </c>
      <c r="B68" s="74">
        <v>762232.45</v>
      </c>
      <c r="C68" s="74">
        <v>142278.5</v>
      </c>
      <c r="D68" s="50"/>
      <c r="E68" s="40"/>
    </row>
    <row r="69" spans="1:5" x14ac:dyDescent="0.25">
      <c r="A69" s="41" t="s">
        <v>177</v>
      </c>
      <c r="B69" s="44">
        <v>13763.52</v>
      </c>
      <c r="C69" s="44">
        <v>1949348</v>
      </c>
      <c r="D69" s="50"/>
      <c r="E69" s="40"/>
    </row>
    <row r="70" spans="1:5" x14ac:dyDescent="0.25">
      <c r="A70" s="41" t="s">
        <v>178</v>
      </c>
      <c r="B70" s="44">
        <v>72216</v>
      </c>
      <c r="C70" s="44">
        <f>850+52610.3</f>
        <v>53460.3</v>
      </c>
      <c r="D70" s="40"/>
      <c r="E70" s="40"/>
    </row>
    <row r="71" spans="1:5" ht="15.75" thickBot="1" x14ac:dyDescent="0.3">
      <c r="A71" s="48" t="s">
        <v>157</v>
      </c>
      <c r="B71" s="89">
        <f>SUM(B38:B70)</f>
        <v>82424861.700000003</v>
      </c>
      <c r="C71" s="89">
        <f>SUM(C38:C70)</f>
        <v>64239116.949999996</v>
      </c>
      <c r="D71" s="49"/>
      <c r="E71" s="40"/>
    </row>
    <row r="72" spans="1:5" ht="15.75" thickTop="1" x14ac:dyDescent="0.25">
      <c r="A72" s="41"/>
      <c r="B72" s="43"/>
      <c r="C72" s="43"/>
      <c r="D72" s="40"/>
      <c r="E72" s="40"/>
    </row>
    <row r="73" spans="1:5" x14ac:dyDescent="0.25">
      <c r="A73" s="48" t="s">
        <v>201</v>
      </c>
      <c r="B73" s="80"/>
      <c r="C73" s="43"/>
      <c r="D73" s="40"/>
      <c r="E73" s="40"/>
    </row>
    <row r="74" spans="1:5" ht="39" customHeight="1" x14ac:dyDescent="0.25">
      <c r="A74" s="1051" t="s">
        <v>225</v>
      </c>
      <c r="B74" s="1051"/>
      <c r="C74" s="1051"/>
      <c r="D74" s="40"/>
      <c r="E74" s="40"/>
    </row>
    <row r="75" spans="1:5" x14ac:dyDescent="0.25">
      <c r="A75" s="41" t="s">
        <v>90</v>
      </c>
      <c r="B75" s="88">
        <v>2022</v>
      </c>
      <c r="C75" s="88">
        <v>2021</v>
      </c>
      <c r="D75" s="40"/>
      <c r="E75" s="40"/>
    </row>
    <row r="76" spans="1:5" x14ac:dyDescent="0.25">
      <c r="A76" s="41"/>
      <c r="B76" s="76"/>
      <c r="C76" s="76"/>
      <c r="D76" s="40"/>
      <c r="E76" s="40"/>
    </row>
    <row r="77" spans="1:5" ht="30" x14ac:dyDescent="0.25">
      <c r="A77" s="47" t="s">
        <v>129</v>
      </c>
      <c r="B77" s="75">
        <f>+'NOTAS 7 AL19'!C117</f>
        <v>0</v>
      </c>
      <c r="C77" s="74" t="e">
        <f>+'NOTAS 7 AL19'!#REF!</f>
        <v>#REF!</v>
      </c>
      <c r="D77" s="40"/>
      <c r="E77" s="40"/>
    </row>
    <row r="78" spans="1:5" x14ac:dyDescent="0.25">
      <c r="A78" s="47" t="s">
        <v>130</v>
      </c>
      <c r="B78" s="43"/>
      <c r="C78" s="77"/>
      <c r="D78" s="40"/>
      <c r="E78" s="40"/>
    </row>
    <row r="79" spans="1:5" ht="15.75" thickBot="1" x14ac:dyDescent="0.3">
      <c r="A79" s="48" t="s">
        <v>157</v>
      </c>
      <c r="B79" s="89">
        <f>SUM(B77:B78)</f>
        <v>0</v>
      </c>
      <c r="C79" s="89" t="e">
        <f>SUM(C77:C78)</f>
        <v>#REF!</v>
      </c>
      <c r="D79" s="40"/>
      <c r="E79" s="40"/>
    </row>
    <row r="80" spans="1:5" ht="15.75" thickTop="1" x14ac:dyDescent="0.25">
      <c r="A80" s="41"/>
      <c r="B80" s="43"/>
      <c r="C80" s="43"/>
      <c r="D80" s="40"/>
      <c r="E80" s="40"/>
    </row>
    <row r="81" spans="1:5" x14ac:dyDescent="0.25">
      <c r="A81" s="48" t="s">
        <v>202</v>
      </c>
      <c r="B81" s="43"/>
      <c r="C81" s="43"/>
      <c r="D81" s="40"/>
      <c r="E81" s="40"/>
    </row>
    <row r="82" spans="1:5" ht="26.25" customHeight="1" x14ac:dyDescent="0.25">
      <c r="A82" s="1052" t="s">
        <v>226</v>
      </c>
      <c r="B82" s="1052"/>
      <c r="C82" s="1052"/>
      <c r="D82" s="40"/>
      <c r="E82" s="40"/>
    </row>
    <row r="83" spans="1:5" x14ac:dyDescent="0.25">
      <c r="A83" s="48" t="s">
        <v>88</v>
      </c>
      <c r="B83" s="88">
        <v>2022</v>
      </c>
      <c r="C83" s="88">
        <v>2021</v>
      </c>
      <c r="D83" s="40"/>
      <c r="E83" s="40"/>
    </row>
    <row r="84" spans="1:5" x14ac:dyDescent="0.25">
      <c r="A84" s="41"/>
      <c r="B84" s="79"/>
      <c r="C84" s="79"/>
      <c r="D84" s="40"/>
      <c r="E84" s="40"/>
    </row>
    <row r="85" spans="1:5" x14ac:dyDescent="0.25">
      <c r="A85" s="46" t="s">
        <v>131</v>
      </c>
      <c r="B85" s="74"/>
      <c r="C85" s="74"/>
      <c r="D85" s="40"/>
      <c r="E85" s="40"/>
    </row>
    <row r="86" spans="1:5" x14ac:dyDescent="0.25">
      <c r="A86" s="46" t="s">
        <v>132</v>
      </c>
      <c r="B86" s="74">
        <f>219216.32+279499.39</f>
        <v>498715.71</v>
      </c>
      <c r="C86" s="74">
        <v>606940.72</v>
      </c>
      <c r="D86" s="40"/>
      <c r="E86" s="40"/>
    </row>
    <row r="87" spans="1:5" x14ac:dyDescent="0.25">
      <c r="A87" s="46" t="s">
        <v>133</v>
      </c>
      <c r="B87" s="74">
        <f>124038.07+113896.25</f>
        <v>237934.32</v>
      </c>
      <c r="C87" s="74">
        <v>180577.94</v>
      </c>
      <c r="D87" s="40"/>
      <c r="E87" s="40"/>
    </row>
    <row r="88" spans="1:5" x14ac:dyDescent="0.25">
      <c r="A88" s="46" t="s">
        <v>134</v>
      </c>
      <c r="B88" s="74">
        <v>259200</v>
      </c>
      <c r="C88" s="74">
        <f>43200*6</f>
        <v>259200</v>
      </c>
      <c r="D88" s="40"/>
      <c r="E88" s="42"/>
    </row>
    <row r="89" spans="1:5" x14ac:dyDescent="0.25">
      <c r="A89" s="46" t="s">
        <v>135</v>
      </c>
      <c r="B89" s="74">
        <v>305000</v>
      </c>
      <c r="C89" s="74">
        <v>499300</v>
      </c>
      <c r="D89" s="40"/>
      <c r="E89" s="40"/>
    </row>
    <row r="90" spans="1:5" x14ac:dyDescent="0.25">
      <c r="A90" s="46" t="s">
        <v>136</v>
      </c>
      <c r="B90" s="74">
        <v>82000</v>
      </c>
      <c r="C90" s="74">
        <v>1450</v>
      </c>
      <c r="D90" s="40"/>
      <c r="E90" s="40"/>
    </row>
    <row r="91" spans="1:5" x14ac:dyDescent="0.25">
      <c r="A91" s="46" t="s">
        <v>137</v>
      </c>
      <c r="B91" s="74"/>
      <c r="C91" s="74">
        <v>103924.35</v>
      </c>
      <c r="D91" s="40"/>
      <c r="E91" s="40"/>
    </row>
    <row r="92" spans="1:5" x14ac:dyDescent="0.25">
      <c r="A92" s="46" t="s">
        <v>138</v>
      </c>
      <c r="B92" s="74"/>
      <c r="C92" s="74">
        <v>538080</v>
      </c>
      <c r="D92" s="40"/>
      <c r="E92" s="40"/>
    </row>
    <row r="93" spans="1:5" x14ac:dyDescent="0.25">
      <c r="A93" s="46" t="s">
        <v>139</v>
      </c>
      <c r="B93" s="74">
        <v>521269.73</v>
      </c>
      <c r="C93" s="74">
        <v>417025.44</v>
      </c>
      <c r="D93" s="40"/>
      <c r="E93" s="40"/>
    </row>
    <row r="94" spans="1:5" x14ac:dyDescent="0.25">
      <c r="A94" s="46" t="s">
        <v>140</v>
      </c>
      <c r="B94" s="74"/>
      <c r="C94" s="74">
        <v>134520</v>
      </c>
      <c r="D94" s="40"/>
      <c r="E94" s="40"/>
    </row>
    <row r="95" spans="1:5" x14ac:dyDescent="0.25">
      <c r="A95" s="46" t="s">
        <v>141</v>
      </c>
      <c r="B95" s="74">
        <v>328816.25</v>
      </c>
      <c r="C95" s="74"/>
      <c r="D95" s="40"/>
      <c r="E95" s="40"/>
    </row>
    <row r="96" spans="1:5" x14ac:dyDescent="0.25">
      <c r="A96" s="46" t="s">
        <v>175</v>
      </c>
      <c r="B96" s="74">
        <v>6608</v>
      </c>
      <c r="C96" s="74">
        <v>3894</v>
      </c>
      <c r="D96" s="40"/>
      <c r="E96" s="40"/>
    </row>
    <row r="97" spans="1:5" x14ac:dyDescent="0.25">
      <c r="A97" s="46" t="s">
        <v>142</v>
      </c>
      <c r="B97" s="74">
        <v>741364.64</v>
      </c>
      <c r="C97" s="74"/>
      <c r="D97" s="40"/>
      <c r="E97" s="40"/>
    </row>
    <row r="98" spans="1:5" ht="30" x14ac:dyDescent="0.25">
      <c r="A98" s="46" t="s">
        <v>143</v>
      </c>
      <c r="B98" s="74">
        <f>324382+14160+107885.18</f>
        <v>446427.18</v>
      </c>
      <c r="C98" s="74"/>
      <c r="D98" s="40"/>
      <c r="E98" s="40"/>
    </row>
    <row r="99" spans="1:5" ht="30" x14ac:dyDescent="0.25">
      <c r="A99" s="46" t="s">
        <v>144</v>
      </c>
      <c r="B99" s="74">
        <v>84134</v>
      </c>
      <c r="C99" s="74"/>
      <c r="D99" s="40"/>
      <c r="E99" s="40"/>
    </row>
    <row r="100" spans="1:5" ht="30" x14ac:dyDescent="0.25">
      <c r="A100" s="46" t="s">
        <v>186</v>
      </c>
      <c r="B100" s="74"/>
      <c r="C100" s="74">
        <f>517044.73+90+82700.3</f>
        <v>599835.03</v>
      </c>
      <c r="D100" s="40"/>
      <c r="E100" s="40"/>
    </row>
    <row r="101" spans="1:5" x14ac:dyDescent="0.25">
      <c r="A101" s="46" t="s">
        <v>145</v>
      </c>
      <c r="B101" s="74">
        <v>775507.8</v>
      </c>
      <c r="C101" s="74"/>
      <c r="D101" s="40"/>
      <c r="E101" s="40"/>
    </row>
    <row r="102" spans="1:5" ht="30" x14ac:dyDescent="0.25">
      <c r="A102" s="46" t="s">
        <v>146</v>
      </c>
      <c r="B102" s="74">
        <v>107557</v>
      </c>
      <c r="C102" s="74"/>
      <c r="D102" s="40"/>
      <c r="E102" s="40"/>
    </row>
    <row r="103" spans="1:5" ht="30" x14ac:dyDescent="0.25">
      <c r="A103" s="46" t="s">
        <v>187</v>
      </c>
      <c r="B103" s="74"/>
      <c r="C103" s="74">
        <v>250155.13</v>
      </c>
      <c r="D103" s="40"/>
      <c r="E103" s="40"/>
    </row>
    <row r="104" spans="1:5" x14ac:dyDescent="0.25">
      <c r="A104" s="46" t="s">
        <v>147</v>
      </c>
      <c r="B104" s="74">
        <v>747500</v>
      </c>
      <c r="C104" s="74"/>
      <c r="D104" s="40"/>
      <c r="E104" s="40"/>
    </row>
    <row r="105" spans="1:5" x14ac:dyDescent="0.25">
      <c r="A105" s="46" t="s">
        <v>148</v>
      </c>
      <c r="B105" s="74">
        <v>95462</v>
      </c>
      <c r="C105" s="76"/>
      <c r="D105" s="40"/>
      <c r="E105" s="40"/>
    </row>
    <row r="106" spans="1:5" x14ac:dyDescent="0.25">
      <c r="A106" s="46" t="s">
        <v>149</v>
      </c>
      <c r="B106" s="74">
        <v>18255.07</v>
      </c>
      <c r="C106" s="74">
        <v>18290</v>
      </c>
      <c r="D106" s="40"/>
      <c r="E106" s="40"/>
    </row>
    <row r="107" spans="1:5" ht="13.5" customHeight="1" x14ac:dyDescent="0.25">
      <c r="A107" s="46" t="s">
        <v>150</v>
      </c>
      <c r="B107" s="74">
        <f>215940+263878+1637322.39+558890.41+1723250.88+71111.11+803179.09+560513.16+464444.44</f>
        <v>6298529.4800000004</v>
      </c>
      <c r="C107" s="74">
        <f>136554+15320+727572+562945.68+500225.6+97704+1300318.39</f>
        <v>3340639.67</v>
      </c>
      <c r="D107" s="40"/>
      <c r="E107" s="40"/>
    </row>
    <row r="108" spans="1:5" ht="15.75" thickBot="1" x14ac:dyDescent="0.3">
      <c r="A108" s="101" t="s">
        <v>157</v>
      </c>
      <c r="B108" s="89">
        <f>SUM(B85:B107)</f>
        <v>11554281.18</v>
      </c>
      <c r="C108" s="89">
        <f>SUM(C85:C107)</f>
        <v>6953832.2799999993</v>
      </c>
      <c r="D108" s="49"/>
      <c r="E108" s="40"/>
    </row>
    <row r="109" spans="1:5" ht="15.75" thickTop="1" x14ac:dyDescent="0.25">
      <c r="A109" s="48"/>
      <c r="B109" s="90"/>
      <c r="C109" s="90"/>
      <c r="D109" s="49"/>
      <c r="E109" s="40"/>
    </row>
    <row r="110" spans="1:5" x14ac:dyDescent="0.25">
      <c r="A110" s="48" t="s">
        <v>203</v>
      </c>
      <c r="B110" s="43"/>
      <c r="C110" s="43"/>
      <c r="D110" s="40"/>
      <c r="E110" s="40"/>
    </row>
    <row r="111" spans="1:5" ht="39" customHeight="1" x14ac:dyDescent="0.25">
      <c r="A111" s="1052" t="s">
        <v>227</v>
      </c>
      <c r="B111" s="1052"/>
      <c r="C111" s="1052"/>
      <c r="D111" s="40"/>
      <c r="E111" s="40"/>
    </row>
    <row r="112" spans="1:5" x14ac:dyDescent="0.25">
      <c r="A112" s="48" t="s">
        <v>88</v>
      </c>
      <c r="B112" s="88">
        <v>2022</v>
      </c>
      <c r="C112" s="88">
        <v>2021</v>
      </c>
      <c r="D112" s="40"/>
      <c r="E112" s="40"/>
    </row>
    <row r="113" spans="1:5" x14ac:dyDescent="0.25">
      <c r="A113" s="41"/>
      <c r="B113" s="76"/>
      <c r="C113" s="76"/>
      <c r="D113" s="40"/>
      <c r="E113" s="40"/>
    </row>
    <row r="114" spans="1:5" x14ac:dyDescent="0.25">
      <c r="A114" s="47" t="s">
        <v>151</v>
      </c>
      <c r="B114" s="74">
        <v>82335.75</v>
      </c>
      <c r="C114" s="74">
        <v>117963.06</v>
      </c>
      <c r="D114" s="40"/>
      <c r="E114" s="40"/>
    </row>
    <row r="115" spans="1:5" x14ac:dyDescent="0.25">
      <c r="A115" s="46" t="s">
        <v>152</v>
      </c>
      <c r="B115" s="74"/>
      <c r="C115" s="74"/>
      <c r="D115" s="40"/>
      <c r="E115" s="40"/>
    </row>
    <row r="116" spans="1:5" ht="15.75" thickBot="1" x14ac:dyDescent="0.3">
      <c r="A116" s="101" t="s">
        <v>157</v>
      </c>
      <c r="B116" s="89">
        <f>SUM(B114:B115)</f>
        <v>82335.75</v>
      </c>
      <c r="C116" s="89">
        <f>SUM(C114:C115)</f>
        <v>117963.06</v>
      </c>
      <c r="D116" s="40"/>
      <c r="E116" s="40"/>
    </row>
    <row r="117" spans="1:5" ht="15.75" thickTop="1" x14ac:dyDescent="0.25">
      <c r="B117" s="92"/>
      <c r="C117" s="92"/>
    </row>
    <row r="118" spans="1:5" x14ac:dyDescent="0.25">
      <c r="B118" s="93"/>
    </row>
    <row r="119" spans="1:5" x14ac:dyDescent="0.25">
      <c r="B119" s="92"/>
    </row>
  </sheetData>
  <mergeCells count="10">
    <mergeCell ref="A74:C74"/>
    <mergeCell ref="A82:C82"/>
    <mergeCell ref="A111:C111"/>
    <mergeCell ref="A15:C15"/>
    <mergeCell ref="A1:D1"/>
    <mergeCell ref="A3:D3"/>
    <mergeCell ref="A35:C35"/>
    <mergeCell ref="A29:D29"/>
    <mergeCell ref="A7:C7"/>
    <mergeCell ref="A2:D2"/>
  </mergeCells>
  <pageMargins left="0.70866141732283472" right="0.70866141732283472" top="0.74803149606299213" bottom="0.74803149606299213" header="0.31496062992125984" footer="0.31496062992125984"/>
  <pageSetup scale="93" orientation="portrait" r:id="rId1"/>
  <headerFooter>
    <oddFooter>Página &amp;P</oddFooter>
  </headerFooter>
  <ignoredErrors>
    <ignoredError sqref="B32:C32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32</vt:i4>
      </vt:variant>
      <vt:variant>
        <vt:lpstr>Rangos con nombre</vt:lpstr>
      </vt:variant>
      <vt:variant>
        <vt:i4>17</vt:i4>
      </vt:variant>
    </vt:vector>
  </HeadingPairs>
  <TitlesOfParts>
    <vt:vector size="49" baseType="lpstr">
      <vt:lpstr>Estado de Situación</vt:lpstr>
      <vt:lpstr>Est. de Rendimiento Fin</vt:lpstr>
      <vt:lpstr>Cambio del Patrimonio</vt:lpstr>
      <vt:lpstr>cambio en el patr.</vt:lpstr>
      <vt:lpstr>Flujo de Efectivo</vt:lpstr>
      <vt:lpstr> estado comp. presup.</vt:lpstr>
      <vt:lpstr>Estado Comparativo</vt:lpstr>
      <vt:lpstr>dinámico de gastos al 30-06-24</vt:lpstr>
      <vt:lpstr>Hoja4</vt:lpstr>
      <vt:lpstr>NOTAS 7 AL19</vt:lpstr>
      <vt:lpstr>NOTA 10</vt:lpstr>
      <vt:lpstr>Hoja6</vt:lpstr>
      <vt:lpstr>obligaciones</vt:lpstr>
      <vt:lpstr>resumen compras</vt:lpstr>
      <vt:lpstr>CXC</vt:lpstr>
      <vt:lpstr>CUENTAS POR PAGAR</vt:lpstr>
      <vt:lpstr>Hoja5</vt:lpstr>
      <vt:lpstr>ejecucion</vt:lpstr>
      <vt:lpstr>CONCILIACION </vt:lpstr>
      <vt:lpstr>INGRESOS</vt:lpstr>
      <vt:lpstr>INGRESOS FEBRERO</vt:lpstr>
      <vt:lpstr>INGRESOS MARZO</vt:lpstr>
      <vt:lpstr>balance SIGEF</vt:lpstr>
      <vt:lpstr>cxp</vt:lpstr>
      <vt:lpstr>Hoja3</vt:lpstr>
      <vt:lpstr>CONCILIACION 1</vt:lpstr>
      <vt:lpstr>CONCILIACION 2</vt:lpstr>
      <vt:lpstr>Hoja2</vt:lpstr>
      <vt:lpstr>CONCILIACION 1 31-12-2022</vt:lpstr>
      <vt:lpstr>CONCILIACION 31-01-2023</vt:lpstr>
      <vt:lpstr>Hoja1</vt:lpstr>
      <vt:lpstr>DETALLES DE ESTADO DE RF</vt:lpstr>
      <vt:lpstr>' estado comp. presup.'!Área_de_impresión</vt:lpstr>
      <vt:lpstr>'Cambio del Patrimonio'!Área_de_impresión</vt:lpstr>
      <vt:lpstr>'CONCILIACION '!Área_de_impresión</vt:lpstr>
      <vt:lpstr>'CONCILIACION 1'!Área_de_impresión</vt:lpstr>
      <vt:lpstr>'CONCILIACION 1 31-12-2022'!Área_de_impresión</vt:lpstr>
      <vt:lpstr>'CONCILIACION 31-01-2023'!Área_de_impresión</vt:lpstr>
      <vt:lpstr>'CUENTAS POR PAGAR'!Área_de_impresión</vt:lpstr>
      <vt:lpstr>'DETALLES DE ESTADO DE RF'!Área_de_impresión</vt:lpstr>
      <vt:lpstr>ejecucion!Área_de_impresión</vt:lpstr>
      <vt:lpstr>'Est. de Rendimiento Fin'!Área_de_impresión</vt:lpstr>
      <vt:lpstr>'Estado de Situación'!Área_de_impresión</vt:lpstr>
      <vt:lpstr>'Flujo de Efectivo'!Área_de_impresión</vt:lpstr>
      <vt:lpstr>'INGRESOS FEBRERO'!Área_de_impresión</vt:lpstr>
      <vt:lpstr>'NOTAS 7 AL19'!Área_de_impresión</vt:lpstr>
      <vt:lpstr>obligaciones!Área_de_impresión</vt:lpstr>
      <vt:lpstr>'NOTAS 7 AL19'!OLE_LINK1</vt:lpstr>
      <vt:lpstr>'NOTAS 7 AL19'!OLE_LINK4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Soto</dc:creator>
  <cp:lastModifiedBy>contabilidad</cp:lastModifiedBy>
  <cp:lastPrinted>2025-05-14T18:12:50Z</cp:lastPrinted>
  <dcterms:created xsi:type="dcterms:W3CDTF">2018-07-13T15:52:30Z</dcterms:created>
  <dcterms:modified xsi:type="dcterms:W3CDTF">2025-05-14T18:13:15Z</dcterms:modified>
</cp:coreProperties>
</file>