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eleci\work\oreilly\git\Ch8_Peripherals\"/>
    </mc:Choice>
  </mc:AlternateContent>
  <xr:revisionPtr revIDLastSave="0" documentId="13_ncr:1_{D6112D0A-7FFF-4643-A73E-4013F3BD1939}" xr6:coauthVersionLast="47" xr6:coauthVersionMax="47" xr10:uidLastSave="{00000000-0000-0000-0000-000000000000}"/>
  <bookViews>
    <workbookView xWindow="10" yWindow="1980" windowWidth="19180" windowHeight="16250" tabRatio="788" xr2:uid="{D17E2DFF-10D0-4B8F-A2BE-387E4BD71D7F}"/>
  </bookViews>
  <sheets>
    <sheet name="Instructions" sheetId="2" r:id="rId1"/>
    <sheet name="Walkthrough" sheetId="8" r:id="rId2"/>
    <sheet name="Collecting Data" sheetId="7" r:id="rId3"/>
    <sheet name="Storing Data" sheetId="9" r:id="rId4"/>
    <sheet name="Display" sheetId="1" r:id="rId5"/>
    <sheet name="Flash Allocation" sheetId="3" r:id="rId6"/>
    <sheet name="SPI Timing" sheetId="5" r:id="rId7"/>
    <sheet name="Storing Data Snippets" sheetId="4"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3" l="1"/>
  <c r="B49" i="1"/>
  <c r="B50" i="1" s="1"/>
  <c r="C22" i="3"/>
  <c r="B12" i="9"/>
  <c r="B13" i="9" s="1"/>
  <c r="B53" i="8"/>
  <c r="B50" i="8"/>
  <c r="B49" i="8"/>
  <c r="B48" i="8"/>
  <c r="B29" i="8"/>
  <c r="B45" i="8" s="1"/>
  <c r="B13" i="7"/>
  <c r="B4" i="5"/>
  <c r="B40" i="8"/>
  <c r="B33" i="8"/>
  <c r="B32" i="8"/>
  <c r="B28" i="8"/>
  <c r="B16" i="9"/>
  <c r="B29" i="9" s="1"/>
  <c r="B4" i="9"/>
  <c r="B5" i="9" s="1"/>
  <c r="B7" i="9" s="1"/>
  <c r="B37" i="9" s="1"/>
  <c r="B42" i="9" s="1"/>
  <c r="B11" i="8"/>
  <c r="C8" i="8"/>
  <c r="C6" i="8"/>
  <c r="B5" i="8"/>
  <c r="C4" i="8"/>
  <c r="A4" i="8"/>
  <c r="B4" i="8"/>
  <c r="B21" i="8" s="1"/>
  <c r="A5" i="8"/>
  <c r="A6" i="8"/>
  <c r="B6" i="8"/>
  <c r="G43" i="1"/>
  <c r="H43" i="1" s="1"/>
  <c r="I43" i="1" s="1"/>
  <c r="J43" i="1" s="1"/>
  <c r="B7" i="7"/>
  <c r="B9" i="7" s="1"/>
  <c r="B14" i="7" s="1"/>
  <c r="B51" i="8" l="1"/>
  <c r="B54" i="8" s="1"/>
  <c r="B55" i="8" s="1"/>
  <c r="B9" i="5" s="1"/>
  <c r="J44" i="1"/>
  <c r="C12" i="3"/>
  <c r="B7" i="8"/>
  <c r="B16" i="8"/>
  <c r="B25" i="8" s="1"/>
  <c r="B26" i="9"/>
  <c r="B34" i="8" s="1"/>
  <c r="B35" i="8" s="1"/>
  <c r="B38" i="8" s="1"/>
  <c r="B8" i="9"/>
  <c r="B30" i="9"/>
  <c r="B20" i="9"/>
  <c r="B24" i="9" s="1"/>
  <c r="B43" i="9" s="1"/>
  <c r="B45" i="9" s="1"/>
  <c r="B32" i="9"/>
  <c r="B33" i="9" s="1"/>
  <c r="B34" i="9" s="1"/>
  <c r="B41" i="8" s="1"/>
  <c r="B8" i="5" s="1"/>
  <c r="B8" i="8"/>
  <c r="B12" i="8" s="1"/>
  <c r="B7" i="5" s="1"/>
  <c r="B18" i="7"/>
  <c r="B22" i="7" s="1"/>
  <c r="B8" i="4"/>
  <c r="B10" i="7"/>
  <c r="B11" i="5" l="1"/>
  <c r="B17" i="8"/>
  <c r="B22" i="8"/>
  <c r="B37" i="4"/>
  <c r="B11" i="4"/>
  <c r="B13" i="4" s="1"/>
  <c r="B15" i="4" s="1"/>
  <c r="B16" i="4" s="1"/>
  <c r="B24" i="4" s="1"/>
  <c r="B45" i="4" s="1"/>
  <c r="E10" i="3"/>
  <c r="E9" i="3"/>
  <c r="C3" i="3"/>
  <c r="C4" i="3" s="1"/>
  <c r="I32" i="1"/>
  <c r="G37" i="1"/>
  <c r="H37" i="1" s="1"/>
  <c r="I37" i="1" s="1"/>
  <c r="G36" i="1"/>
  <c r="H36" i="1" s="1"/>
  <c r="I36" i="1" s="1"/>
  <c r="G35" i="1"/>
  <c r="H35" i="1" s="1"/>
  <c r="I35" i="1" s="1"/>
  <c r="G34" i="1"/>
  <c r="H34" i="1" s="1"/>
  <c r="I34" i="1" s="1"/>
  <c r="G33" i="1"/>
  <c r="H33" i="1" s="1"/>
  <c r="I33" i="1" s="1"/>
  <c r="G32" i="1"/>
  <c r="H32" i="1" s="1"/>
  <c r="B6" i="1"/>
  <c r="B10" i="1" s="1"/>
  <c r="B11" i="1" s="1"/>
  <c r="B12" i="1" s="1"/>
  <c r="B16" i="1" l="1"/>
  <c r="B17" i="1" s="1"/>
  <c r="B18" i="1" s="1"/>
  <c r="B40" i="4"/>
  <c r="B41" i="4" s="1"/>
  <c r="B42" i="4" s="1"/>
  <c r="B38" i="4"/>
  <c r="J35" i="1"/>
  <c r="C49" i="4"/>
  <c r="B49" i="4"/>
  <c r="B25" i="4"/>
  <c r="B17" i="4"/>
  <c r="C6" i="3"/>
  <c r="J34" i="1"/>
  <c r="J33" i="1"/>
  <c r="J37" i="1"/>
  <c r="J36" i="1"/>
  <c r="J32" i="1"/>
  <c r="C42" i="9" l="1"/>
  <c r="E12" i="3"/>
  <c r="B18" i="4"/>
  <c r="B30" i="4"/>
  <c r="C34" i="4" s="1"/>
  <c r="B26" i="4"/>
  <c r="B50" i="4"/>
  <c r="C50" i="4"/>
  <c r="B34" i="4"/>
  <c r="J39" i="1"/>
  <c r="D26" i="1" l="1"/>
  <c r="C11" i="3" s="1"/>
  <c r="C24" i="9"/>
  <c r="C43" i="9" s="1"/>
  <c r="C45" i="9" s="1"/>
  <c r="E11" i="3" l="1"/>
  <c r="E4" i="3"/>
</calcChain>
</file>

<file path=xl/sharedStrings.xml><?xml version="1.0" encoding="utf-8"?>
<sst xmlns="http://schemas.openxmlformats.org/spreadsheetml/2006/main" count="339" uniqueCount="227">
  <si>
    <t>pixels</t>
  </si>
  <si>
    <t>total pixels</t>
  </si>
  <si>
    <t>bits</t>
  </si>
  <si>
    <t>bits/screen</t>
  </si>
  <si>
    <t>bytes</t>
  </si>
  <si>
    <t>kbytes</t>
  </si>
  <si>
    <t xml:space="preserve">screen refresh </t>
  </si>
  <si>
    <t>Hz</t>
  </si>
  <si>
    <t>kbytes/s</t>
  </si>
  <si>
    <t>Mbits/s</t>
  </si>
  <si>
    <t>Mbytes/s</t>
  </si>
  <si>
    <t>How fast does my communication need to happen if I want to update my whole screen at a given refresh rate?</t>
  </si>
  <si>
    <t>Display Height</t>
  </si>
  <si>
    <t>Display Width</t>
  </si>
  <si>
    <t>Color: data/pixel</t>
  </si>
  <si>
    <t>Most screens are not completely refreshed on each pass unless there is a RAM buffer to allow tear-free updates.</t>
  </si>
  <si>
    <t>However, the throughput needed provides a likely maximum for the throughput needed for most projects.</t>
  </si>
  <si>
    <t>How much space will my graphics take up?</t>
  </si>
  <si>
    <t>Display</t>
  </si>
  <si>
    <t>width</t>
  </si>
  <si>
    <t>height</t>
  </si>
  <si>
    <t>number glyphs (max)</t>
  </si>
  <si>
    <t>Single element</t>
  </si>
  <si>
    <t>Total pixels</t>
  </si>
  <si>
    <t>Total bits</t>
  </si>
  <si>
    <t>Total bytes</t>
  </si>
  <si>
    <t>Font</t>
  </si>
  <si>
    <t>Icons</t>
  </si>
  <si>
    <t>Small</t>
  </si>
  <si>
    <t>*</t>
  </si>
  <si>
    <t>Large</t>
  </si>
  <si>
    <t>***</t>
  </si>
  <si>
    <t>Total</t>
  </si>
  <si>
    <t>width in pixels</t>
  </si>
  <si>
    <t>height in pixels</t>
  </si>
  <si>
    <t>bit depth</t>
  </si>
  <si>
    <t>Smallest possible font, good for debugging, bad for display to user...</t>
  </si>
  <si>
    <t>tiny</t>
  </si>
  <si>
    <t>* numbers only</t>
  </si>
  <si>
    <t>Splash Screen</t>
  </si>
  <si>
    <t>Modify green</t>
  </si>
  <si>
    <t>Orange is for calculations</t>
  </si>
  <si>
    <t>SPI Flash is the W25Q64JV, 64Mbit, QSPI @133Mhz</t>
  </si>
  <si>
    <t>Size</t>
  </si>
  <si>
    <t>Mbit</t>
  </si>
  <si>
    <t>Mbyte</t>
  </si>
  <si>
    <t>% full</t>
  </si>
  <si>
    <t>Sector size</t>
  </si>
  <si>
    <t>Number of sectors</t>
  </si>
  <si>
    <t>sectors</t>
  </si>
  <si>
    <t>KV Store</t>
  </si>
  <si>
    <t>Display assets</t>
  </si>
  <si>
    <t>Not planned</t>
  </si>
  <si>
    <t>File system</t>
  </si>
  <si>
    <t>Data store</t>
  </si>
  <si>
    <t>Calculated on Display tab</t>
  </si>
  <si>
    <t>Sectors</t>
  </si>
  <si>
    <t>DFU space</t>
  </si>
  <si>
    <t>Calculated on Data tab</t>
  </si>
  <si>
    <t>data rate 
(bytes/s)</t>
  </si>
  <si>
    <t>Subtotal</t>
  </si>
  <si>
    <t xml:space="preserve">Overhead </t>
  </si>
  <si>
    <t>bytes needed for one snippet</t>
  </si>
  <si>
    <t>bytes needed for storage</t>
  </si>
  <si>
    <t>kbytes needed</t>
  </si>
  <si>
    <t>Data1</t>
  </si>
  <si>
    <t>Data2</t>
  </si>
  <si>
    <t>seconds</t>
  </si>
  <si>
    <t>number of snippet</t>
  </si>
  <si>
    <t>Total size per second</t>
  </si>
  <si>
    <t>Size for one snippet</t>
  </si>
  <si>
    <t>Size for all snippets</t>
  </si>
  <si>
    <t>MHz (133MHz Single, 266MHz Dual SPI, 532MHz QSPI)</t>
  </si>
  <si>
    <t>Erase block size</t>
  </si>
  <si>
    <t>kybtes</t>
  </si>
  <si>
    <t>Blocks to erase</t>
  </si>
  <si>
    <t>blocks</t>
  </si>
  <si>
    <t>Typical (ms)</t>
  </si>
  <si>
    <t>Max (ms)</t>
  </si>
  <si>
    <t>Time to erase block</t>
  </si>
  <si>
    <t>Time to erase snippet</t>
  </si>
  <si>
    <t>This is too long to do as a pre-collection step, 
A buffer needs to be ready when the collection starts
Which indicates this needs to be a ping-pong buffer (at least)</t>
  </si>
  <si>
    <t>Write</t>
  </si>
  <si>
    <t>Equivalent SPI rate</t>
  </si>
  <si>
    <t>MHz (bits/s)</t>
  </si>
  <si>
    <t>Time to transfer data</t>
  </si>
  <si>
    <t>ms</t>
  </si>
  <si>
    <t>Input data rate</t>
  </si>
  <si>
    <t>bytes/s</t>
  </si>
  <si>
    <t>bits/s</t>
  </si>
  <si>
    <t>% of SPI used</t>
  </si>
  <si>
    <t>% SPI used</t>
  </si>
  <si>
    <t>We are essentially not taxing the SPI at all</t>
  </si>
  <si>
    <t>Page size</t>
  </si>
  <si>
    <t>Memory is programmed in pages</t>
  </si>
  <si>
    <t>Pages per snippet</t>
  </si>
  <si>
    <t>pages</t>
  </si>
  <si>
    <t>Page program time</t>
  </si>
  <si>
    <t>Time to program snippet</t>
  </si>
  <si>
    <t>% flash time used</t>
  </si>
  <si>
    <t>How long will it take to store a snippet?</t>
  </si>
  <si>
    <t>Datasheet information</t>
  </si>
  <si>
    <t>from above</t>
  </si>
  <si>
    <t>% of time flash is used for data related activities</t>
  </si>
  <si>
    <t>32 or 64 kbytes, from the datasheet</t>
  </si>
  <si>
    <t>Sample rate</t>
  </si>
  <si>
    <t>Channels</t>
  </si>
  <si>
    <t>Size of sample</t>
  </si>
  <si>
    <t>bits/sample</t>
  </si>
  <si>
    <t>bytes/sample</t>
  </si>
  <si>
    <t>Data Bandwidth</t>
  </si>
  <si>
    <t>bytes/second</t>
  </si>
  <si>
    <t>kbytes/second</t>
  </si>
  <si>
    <t>Mbytes</t>
  </si>
  <si>
    <t>Data clock (min)</t>
  </si>
  <si>
    <t>cycles/second</t>
  </si>
  <si>
    <t>MHz</t>
  </si>
  <si>
    <t>Look at Data and put in questions</t>
  </si>
  <si>
    <t>How much data needs to be handled?</t>
  </si>
  <si>
    <t>How much data will some snippets of data take up?</t>
  </si>
  <si>
    <t xml:space="preserve">length of snippet </t>
  </si>
  <si>
    <t>% (Timing, checksum, flags, and so on)</t>
  </si>
  <si>
    <t>SPI rate of flash (W25Q64JV)</t>
  </si>
  <si>
    <t xml:space="preserve">Erase </t>
  </si>
  <si>
    <t>Time to transfer the snippet is much, much less than time to capture it</t>
  </si>
  <si>
    <t>Notes:</t>
  </si>
  <si>
    <t>When converting from bytes per second to kilobytes per second, the divisor is 1024 because it is data.</t>
  </si>
  <si>
    <t>When converting from bytes per second to bytes per millisecont, the multiplier is 1000 because it is time.</t>
  </si>
  <si>
    <t>Note that 1kbyte is 1024 bytes but 1 second has 1000 milliseconds. Time and data are different.</t>
  </si>
  <si>
    <t>This happens over the entire snippet time so this still fairly insignificant to the flash</t>
  </si>
  <si>
    <t>Two different data streams the first is from the Heart Data Rate</t>
  </si>
  <si>
    <t>This is another data stream thrown in for fun.</t>
  </si>
  <si>
    <t>Mbytes needs for all snippet storage</t>
  </si>
  <si>
    <t>Size of snippet storage</t>
  </si>
  <si>
    <t>Sheets</t>
  </si>
  <si>
    <t>Goes over the Data Bandwidth numbers described in the chapter 8 of the book.</t>
  </si>
  <si>
    <t xml:space="preserve">Storing Data </t>
  </si>
  <si>
    <t>Takes the pipeline a bit further, looking at the SPI rate needed to store a burst of data as well as determining if the flash can keep up with data collection.</t>
  </si>
  <si>
    <t xml:space="preserve">Display </t>
  </si>
  <si>
    <t>Looks at how much space the display assets require as discussed in the External Flash Display Assets section of the book</t>
  </si>
  <si>
    <t>Estimated nonvolatile space needed for assets</t>
  </si>
  <si>
    <t>Estimated RAM needed for buffering</t>
  </si>
  <si>
    <t>Graph</t>
  </si>
  <si>
    <t>kbytes for RAM buffer</t>
  </si>
  <si>
    <t>ADC</t>
  </si>
  <si>
    <t>Bandwidth</t>
  </si>
  <si>
    <t>ADC SPI</t>
  </si>
  <si>
    <t>SPI Clock</t>
  </si>
  <si>
    <t>% used by ADC</t>
  </si>
  <si>
    <t>NOTE: All data on this page comes from other pages</t>
  </si>
  <si>
    <t>Data from other pages that was modifiable there but shouldn't be modified here</t>
  </si>
  <si>
    <t>Walkthrough</t>
  </si>
  <si>
    <t>High level summary of the system using the other pages as data sources</t>
  </si>
  <si>
    <t>Collecting Data</t>
  </si>
  <si>
    <t>What is the minimum spped the SPI bus clock necessary to transfter that data?</t>
  </si>
  <si>
    <t>Data reduction</t>
  </si>
  <si>
    <t>Data is reduced in the data selector. What is the new bandwidth?</t>
  </si>
  <si>
    <t>Data bandwidth</t>
  </si>
  <si>
    <t>Storing data means being able to find it. How much overhead will there be?</t>
  </si>
  <si>
    <t>Storage overhead</t>
  </si>
  <si>
    <t>Data bandwitdth</t>
  </si>
  <si>
    <t>blocks/second</t>
  </si>
  <si>
    <t>Time to erase one second's worth of data</t>
  </si>
  <si>
    <t>Data to be stored</t>
  </si>
  <si>
    <t>What is the necessary storage bandwidth?</t>
  </si>
  <si>
    <t>How long will it take to store each second of data?</t>
  </si>
  <si>
    <t>Time to transfer data one second's worth of data</t>
  </si>
  <si>
    <t>Time to erase a block</t>
  </si>
  <si>
    <t>storage bandwidth</t>
  </si>
  <si>
    <t>Pages written per second</t>
  </si>
  <si>
    <t>pages/second</t>
  </si>
  <si>
    <t>Time to program one second's worth of data</t>
  </si>
  <si>
    <t>How much of the flash's time will be spend dealing with storing data?</t>
  </si>
  <si>
    <t xml:space="preserve"> </t>
  </si>
  <si>
    <t>Data buffer necessary to store one block while erasing</t>
  </si>
  <si>
    <t>How many bytes come in while waiting for one block to erase? (Typical)</t>
  </si>
  <si>
    <t>Flash is heavly used, may have issues keeping up with the data stream if the flash erase takes longer than the typical. It likely cannot be used for other activities while also recording data.</t>
  </si>
  <si>
    <t>Denoise</t>
  </si>
  <si>
    <t>sample buffer</t>
  </si>
  <si>
    <t>Sample size</t>
  </si>
  <si>
    <t>buffer size</t>
  </si>
  <si>
    <t>latency</t>
  </si>
  <si>
    <t>Low Pass Filter</t>
  </si>
  <si>
    <t>size</t>
  </si>
  <si>
    <t>byets</t>
  </si>
  <si>
    <t>Accumulated latency</t>
  </si>
  <si>
    <t xml:space="preserve">Data selector </t>
  </si>
  <si>
    <t xml:space="preserve">Reduction </t>
  </si>
  <si>
    <t>Overhead</t>
  </si>
  <si>
    <t>Buffer size</t>
  </si>
  <si>
    <t>bytes to hold data while erase is occuring</t>
  </si>
  <si>
    <t>Latency</t>
  </si>
  <si>
    <t>Flash SPI Clk</t>
  </si>
  <si>
    <t>% used by Flash</t>
  </si>
  <si>
    <t>Display a graph</t>
  </si>
  <si>
    <t>graphing buffer</t>
  </si>
  <si>
    <t>Refresh rate</t>
  </si>
  <si>
    <t>Display SPI Clk</t>
  </si>
  <si>
    <t>% used by display</t>
  </si>
  <si>
    <t>Downsample</t>
  </si>
  <si>
    <t>Reduction</t>
  </si>
  <si>
    <t>Bandwisth</t>
  </si>
  <si>
    <t>Flash Allocation</t>
  </si>
  <si>
    <t>Storing Data Snippets</t>
  </si>
  <si>
    <t>How much data do we want to store?</t>
  </si>
  <si>
    <t>Size of data to be stored</t>
  </si>
  <si>
    <t>Max Bandwidth</t>
  </si>
  <si>
    <t>Storing Data</t>
  </si>
  <si>
    <t>% used</t>
  </si>
  <si>
    <t>TOTAL</t>
  </si>
  <si>
    <t>% SPI bandwidth used</t>
  </si>
  <si>
    <t>Planned space usage</t>
  </si>
  <si>
    <t>Planned time usage</t>
  </si>
  <si>
    <t>% of available time spent writing and erasing flash</t>
  </si>
  <si>
    <t>neglible</t>
  </si>
  <si>
    <t>Throughput need to update whole screen at the refresh rate</t>
  </si>
  <si>
    <t>Estimated flash accesses</t>
  </si>
  <si>
    <t>% of screen with assets</t>
  </si>
  <si>
    <t>%</t>
  </si>
  <si>
    <t>How often that part of the display changes</t>
  </si>
  <si>
    <t>bytes per update</t>
  </si>
  <si>
    <t>bytes per second</t>
  </si>
  <si>
    <t>Update size</t>
  </si>
  <si>
    <t>Flash read time is limited by SPI clock frequency</t>
  </si>
  <si>
    <t>deoebds on use</t>
  </si>
  <si>
    <t>Calculates how much of the flash's space and time is used by different parts of the system</t>
  </si>
  <si>
    <t>What if you stored snippets instead of continuously?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</si>
</sst>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sz val="10"/>
      <color rgb="FF000000"/>
      <name val="Calibri"/>
      <scheme val="minor"/>
    </font>
    <font>
      <sz val="10"/>
      <color theme="1"/>
      <name val="Calibri"/>
      <scheme val="minor"/>
    </font>
    <font>
      <b/>
      <sz val="10"/>
      <color theme="1"/>
      <name val="Calibri"/>
      <scheme val="minor"/>
    </font>
    <font>
      <sz val="10"/>
      <color theme="1"/>
      <name val="Calibri"/>
      <family val="2"/>
      <scheme val="minor"/>
    </font>
    <font>
      <b/>
      <sz val="10"/>
      <color theme="1"/>
      <name val="Calibri"/>
      <family val="2"/>
      <scheme val="minor"/>
    </font>
    <font>
      <u/>
      <sz val="10"/>
      <color rgb="FF0000FF"/>
      <name val="Arial"/>
      <family val="2"/>
    </font>
  </fonts>
  <fills count="12">
    <fill>
      <patternFill patternType="none"/>
    </fill>
    <fill>
      <patternFill patternType="gray125"/>
    </fill>
    <fill>
      <patternFill patternType="solid">
        <fgColor rgb="FFD9EAD3"/>
        <bgColor rgb="FFD9EAD3"/>
      </patternFill>
    </fill>
    <fill>
      <patternFill patternType="solid">
        <fgColor rgb="FFFCE5CD"/>
        <bgColor rgb="FFFCE5CD"/>
      </patternFill>
    </fill>
    <fill>
      <patternFill patternType="solid">
        <fgColor rgb="FFC9DAF8"/>
        <bgColor rgb="FFC9DAF8"/>
      </patternFill>
    </fill>
    <fill>
      <patternFill patternType="solid">
        <fgColor theme="9" tint="0.79998168889431442"/>
        <bgColor indexed="64"/>
      </patternFill>
    </fill>
    <fill>
      <patternFill patternType="solid">
        <fgColor theme="5" tint="0.79998168889431442"/>
        <bgColor rgb="FFFCE5CD"/>
      </patternFill>
    </fill>
    <fill>
      <patternFill patternType="solid">
        <fgColor theme="5" tint="0.79998168889431442"/>
        <bgColor indexed="64"/>
      </patternFill>
    </fill>
    <fill>
      <patternFill patternType="solid">
        <fgColor theme="9" tint="0.79998168889431442"/>
        <bgColor rgb="FFFCE5CD"/>
      </patternFill>
    </fill>
    <fill>
      <patternFill patternType="solid">
        <fgColor theme="7" tint="0.79998168889431442"/>
        <bgColor indexed="64"/>
      </patternFill>
    </fill>
    <fill>
      <patternFill patternType="solid">
        <fgColor theme="7" tint="0.79998168889431442"/>
        <bgColor rgb="FFFCE5CD"/>
      </patternFill>
    </fill>
    <fill>
      <patternFill patternType="solid">
        <fgColor theme="0"/>
        <bgColor rgb="FFFCE5CD"/>
      </patternFill>
    </fill>
  </fills>
  <borders count="1">
    <border>
      <left/>
      <right/>
      <top/>
      <bottom/>
      <diagonal/>
    </border>
  </borders>
  <cellStyleXfs count="2">
    <xf numFmtId="0" fontId="0" fillId="0" borderId="0"/>
    <xf numFmtId="0" fontId="2" fillId="0" borderId="0"/>
  </cellStyleXfs>
  <cellXfs count="40">
    <xf numFmtId="0" fontId="0" fillId="0" borderId="0" xfId="0"/>
    <xf numFmtId="0" fontId="1" fillId="0" borderId="0" xfId="0" applyFont="1"/>
    <xf numFmtId="0" fontId="4" fillId="0" borderId="0" xfId="0" applyFont="1"/>
    <xf numFmtId="0" fontId="3" fillId="0" borderId="0" xfId="0" applyFont="1"/>
    <xf numFmtId="0" fontId="3" fillId="2" borderId="0" xfId="0" applyFont="1" applyFill="1"/>
    <xf numFmtId="0" fontId="0" fillId="5" borderId="0" xfId="0" applyFill="1"/>
    <xf numFmtId="0" fontId="3" fillId="6" borderId="0" xfId="0" applyFont="1" applyFill="1"/>
    <xf numFmtId="0" fontId="0" fillId="7" borderId="0" xfId="0" applyFill="1"/>
    <xf numFmtId="0" fontId="5" fillId="0" borderId="0" xfId="0" applyFont="1"/>
    <xf numFmtId="0" fontId="5" fillId="2" borderId="0" xfId="0" applyFont="1" applyFill="1"/>
    <xf numFmtId="0" fontId="5" fillId="3" borderId="0" xfId="0" applyFont="1" applyFill="1"/>
    <xf numFmtId="0" fontId="6" fillId="0" borderId="0" xfId="0" applyFont="1"/>
    <xf numFmtId="0" fontId="5" fillId="7" borderId="0" xfId="0" applyFont="1" applyFill="1"/>
    <xf numFmtId="0" fontId="6" fillId="6" borderId="0" xfId="0" applyFont="1" applyFill="1"/>
    <xf numFmtId="0" fontId="5" fillId="6" borderId="0" xfId="0" applyFont="1" applyFill="1"/>
    <xf numFmtId="0" fontId="5" fillId="8" borderId="0" xfId="0" applyFont="1" applyFill="1"/>
    <xf numFmtId="164" fontId="6" fillId="0" borderId="0" xfId="0" applyNumberFormat="1" applyFont="1"/>
    <xf numFmtId="164" fontId="5" fillId="0" borderId="0" xfId="0" applyNumberFormat="1" applyFont="1"/>
    <xf numFmtId="0" fontId="7" fillId="0" borderId="0" xfId="0" applyFont="1"/>
    <xf numFmtId="164" fontId="5" fillId="2" borderId="0" xfId="0" applyNumberFormat="1" applyFont="1" applyFill="1"/>
    <xf numFmtId="164" fontId="5" fillId="3" borderId="0" xfId="0" applyNumberFormat="1" applyFont="1" applyFill="1"/>
    <xf numFmtId="164" fontId="6" fillId="3" borderId="0" xfId="0" applyNumberFormat="1" applyFont="1" applyFill="1"/>
    <xf numFmtId="2" fontId="5" fillId="0" borderId="0" xfId="0" applyNumberFormat="1" applyFont="1"/>
    <xf numFmtId="2" fontId="5" fillId="3" borderId="0" xfId="0" applyNumberFormat="1" applyFont="1" applyFill="1"/>
    <xf numFmtId="2" fontId="5" fillId="4" borderId="0" xfId="0" applyNumberFormat="1" applyFont="1" applyFill="1"/>
    <xf numFmtId="2" fontId="0" fillId="4" borderId="0" xfId="0" applyNumberFormat="1" applyFill="1"/>
    <xf numFmtId="164" fontId="0" fillId="7" borderId="0" xfId="0" applyNumberFormat="1" applyFill="1"/>
    <xf numFmtId="0" fontId="5" fillId="0" borderId="0" xfId="0" applyFont="1" applyAlignment="1">
      <alignment wrapText="1"/>
    </xf>
    <xf numFmtId="1" fontId="0" fillId="0" borderId="0" xfId="0" applyNumberFormat="1"/>
    <xf numFmtId="1" fontId="0" fillId="7" borderId="0" xfId="0" applyNumberFormat="1" applyFill="1"/>
    <xf numFmtId="0" fontId="0" fillId="9" borderId="0" xfId="0" applyFill="1"/>
    <xf numFmtId="0" fontId="5" fillId="10" borderId="0" xfId="0" applyFont="1" applyFill="1"/>
    <xf numFmtId="164" fontId="5" fillId="7" borderId="0" xfId="0" applyNumberFormat="1" applyFont="1" applyFill="1"/>
    <xf numFmtId="2" fontId="5" fillId="11" borderId="0" xfId="0" applyNumberFormat="1" applyFont="1" applyFill="1"/>
    <xf numFmtId="2" fontId="0" fillId="7" borderId="0" xfId="0" applyNumberFormat="1" applyFill="1"/>
    <xf numFmtId="1" fontId="2" fillId="7" borderId="0" xfId="1" applyNumberFormat="1" applyFill="1"/>
    <xf numFmtId="2" fontId="5" fillId="6" borderId="0" xfId="0" applyNumberFormat="1" applyFont="1" applyFill="1"/>
    <xf numFmtId="0" fontId="5" fillId="5" borderId="0" xfId="0" applyFont="1" applyFill="1"/>
    <xf numFmtId="1" fontId="5" fillId="7" borderId="0" xfId="0" applyNumberFormat="1" applyFont="1" applyFill="1"/>
    <xf numFmtId="0" fontId="0" fillId="0" borderId="0" xfId="0" applyAlignment="1">
      <alignment wrapText="1"/>
    </xf>
  </cellXfs>
  <cellStyles count="2">
    <cellStyle name="Normal" xfId="0" builtinId="0"/>
    <cellStyle name="Normal 2" xfId="1" xr:uid="{071F02B2-284F-4D5A-BB2D-2A7227B235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82550</xdr:colOff>
      <xdr:row>0</xdr:row>
      <xdr:rowOff>12700</xdr:rowOff>
    </xdr:from>
    <xdr:to>
      <xdr:col>28</xdr:col>
      <xdr:colOff>222852</xdr:colOff>
      <xdr:row>52</xdr:row>
      <xdr:rowOff>63995</xdr:rowOff>
    </xdr:to>
    <xdr:pic>
      <xdr:nvPicPr>
        <xdr:cNvPr id="2" name="Picture 1">
          <a:extLst>
            <a:ext uri="{FF2B5EF4-FFF2-40B4-BE49-F238E27FC236}">
              <a16:creationId xmlns:a16="http://schemas.microsoft.com/office/drawing/2014/main" id="{5104EF64-2E25-6F70-03AF-9A7F370D14DE}"/>
            </a:ext>
          </a:extLst>
        </xdr:cNvPr>
        <xdr:cNvPicPr>
          <a:picLocks noChangeAspect="1"/>
        </xdr:cNvPicPr>
      </xdr:nvPicPr>
      <xdr:blipFill>
        <a:blip xmlns:r="http://schemas.openxmlformats.org/officeDocument/2006/relationships" r:embed="rId1"/>
        <a:stretch>
          <a:fillRect/>
        </a:stretch>
      </xdr:blipFill>
      <xdr:spPr>
        <a:xfrm>
          <a:off x="6508750" y="12700"/>
          <a:ext cx="11722702" cy="9627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0D6F-E0D2-4183-A42B-B49D3AAC8A36}">
  <dimension ref="A2:B20"/>
  <sheetViews>
    <sheetView tabSelected="1" workbookViewId="0">
      <selection activeCell="B21" sqref="B21"/>
    </sheetView>
  </sheetViews>
  <sheetFormatPr defaultRowHeight="14.5" x14ac:dyDescent="0.35"/>
  <cols>
    <col min="1" max="1" width="22" bestFit="1" customWidth="1"/>
  </cols>
  <sheetData>
    <row r="2" spans="1:2" x14ac:dyDescent="0.35">
      <c r="A2" s="5" t="s">
        <v>40</v>
      </c>
    </row>
    <row r="3" spans="1:2" x14ac:dyDescent="0.35">
      <c r="A3" s="7" t="s">
        <v>41</v>
      </c>
    </row>
    <row r="4" spans="1:2" x14ac:dyDescent="0.35">
      <c r="A4" s="25" t="s">
        <v>101</v>
      </c>
    </row>
    <row r="5" spans="1:2" x14ac:dyDescent="0.35">
      <c r="A5" s="30" t="s">
        <v>150</v>
      </c>
    </row>
    <row r="7" spans="1:2" x14ac:dyDescent="0.35">
      <c r="A7" t="s">
        <v>125</v>
      </c>
    </row>
    <row r="9" spans="1:2" x14ac:dyDescent="0.35">
      <c r="A9" t="s">
        <v>128</v>
      </c>
    </row>
    <row r="10" spans="1:2" x14ac:dyDescent="0.35">
      <c r="A10" t="s">
        <v>126</v>
      </c>
    </row>
    <row r="11" spans="1:2" x14ac:dyDescent="0.35">
      <c r="A11" t="s">
        <v>127</v>
      </c>
    </row>
    <row r="14" spans="1:2" x14ac:dyDescent="0.35">
      <c r="A14" t="s">
        <v>134</v>
      </c>
    </row>
    <row r="15" spans="1:2" x14ac:dyDescent="0.35">
      <c r="A15" s="1" t="s">
        <v>151</v>
      </c>
      <c r="B15" t="s">
        <v>152</v>
      </c>
    </row>
    <row r="16" spans="1:2" x14ac:dyDescent="0.35">
      <c r="A16" s="1" t="s">
        <v>153</v>
      </c>
      <c r="B16" t="s">
        <v>135</v>
      </c>
    </row>
    <row r="17" spans="1:2" x14ac:dyDescent="0.35">
      <c r="A17" s="1" t="s">
        <v>136</v>
      </c>
      <c r="B17" t="s">
        <v>137</v>
      </c>
    </row>
    <row r="18" spans="1:2" x14ac:dyDescent="0.35">
      <c r="A18" s="1" t="s">
        <v>138</v>
      </c>
      <c r="B18" t="s">
        <v>139</v>
      </c>
    </row>
    <row r="19" spans="1:2" x14ac:dyDescent="0.35">
      <c r="A19" s="1" t="s">
        <v>202</v>
      </c>
      <c r="B19" t="s">
        <v>225</v>
      </c>
    </row>
    <row r="20" spans="1:2" x14ac:dyDescent="0.35">
      <c r="A20" s="1" t="s">
        <v>203</v>
      </c>
      <c r="B20" t="s">
        <v>226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A52C7-12E9-4F9D-8EAE-F234FCF1DD47}">
  <dimension ref="A3:F55"/>
  <sheetViews>
    <sheetView topLeftCell="A22" workbookViewId="0">
      <selection activeCell="F49" sqref="F49"/>
    </sheetView>
  </sheetViews>
  <sheetFormatPr defaultRowHeight="14.5" x14ac:dyDescent="0.35"/>
  <cols>
    <col min="1" max="1" width="12.6328125" bestFit="1" customWidth="1"/>
  </cols>
  <sheetData>
    <row r="3" spans="1:6" x14ac:dyDescent="0.35">
      <c r="A3" s="1" t="s">
        <v>144</v>
      </c>
      <c r="F3" t="s">
        <v>149</v>
      </c>
    </row>
    <row r="4" spans="1:6" x14ac:dyDescent="0.35">
      <c r="A4" t="str">
        <f>'Collecting Data'!A4</f>
        <v>Sample rate</v>
      </c>
      <c r="B4" s="30">
        <f>'Collecting Data'!B4</f>
        <v>44100</v>
      </c>
      <c r="C4" t="str">
        <f>'Collecting Data'!C4</f>
        <v>Hz</v>
      </c>
    </row>
    <row r="5" spans="1:6" x14ac:dyDescent="0.35">
      <c r="A5" t="str">
        <f>'Collecting Data'!A5</f>
        <v>Channels</v>
      </c>
      <c r="B5" s="30">
        <f>'Collecting Data'!B5</f>
        <v>4</v>
      </c>
    </row>
    <row r="6" spans="1:6" x14ac:dyDescent="0.35">
      <c r="A6" t="str">
        <f>'Collecting Data'!A6</f>
        <v>Size of sample</v>
      </c>
      <c r="B6" s="30">
        <f>'Collecting Data'!B6</f>
        <v>16</v>
      </c>
      <c r="C6" t="str">
        <f>'Collecting Data'!C6</f>
        <v>bits/sample</v>
      </c>
    </row>
    <row r="7" spans="1:6" x14ac:dyDescent="0.35">
      <c r="A7" t="s">
        <v>179</v>
      </c>
      <c r="B7" s="30">
        <f>B5*B6/8</f>
        <v>8</v>
      </c>
      <c r="C7" t="s">
        <v>109</v>
      </c>
    </row>
    <row r="8" spans="1:6" x14ac:dyDescent="0.35">
      <c r="A8" t="s">
        <v>145</v>
      </c>
      <c r="B8" s="7">
        <f>'Collecting Data'!B9</f>
        <v>352800</v>
      </c>
      <c r="C8" t="str">
        <f>'Collecting Data'!C9</f>
        <v>bytes/second</v>
      </c>
    </row>
    <row r="10" spans="1:6" x14ac:dyDescent="0.35">
      <c r="A10" s="1" t="s">
        <v>146</v>
      </c>
    </row>
    <row r="11" spans="1:6" x14ac:dyDescent="0.35">
      <c r="A11" t="s">
        <v>147</v>
      </c>
      <c r="B11" s="30">
        <f>'SPI Timing'!B3</f>
        <v>100</v>
      </c>
      <c r="C11" t="s">
        <v>116</v>
      </c>
    </row>
    <row r="12" spans="1:6" x14ac:dyDescent="0.35">
      <c r="B12" s="35">
        <f>100*B8/'SPI Timing'!B4</f>
        <v>2.8224</v>
      </c>
      <c r="C12" t="s">
        <v>148</v>
      </c>
    </row>
    <row r="14" spans="1:6" x14ac:dyDescent="0.35">
      <c r="A14" s="1" t="s">
        <v>177</v>
      </c>
    </row>
    <row r="15" spans="1:6" x14ac:dyDescent="0.35">
      <c r="A15" t="s">
        <v>183</v>
      </c>
      <c r="B15" s="5">
        <v>3</v>
      </c>
      <c r="C15" t="s">
        <v>178</v>
      </c>
    </row>
    <row r="16" spans="1:6" x14ac:dyDescent="0.35">
      <c r="A16" t="s">
        <v>181</v>
      </c>
      <c r="B16" s="7">
        <f>1000*B15*(1/B4)</f>
        <v>6.8027210884353748E-2</v>
      </c>
      <c r="C16" t="s">
        <v>86</v>
      </c>
    </row>
    <row r="17" spans="1:3" x14ac:dyDescent="0.35">
      <c r="A17" t="s">
        <v>180</v>
      </c>
      <c r="B17" s="7">
        <f>B15*B7</f>
        <v>24</v>
      </c>
      <c r="C17" t="s">
        <v>4</v>
      </c>
    </row>
    <row r="19" spans="1:3" x14ac:dyDescent="0.35">
      <c r="A19" s="1" t="s">
        <v>182</v>
      </c>
    </row>
    <row r="20" spans="1:3" x14ac:dyDescent="0.35">
      <c r="A20" t="s">
        <v>183</v>
      </c>
      <c r="B20" s="5">
        <v>16</v>
      </c>
    </row>
    <row r="21" spans="1:3" x14ac:dyDescent="0.35">
      <c r="A21" t="s">
        <v>181</v>
      </c>
      <c r="B21" s="7">
        <f>1000*B20*(1/B4)</f>
        <v>0.36281179138321995</v>
      </c>
      <c r="C21" t="s">
        <v>86</v>
      </c>
    </row>
    <row r="22" spans="1:3" x14ac:dyDescent="0.35">
      <c r="A22" t="s">
        <v>180</v>
      </c>
      <c r="B22" s="7">
        <f>B20*B7</f>
        <v>128</v>
      </c>
      <c r="C22" t="s">
        <v>184</v>
      </c>
    </row>
    <row r="24" spans="1:3" x14ac:dyDescent="0.35">
      <c r="A24" t="s">
        <v>185</v>
      </c>
    </row>
    <row r="25" spans="1:3" x14ac:dyDescent="0.35">
      <c r="B25" s="7">
        <f>B21+B16</f>
        <v>0.43083900226757371</v>
      </c>
      <c r="C25" t="s">
        <v>86</v>
      </c>
    </row>
    <row r="27" spans="1:3" x14ac:dyDescent="0.35">
      <c r="A27" s="1" t="s">
        <v>186</v>
      </c>
    </row>
    <row r="28" spans="1:3" x14ac:dyDescent="0.35">
      <c r="A28" t="s">
        <v>187</v>
      </c>
      <c r="B28" s="30">
        <f>'Collecting Data'!B17</f>
        <v>0.5</v>
      </c>
    </row>
    <row r="29" spans="1:3" x14ac:dyDescent="0.35">
      <c r="A29" t="s">
        <v>145</v>
      </c>
      <c r="B29" s="7">
        <f>'Collecting Data'!B18</f>
        <v>176400</v>
      </c>
      <c r="C29" t="s">
        <v>111</v>
      </c>
    </row>
    <row r="31" spans="1:3" x14ac:dyDescent="0.35">
      <c r="A31" s="1" t="s">
        <v>54</v>
      </c>
    </row>
    <row r="32" spans="1:3" x14ac:dyDescent="0.35">
      <c r="A32" t="s">
        <v>188</v>
      </c>
      <c r="B32" s="30">
        <f>'Collecting Data'!B21</f>
        <v>0.1</v>
      </c>
    </row>
    <row r="33" spans="1:3" x14ac:dyDescent="0.35">
      <c r="A33" t="s">
        <v>145</v>
      </c>
      <c r="B33" s="7">
        <f>'Collecting Data'!B22</f>
        <v>194040.00000000003</v>
      </c>
      <c r="C33" t="s">
        <v>111</v>
      </c>
    </row>
    <row r="34" spans="1:3" x14ac:dyDescent="0.35">
      <c r="A34" t="s">
        <v>189</v>
      </c>
      <c r="B34" s="29">
        <f>'Storing Data'!B26</f>
        <v>32016.600000000006</v>
      </c>
      <c r="C34" t="s">
        <v>190</v>
      </c>
    </row>
    <row r="35" spans="1:3" x14ac:dyDescent="0.35">
      <c r="A35" t="s">
        <v>191</v>
      </c>
      <c r="B35" s="7">
        <f>1000*B34/B33</f>
        <v>165</v>
      </c>
      <c r="C35" t="s">
        <v>86</v>
      </c>
    </row>
    <row r="37" spans="1:3" x14ac:dyDescent="0.35">
      <c r="A37" t="s">
        <v>185</v>
      </c>
    </row>
    <row r="38" spans="1:3" x14ac:dyDescent="0.35">
      <c r="B38" s="7">
        <f>B35+B25</f>
        <v>165.43083900226756</v>
      </c>
      <c r="C38" t="s">
        <v>86</v>
      </c>
    </row>
    <row r="40" spans="1:3" x14ac:dyDescent="0.35">
      <c r="A40" s="1" t="s">
        <v>192</v>
      </c>
      <c r="B40" s="30">
        <f>'SPI Timing'!B3</f>
        <v>100</v>
      </c>
      <c r="C40" t="s">
        <v>116</v>
      </c>
    </row>
    <row r="41" spans="1:3" x14ac:dyDescent="0.35">
      <c r="B41" s="29">
        <f>'Storing Data'!B34</f>
        <v>1.7075520000000006</v>
      </c>
      <c r="C41" t="s">
        <v>193</v>
      </c>
    </row>
    <row r="43" spans="1:3" x14ac:dyDescent="0.35">
      <c r="A43" s="1" t="s">
        <v>199</v>
      </c>
    </row>
    <row r="44" spans="1:3" x14ac:dyDescent="0.35">
      <c r="A44" t="s">
        <v>200</v>
      </c>
      <c r="B44" s="5">
        <v>0.1</v>
      </c>
    </row>
    <row r="45" spans="1:3" x14ac:dyDescent="0.35">
      <c r="A45" t="s">
        <v>201</v>
      </c>
      <c r="B45" s="7">
        <f>B44*B29</f>
        <v>17640</v>
      </c>
      <c r="C45" t="s">
        <v>111</v>
      </c>
    </row>
    <row r="47" spans="1:3" x14ac:dyDescent="0.35">
      <c r="A47" s="1" t="s">
        <v>194</v>
      </c>
    </row>
    <row r="48" spans="1:3" x14ac:dyDescent="0.35">
      <c r="A48" t="s">
        <v>20</v>
      </c>
      <c r="B48" s="30">
        <f>Display!C43</f>
        <v>240</v>
      </c>
      <c r="C48" t="s">
        <v>0</v>
      </c>
    </row>
    <row r="49" spans="1:3" x14ac:dyDescent="0.35">
      <c r="A49" t="s">
        <v>19</v>
      </c>
      <c r="B49" s="30">
        <f>Display!D43</f>
        <v>240</v>
      </c>
      <c r="C49" t="s">
        <v>0</v>
      </c>
    </row>
    <row r="50" spans="1:3" x14ac:dyDescent="0.35">
      <c r="A50" t="s">
        <v>35</v>
      </c>
      <c r="B50" s="30">
        <f>Display!D29</f>
        <v>8</v>
      </c>
    </row>
    <row r="51" spans="1:3" x14ac:dyDescent="0.35">
      <c r="A51" t="s">
        <v>195</v>
      </c>
      <c r="B51" s="30">
        <f>Display!J43</f>
        <v>57600</v>
      </c>
      <c r="C51" t="s">
        <v>4</v>
      </c>
    </row>
    <row r="53" spans="1:3" x14ac:dyDescent="0.35">
      <c r="A53" t="s">
        <v>196</v>
      </c>
      <c r="B53" s="30">
        <f>Display!B14</f>
        <v>30</v>
      </c>
      <c r="C53" t="s">
        <v>7</v>
      </c>
    </row>
    <row r="54" spans="1:3" x14ac:dyDescent="0.35">
      <c r="A54" t="s">
        <v>145</v>
      </c>
      <c r="B54" s="7">
        <f>B53*B51</f>
        <v>1728000</v>
      </c>
      <c r="C54" t="s">
        <v>111</v>
      </c>
    </row>
    <row r="55" spans="1:3" x14ac:dyDescent="0.35">
      <c r="A55" t="s">
        <v>197</v>
      </c>
      <c r="B55" s="29">
        <f>100*(B54/'SPI Timing'!B4)</f>
        <v>13.824</v>
      </c>
      <c r="C55" t="s">
        <v>198</v>
      </c>
    </row>
  </sheetData>
  <pageMargins left="0.7" right="0.7" top="0.75" bottom="0.75" header="0.3" footer="0.3"/>
  <pageSetup orientation="portrait" horizontalDpi="150" verticalDpi="15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CD9DE-3441-4E62-BA9D-84EE7B82052C}">
  <dimension ref="A2:E22"/>
  <sheetViews>
    <sheetView workbookViewId="0">
      <selection activeCell="D16" sqref="D16"/>
    </sheetView>
  </sheetViews>
  <sheetFormatPr defaultRowHeight="14.5" x14ac:dyDescent="0.35"/>
  <cols>
    <col min="1" max="1" width="16.81640625" bestFit="1" customWidth="1"/>
    <col min="2" max="2" width="10.36328125" bestFit="1" customWidth="1"/>
  </cols>
  <sheetData>
    <row r="2" spans="1:5" x14ac:dyDescent="0.35">
      <c r="A2" s="1" t="s">
        <v>118</v>
      </c>
    </row>
    <row r="4" spans="1:5" x14ac:dyDescent="0.35">
      <c r="A4" t="s">
        <v>105</v>
      </c>
      <c r="B4" s="5">
        <v>44100</v>
      </c>
      <c r="C4" t="s">
        <v>7</v>
      </c>
    </row>
    <row r="5" spans="1:5" x14ac:dyDescent="0.35">
      <c r="A5" t="s">
        <v>106</v>
      </c>
      <c r="B5" s="5">
        <v>4</v>
      </c>
    </row>
    <row r="6" spans="1:5" x14ac:dyDescent="0.35">
      <c r="A6" t="s">
        <v>107</v>
      </c>
      <c r="B6" s="5">
        <v>16</v>
      </c>
      <c r="C6" t="s">
        <v>108</v>
      </c>
      <c r="E6" t="s">
        <v>117</v>
      </c>
    </row>
    <row r="7" spans="1:5" x14ac:dyDescent="0.35">
      <c r="B7" s="7">
        <f>B6/8</f>
        <v>2</v>
      </c>
      <c r="C7" t="s">
        <v>109</v>
      </c>
    </row>
    <row r="9" spans="1:5" x14ac:dyDescent="0.35">
      <c r="A9" t="s">
        <v>110</v>
      </c>
      <c r="B9" s="7">
        <f>B7*B5*B4</f>
        <v>352800</v>
      </c>
      <c r="C9" t="s">
        <v>111</v>
      </c>
    </row>
    <row r="10" spans="1:5" x14ac:dyDescent="0.35">
      <c r="B10" s="26">
        <f>B9/1024</f>
        <v>344.53125</v>
      </c>
      <c r="C10" t="s">
        <v>112</v>
      </c>
    </row>
    <row r="12" spans="1:5" x14ac:dyDescent="0.35">
      <c r="A12" s="1" t="s">
        <v>154</v>
      </c>
    </row>
    <row r="13" spans="1:5" x14ac:dyDescent="0.35">
      <c r="A13" t="s">
        <v>114</v>
      </c>
      <c r="B13" s="7">
        <f>B9*8</f>
        <v>2822400</v>
      </c>
      <c r="C13" t="s">
        <v>115</v>
      </c>
    </row>
    <row r="14" spans="1:5" x14ac:dyDescent="0.35">
      <c r="B14" s="7">
        <f>B13/10^6</f>
        <v>2.8224</v>
      </c>
      <c r="C14" t="s">
        <v>116</v>
      </c>
    </row>
    <row r="16" spans="1:5" x14ac:dyDescent="0.35">
      <c r="A16" s="1" t="s">
        <v>156</v>
      </c>
    </row>
    <row r="17" spans="1:3" x14ac:dyDescent="0.35">
      <c r="A17" t="s">
        <v>155</v>
      </c>
      <c r="B17" s="5">
        <v>0.5</v>
      </c>
    </row>
    <row r="18" spans="1:3" x14ac:dyDescent="0.35">
      <c r="A18" t="s">
        <v>157</v>
      </c>
      <c r="B18" s="7">
        <f>B9*B17</f>
        <v>176400</v>
      </c>
      <c r="C18" t="s">
        <v>111</v>
      </c>
    </row>
    <row r="20" spans="1:3" x14ac:dyDescent="0.35">
      <c r="A20" s="1" t="s">
        <v>158</v>
      </c>
    </row>
    <row r="21" spans="1:3" x14ac:dyDescent="0.35">
      <c r="A21" t="s">
        <v>159</v>
      </c>
      <c r="B21" s="5">
        <v>0.1</v>
      </c>
    </row>
    <row r="22" spans="1:3" x14ac:dyDescent="0.35">
      <c r="A22" t="s">
        <v>160</v>
      </c>
      <c r="B22" s="7">
        <f>B18*(1+B21)</f>
        <v>194040.00000000003</v>
      </c>
    </row>
  </sheetData>
  <pageMargins left="0.7" right="0.7" top="0.75" bottom="0.75" header="0.3" footer="0.3"/>
  <pageSetup orientation="portrait" horizontalDpi="150" verticalDpi="15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94637-89F7-4968-99C2-52121B49C9A0}">
  <dimension ref="A2:E45"/>
  <sheetViews>
    <sheetView topLeftCell="A10" workbookViewId="0">
      <selection activeCell="C11" sqref="C11"/>
    </sheetView>
  </sheetViews>
  <sheetFormatPr defaultRowHeight="14.5" x14ac:dyDescent="0.35"/>
  <cols>
    <col min="1" max="1" width="23.7265625" customWidth="1"/>
    <col min="2" max="2" width="15.90625" bestFit="1" customWidth="1"/>
    <col min="3" max="3" width="16" customWidth="1"/>
    <col min="4" max="4" width="57.54296875" customWidth="1"/>
  </cols>
  <sheetData>
    <row r="2" spans="1:5" x14ac:dyDescent="0.35">
      <c r="A2" s="1" t="s">
        <v>164</v>
      </c>
      <c r="E2" s="8"/>
    </row>
    <row r="3" spans="1:5" x14ac:dyDescent="0.35">
      <c r="B3" s="8" t="s">
        <v>59</v>
      </c>
      <c r="C3" s="17"/>
      <c r="E3" s="18"/>
    </row>
    <row r="4" spans="1:5" x14ac:dyDescent="0.35">
      <c r="A4" s="8" t="s">
        <v>163</v>
      </c>
      <c r="B4" s="31">
        <f>'Collecting Data'!B22</f>
        <v>194040.00000000003</v>
      </c>
      <c r="C4" s="17" t="s">
        <v>88</v>
      </c>
      <c r="D4" s="8"/>
    </row>
    <row r="5" spans="1:5" x14ac:dyDescent="0.35">
      <c r="A5" s="8" t="s">
        <v>60</v>
      </c>
      <c r="B5" s="10">
        <f>B4</f>
        <v>194040.00000000003</v>
      </c>
      <c r="C5" s="17" t="s">
        <v>4</v>
      </c>
    </row>
    <row r="6" spans="1:5" x14ac:dyDescent="0.35">
      <c r="A6" s="8" t="s">
        <v>61</v>
      </c>
      <c r="B6" s="19">
        <v>10</v>
      </c>
      <c r="C6" s="8" t="s">
        <v>121</v>
      </c>
    </row>
    <row r="7" spans="1:5" x14ac:dyDescent="0.35">
      <c r="A7" s="8" t="s">
        <v>145</v>
      </c>
      <c r="B7" s="10">
        <f>(1+B6/100) * B5</f>
        <v>213444.00000000006</v>
      </c>
      <c r="C7" s="17" t="s">
        <v>111</v>
      </c>
    </row>
    <row r="8" spans="1:5" x14ac:dyDescent="0.35">
      <c r="A8" s="8" t="s">
        <v>145</v>
      </c>
      <c r="B8" s="32">
        <f>B7/1024</f>
        <v>208.44140625000006</v>
      </c>
      <c r="C8" s="17" t="s">
        <v>8</v>
      </c>
    </row>
    <row r="9" spans="1:5" x14ac:dyDescent="0.35">
      <c r="A9" s="8"/>
      <c r="B9" s="8"/>
      <c r="C9" s="11"/>
    </row>
    <row r="10" spans="1:5" x14ac:dyDescent="0.35">
      <c r="A10" s="11" t="s">
        <v>204</v>
      </c>
      <c r="B10" s="8"/>
      <c r="C10" s="11"/>
    </row>
    <row r="11" spans="1:5" x14ac:dyDescent="0.35">
      <c r="A11" s="8" t="s">
        <v>163</v>
      </c>
      <c r="B11" s="37">
        <v>30</v>
      </c>
      <c r="C11" s="8" t="s">
        <v>67</v>
      </c>
    </row>
    <row r="12" spans="1:5" x14ac:dyDescent="0.35">
      <c r="A12" s="8" t="s">
        <v>205</v>
      </c>
      <c r="B12" s="12">
        <f>B11*B7</f>
        <v>6403320.0000000019</v>
      </c>
      <c r="C12" s="8" t="s">
        <v>4</v>
      </c>
    </row>
    <row r="13" spans="1:5" x14ac:dyDescent="0.35">
      <c r="A13" s="8" t="s">
        <v>205</v>
      </c>
      <c r="B13" s="38">
        <f>B12/1024</f>
        <v>6253.2421875000018</v>
      </c>
      <c r="C13" s="8" t="s">
        <v>5</v>
      </c>
    </row>
    <row r="14" spans="1:5" x14ac:dyDescent="0.35">
      <c r="A14" s="8"/>
      <c r="B14" s="8"/>
      <c r="C14" s="11"/>
    </row>
    <row r="15" spans="1:5" x14ac:dyDescent="0.35">
      <c r="A15" s="1" t="s">
        <v>165</v>
      </c>
      <c r="C15" s="17"/>
      <c r="D15" s="8"/>
    </row>
    <row r="16" spans="1:5" x14ac:dyDescent="0.35">
      <c r="A16" s="8" t="s">
        <v>122</v>
      </c>
      <c r="B16" s="9">
        <f>'SPI Timing'!B3</f>
        <v>100</v>
      </c>
      <c r="C16" s="8" t="s">
        <v>72</v>
      </c>
    </row>
    <row r="18" spans="1:5" x14ac:dyDescent="0.35">
      <c r="A18" s="11" t="s">
        <v>123</v>
      </c>
      <c r="C18" s="22"/>
      <c r="D18" s="22"/>
    </row>
    <row r="19" spans="1:5" x14ac:dyDescent="0.35">
      <c r="A19" s="8" t="s">
        <v>73</v>
      </c>
      <c r="B19" s="24">
        <v>64</v>
      </c>
      <c r="C19" s="22" t="s">
        <v>74</v>
      </c>
      <c r="D19" s="8" t="s">
        <v>104</v>
      </c>
      <c r="E19" s="8"/>
    </row>
    <row r="20" spans="1:5" x14ac:dyDescent="0.35">
      <c r="A20" s="8" t="s">
        <v>75</v>
      </c>
      <c r="B20" s="23">
        <f>B7/(B19*1024)</f>
        <v>3.2568969726562509</v>
      </c>
      <c r="C20" s="22" t="s">
        <v>161</v>
      </c>
    </row>
    <row r="21" spans="1:5" x14ac:dyDescent="0.35">
      <c r="B21" s="22"/>
      <c r="C21" s="22"/>
    </row>
    <row r="22" spans="1:5" x14ac:dyDescent="0.35">
      <c r="B22" s="22" t="s">
        <v>77</v>
      </c>
      <c r="C22" s="22" t="s">
        <v>78</v>
      </c>
    </row>
    <row r="23" spans="1:5" x14ac:dyDescent="0.35">
      <c r="A23" s="8" t="s">
        <v>167</v>
      </c>
      <c r="B23" s="24">
        <v>150</v>
      </c>
      <c r="C23" s="24">
        <v>2000</v>
      </c>
    </row>
    <row r="24" spans="1:5" ht="26.5" x14ac:dyDescent="0.35">
      <c r="A24" s="27" t="s">
        <v>162</v>
      </c>
      <c r="B24" s="23">
        <f>B23*B20</f>
        <v>488.53454589843761</v>
      </c>
      <c r="C24" s="23">
        <f>C23*B20</f>
        <v>6513.7939453125018</v>
      </c>
      <c r="D24" s="27"/>
      <c r="E24" s="8"/>
    </row>
    <row r="25" spans="1:5" x14ac:dyDescent="0.35">
      <c r="C25" s="22"/>
      <c r="D25" s="22" t="s">
        <v>173</v>
      </c>
    </row>
    <row r="26" spans="1:5" ht="26.5" x14ac:dyDescent="0.35">
      <c r="A26" s="27" t="s">
        <v>174</v>
      </c>
      <c r="B26" s="23">
        <f>(B23/1000)*B7</f>
        <v>32016.600000000006</v>
      </c>
      <c r="C26" s="33" t="s">
        <v>4</v>
      </c>
      <c r="D26" s="27" t="s">
        <v>175</v>
      </c>
      <c r="E26" s="8"/>
    </row>
    <row r="27" spans="1:5" x14ac:dyDescent="0.35">
      <c r="C27" s="22"/>
      <c r="D27" s="22" t="s">
        <v>173</v>
      </c>
    </row>
    <row r="28" spans="1:5" x14ac:dyDescent="0.35">
      <c r="A28" s="11" t="s">
        <v>82</v>
      </c>
    </row>
    <row r="29" spans="1:5" x14ac:dyDescent="0.35">
      <c r="A29" s="8" t="s">
        <v>83</v>
      </c>
      <c r="B29" s="24">
        <f>B16</f>
        <v>100</v>
      </c>
      <c r="C29" s="22" t="s">
        <v>84</v>
      </c>
    </row>
    <row r="30" spans="1:5" ht="26.5" x14ac:dyDescent="0.35">
      <c r="A30" s="27" t="s">
        <v>166</v>
      </c>
      <c r="B30" s="23">
        <f>B7*8/(B29*10^6)</f>
        <v>1.7075520000000004E-2</v>
      </c>
      <c r="C30" s="22" t="s">
        <v>86</v>
      </c>
      <c r="D30" s="8"/>
    </row>
    <row r="31" spans="1:5" x14ac:dyDescent="0.35">
      <c r="B31" s="22"/>
      <c r="C31" s="22"/>
    </row>
    <row r="32" spans="1:5" x14ac:dyDescent="0.35">
      <c r="A32" s="8" t="s">
        <v>168</v>
      </c>
      <c r="B32" s="23">
        <f>B7</f>
        <v>213444.00000000006</v>
      </c>
      <c r="C32" s="22" t="s">
        <v>88</v>
      </c>
      <c r="D32" s="8" t="s">
        <v>102</v>
      </c>
    </row>
    <row r="33" spans="1:4" x14ac:dyDescent="0.35">
      <c r="A33" s="8" t="s">
        <v>168</v>
      </c>
      <c r="B33" s="23">
        <f>B32*8</f>
        <v>1707552.0000000005</v>
      </c>
      <c r="C33" s="22" t="s">
        <v>89</v>
      </c>
    </row>
    <row r="34" spans="1:4" x14ac:dyDescent="0.35">
      <c r="A34" s="8" t="s">
        <v>90</v>
      </c>
      <c r="B34" s="23">
        <f>100*B33/(B29*10^6)</f>
        <v>1.7075520000000006</v>
      </c>
      <c r="C34" s="22" t="s">
        <v>91</v>
      </c>
      <c r="D34" s="11"/>
    </row>
    <row r="35" spans="1:4" x14ac:dyDescent="0.35">
      <c r="B35" s="22"/>
      <c r="C35" s="22"/>
    </row>
    <row r="36" spans="1:4" x14ac:dyDescent="0.35">
      <c r="A36" s="8" t="s">
        <v>93</v>
      </c>
      <c r="B36" s="24">
        <v>256</v>
      </c>
      <c r="C36" s="22" t="s">
        <v>4</v>
      </c>
      <c r="D36" s="8" t="s">
        <v>94</v>
      </c>
    </row>
    <row r="37" spans="1:4" x14ac:dyDescent="0.35">
      <c r="A37" s="8" t="s">
        <v>169</v>
      </c>
      <c r="B37" s="23">
        <f>B7/B36</f>
        <v>833.76562500000023</v>
      </c>
      <c r="C37" s="22" t="s">
        <v>170</v>
      </c>
    </row>
    <row r="38" spans="1:4" x14ac:dyDescent="0.35">
      <c r="B38" s="22"/>
      <c r="C38" s="22"/>
    </row>
    <row r="39" spans="1:4" x14ac:dyDescent="0.35">
      <c r="A39" s="11" t="s">
        <v>172</v>
      </c>
      <c r="B39" s="22"/>
      <c r="C39" s="22"/>
    </row>
    <row r="40" spans="1:4" x14ac:dyDescent="0.35">
      <c r="B40" s="22" t="s">
        <v>77</v>
      </c>
      <c r="C40" s="22" t="s">
        <v>78</v>
      </c>
    </row>
    <row r="41" spans="1:4" x14ac:dyDescent="0.35">
      <c r="A41" s="8" t="s">
        <v>97</v>
      </c>
      <c r="B41" s="24">
        <v>0.4</v>
      </c>
      <c r="C41" s="24">
        <v>3</v>
      </c>
    </row>
    <row r="42" spans="1:4" ht="26.5" x14ac:dyDescent="0.35">
      <c r="A42" s="27" t="s">
        <v>171</v>
      </c>
      <c r="B42" s="23">
        <f>B41*B37</f>
        <v>333.50625000000014</v>
      </c>
      <c r="C42" s="23">
        <f>C41*B37</f>
        <v>2501.2968750000009</v>
      </c>
    </row>
    <row r="43" spans="1:4" ht="26.5" x14ac:dyDescent="0.35">
      <c r="A43" s="27" t="s">
        <v>162</v>
      </c>
      <c r="B43" s="23">
        <f>B24</f>
        <v>488.53454589843761</v>
      </c>
      <c r="C43" s="23">
        <f>C24</f>
        <v>6513.7939453125018</v>
      </c>
    </row>
    <row r="44" spans="1:4" x14ac:dyDescent="0.35">
      <c r="B44" s="22"/>
      <c r="C44" s="22"/>
    </row>
    <row r="45" spans="1:4" ht="39.5" x14ac:dyDescent="0.35">
      <c r="A45" s="8" t="s">
        <v>99</v>
      </c>
      <c r="B45" s="23">
        <f>((100*(B43+B42)/1000))</f>
        <v>82.204079589843772</v>
      </c>
      <c r="C45" s="23">
        <f>((100*(C43+C42)/1000))</f>
        <v>901.50908203125039</v>
      </c>
      <c r="D45" s="27" t="s">
        <v>176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A24C9-8824-4B45-925B-20947CCF35C6}">
  <dimension ref="A1:K50"/>
  <sheetViews>
    <sheetView topLeftCell="A21" workbookViewId="0">
      <selection activeCell="A52" sqref="A52"/>
    </sheetView>
  </sheetViews>
  <sheetFormatPr defaultRowHeight="14.5" x14ac:dyDescent="0.35"/>
  <cols>
    <col min="1" max="1" width="21.81640625" bestFit="1" customWidth="1"/>
    <col min="7" max="7" width="12" bestFit="1" customWidth="1"/>
    <col min="8" max="8" width="9.54296875" bestFit="1" customWidth="1"/>
    <col min="9" max="9" width="8" bestFit="1" customWidth="1"/>
    <col min="10" max="10" width="9.26953125" bestFit="1" customWidth="1"/>
  </cols>
  <sheetData>
    <row r="1" spans="1:3" x14ac:dyDescent="0.35">
      <c r="A1" s="1" t="s">
        <v>11</v>
      </c>
    </row>
    <row r="3" spans="1:3" x14ac:dyDescent="0.35">
      <c r="A3" t="s">
        <v>12</v>
      </c>
      <c r="B3" s="5">
        <v>320</v>
      </c>
      <c r="C3" t="s">
        <v>0</v>
      </c>
    </row>
    <row r="4" spans="1:3" x14ac:dyDescent="0.35">
      <c r="A4" t="s">
        <v>13</v>
      </c>
      <c r="B4" s="5">
        <v>480</v>
      </c>
      <c r="C4" t="s">
        <v>0</v>
      </c>
    </row>
    <row r="6" spans="1:3" x14ac:dyDescent="0.35">
      <c r="A6" t="s">
        <v>1</v>
      </c>
      <c r="B6" s="7">
        <f>B4*B4</f>
        <v>230400</v>
      </c>
      <c r="C6" t="s">
        <v>0</v>
      </c>
    </row>
    <row r="8" spans="1:3" x14ac:dyDescent="0.35">
      <c r="A8" t="s">
        <v>14</v>
      </c>
      <c r="B8" s="5">
        <v>8</v>
      </c>
      <c r="C8" t="s">
        <v>2</v>
      </c>
    </row>
    <row r="10" spans="1:3" x14ac:dyDescent="0.35">
      <c r="A10" t="s">
        <v>3</v>
      </c>
      <c r="B10" s="7">
        <f>B8*B6</f>
        <v>1843200</v>
      </c>
      <c r="C10" t="s">
        <v>2</v>
      </c>
    </row>
    <row r="11" spans="1:3" x14ac:dyDescent="0.35">
      <c r="B11" s="7">
        <f>B10/8</f>
        <v>230400</v>
      </c>
      <c r="C11" t="s">
        <v>4</v>
      </c>
    </row>
    <row r="12" spans="1:3" x14ac:dyDescent="0.35">
      <c r="B12" s="7">
        <f>B11/1024</f>
        <v>225</v>
      </c>
      <c r="C12" t="s">
        <v>5</v>
      </c>
    </row>
    <row r="14" spans="1:3" x14ac:dyDescent="0.35">
      <c r="A14" t="s">
        <v>6</v>
      </c>
      <c r="B14" s="5">
        <v>30</v>
      </c>
      <c r="C14" t="s">
        <v>7</v>
      </c>
    </row>
    <row r="16" spans="1:3" ht="43.5" x14ac:dyDescent="0.35">
      <c r="A16" s="39" t="s">
        <v>215</v>
      </c>
      <c r="B16" s="7">
        <f>B14*B12</f>
        <v>6750</v>
      </c>
      <c r="C16" t="s">
        <v>8</v>
      </c>
    </row>
    <row r="17" spans="1:11" x14ac:dyDescent="0.35">
      <c r="B17" s="7">
        <f>B16/1024</f>
        <v>6.591796875</v>
      </c>
      <c r="C17" s="1" t="s">
        <v>10</v>
      </c>
    </row>
    <row r="18" spans="1:11" x14ac:dyDescent="0.35">
      <c r="B18" s="7">
        <f>B17*8</f>
        <v>52.734375</v>
      </c>
      <c r="C18" s="1" t="s">
        <v>9</v>
      </c>
    </row>
    <row r="20" spans="1:11" x14ac:dyDescent="0.35">
      <c r="A20" t="s">
        <v>15</v>
      </c>
    </row>
    <row r="21" spans="1:11" x14ac:dyDescent="0.35">
      <c r="A21" t="s">
        <v>16</v>
      </c>
    </row>
    <row r="24" spans="1:11" x14ac:dyDescent="0.35">
      <c r="A24" s="1" t="s">
        <v>17</v>
      </c>
    </row>
    <row r="26" spans="1:11" x14ac:dyDescent="0.35">
      <c r="A26" s="11" t="s">
        <v>140</v>
      </c>
      <c r="D26" s="6">
        <f>ROUND(J39/1024,2)</f>
        <v>359.41</v>
      </c>
      <c r="E26" s="3" t="s">
        <v>5</v>
      </c>
    </row>
    <row r="28" spans="1:11" x14ac:dyDescent="0.35">
      <c r="B28" s="2" t="s">
        <v>33</v>
      </c>
      <c r="C28" s="2" t="s">
        <v>34</v>
      </c>
      <c r="D28" s="2" t="s">
        <v>35</v>
      </c>
    </row>
    <row r="29" spans="1:11" x14ac:dyDescent="0.35">
      <c r="A29" s="3" t="s">
        <v>18</v>
      </c>
      <c r="B29" s="4">
        <v>320</v>
      </c>
      <c r="C29" s="4">
        <v>480</v>
      </c>
      <c r="D29" s="4">
        <v>8</v>
      </c>
    </row>
    <row r="31" spans="1:11" x14ac:dyDescent="0.35">
      <c r="C31" s="2" t="s">
        <v>19</v>
      </c>
      <c r="D31" s="2" t="s">
        <v>20</v>
      </c>
      <c r="E31" s="2" t="s">
        <v>21</v>
      </c>
      <c r="F31" s="2"/>
      <c r="G31" s="2" t="s">
        <v>22</v>
      </c>
      <c r="H31" s="2" t="s">
        <v>23</v>
      </c>
      <c r="I31" s="2" t="s">
        <v>24</v>
      </c>
      <c r="J31" s="2" t="s">
        <v>25</v>
      </c>
    </row>
    <row r="32" spans="1:11" x14ac:dyDescent="0.35">
      <c r="A32" s="3" t="s">
        <v>26</v>
      </c>
      <c r="B32" s="3" t="s">
        <v>37</v>
      </c>
      <c r="C32" s="4">
        <v>6</v>
      </c>
      <c r="D32" s="4">
        <v>8</v>
      </c>
      <c r="E32" s="4">
        <v>94</v>
      </c>
      <c r="G32" s="6">
        <f t="shared" ref="G32:G37" si="0">C32*D32</f>
        <v>48</v>
      </c>
      <c r="H32" s="6">
        <f>G32*E32</f>
        <v>4512</v>
      </c>
      <c r="I32" s="6">
        <f>H32*$D$29</f>
        <v>36096</v>
      </c>
      <c r="J32" s="6">
        <f>I32/8</f>
        <v>4512</v>
      </c>
      <c r="K32" s="3" t="s">
        <v>36</v>
      </c>
    </row>
    <row r="33" spans="1:11" x14ac:dyDescent="0.35">
      <c r="A33" s="3" t="s">
        <v>27</v>
      </c>
      <c r="B33" s="3" t="s">
        <v>28</v>
      </c>
      <c r="C33" s="4">
        <v>30</v>
      </c>
      <c r="D33" s="4">
        <v>40</v>
      </c>
      <c r="E33" s="4">
        <v>94</v>
      </c>
      <c r="F33" s="3"/>
      <c r="G33" s="6">
        <f t="shared" si="0"/>
        <v>1200</v>
      </c>
      <c r="H33" s="6">
        <f t="shared" ref="H33:H37" si="1">G33*E33</f>
        <v>112800</v>
      </c>
      <c r="I33" s="6">
        <f t="shared" ref="I33:I37" si="2">H33*$D$29</f>
        <v>902400</v>
      </c>
      <c r="J33" s="6">
        <f t="shared" ref="J33:J37" si="3">I33/8</f>
        <v>112800</v>
      </c>
    </row>
    <row r="34" spans="1:11" x14ac:dyDescent="0.35">
      <c r="B34" s="3" t="s">
        <v>30</v>
      </c>
      <c r="C34" s="4">
        <v>80</v>
      </c>
      <c r="D34" s="4">
        <v>80</v>
      </c>
      <c r="E34" s="4">
        <v>10</v>
      </c>
      <c r="F34" s="3" t="s">
        <v>29</v>
      </c>
      <c r="G34" s="6">
        <f t="shared" si="0"/>
        <v>6400</v>
      </c>
      <c r="H34" s="6">
        <f t="shared" si="1"/>
        <v>64000</v>
      </c>
      <c r="I34" s="6">
        <f t="shared" si="2"/>
        <v>512000</v>
      </c>
      <c r="J34" s="6">
        <f t="shared" si="3"/>
        <v>64000</v>
      </c>
    </row>
    <row r="35" spans="1:11" x14ac:dyDescent="0.35">
      <c r="A35" s="3" t="s">
        <v>27</v>
      </c>
      <c r="B35" s="3" t="s">
        <v>28</v>
      </c>
      <c r="C35" s="4">
        <v>12</v>
      </c>
      <c r="D35" s="4">
        <v>16</v>
      </c>
      <c r="E35" s="4">
        <v>10</v>
      </c>
      <c r="G35" s="6">
        <f t="shared" si="0"/>
        <v>192</v>
      </c>
      <c r="H35" s="6">
        <f t="shared" si="1"/>
        <v>1920</v>
      </c>
      <c r="I35" s="6">
        <f t="shared" si="2"/>
        <v>15360</v>
      </c>
      <c r="J35" s="6">
        <f t="shared" si="3"/>
        <v>1920</v>
      </c>
    </row>
    <row r="36" spans="1:11" x14ac:dyDescent="0.35">
      <c r="B36" s="3" t="s">
        <v>30</v>
      </c>
      <c r="C36" s="4">
        <v>30</v>
      </c>
      <c r="D36" s="4">
        <v>40</v>
      </c>
      <c r="E36" s="4">
        <v>10</v>
      </c>
      <c r="G36" s="6">
        <f t="shared" si="0"/>
        <v>1200</v>
      </c>
      <c r="H36" s="6">
        <f t="shared" si="1"/>
        <v>12000</v>
      </c>
      <c r="I36" s="6">
        <f t="shared" si="2"/>
        <v>96000</v>
      </c>
      <c r="J36" s="6">
        <f t="shared" si="3"/>
        <v>12000</v>
      </c>
    </row>
    <row r="37" spans="1:11" x14ac:dyDescent="0.35">
      <c r="A37" s="3" t="s">
        <v>39</v>
      </c>
      <c r="C37" s="4">
        <v>240</v>
      </c>
      <c r="D37" s="4">
        <v>240</v>
      </c>
      <c r="E37" s="4">
        <v>3</v>
      </c>
      <c r="F37" s="3" t="s">
        <v>31</v>
      </c>
      <c r="G37" s="6">
        <f t="shared" si="0"/>
        <v>57600</v>
      </c>
      <c r="H37" s="6">
        <f t="shared" si="1"/>
        <v>172800</v>
      </c>
      <c r="I37" s="6">
        <f t="shared" si="2"/>
        <v>1382400</v>
      </c>
      <c r="J37" s="6">
        <f t="shared" si="3"/>
        <v>172800</v>
      </c>
    </row>
    <row r="39" spans="1:11" x14ac:dyDescent="0.35">
      <c r="F39" t="s">
        <v>38</v>
      </c>
      <c r="I39" s="2" t="s">
        <v>32</v>
      </c>
      <c r="J39" s="6">
        <f>SUM(J32:J37)</f>
        <v>368032</v>
      </c>
    </row>
    <row r="42" spans="1:11" x14ac:dyDescent="0.35">
      <c r="A42" s="1" t="s">
        <v>141</v>
      </c>
    </row>
    <row r="43" spans="1:11" x14ac:dyDescent="0.35">
      <c r="A43" t="s">
        <v>142</v>
      </c>
      <c r="C43" s="5">
        <v>240</v>
      </c>
      <c r="D43" s="5">
        <v>240</v>
      </c>
      <c r="E43" s="5">
        <v>1</v>
      </c>
      <c r="G43" s="6">
        <f>C43*D43</f>
        <v>57600</v>
      </c>
      <c r="H43" s="6">
        <f>G43*E43</f>
        <v>57600</v>
      </c>
      <c r="I43" s="6">
        <f>H43*$D$29</f>
        <v>460800</v>
      </c>
      <c r="J43" s="6">
        <f>I43/8</f>
        <v>57600</v>
      </c>
    </row>
    <row r="44" spans="1:11" x14ac:dyDescent="0.35">
      <c r="J44" s="7">
        <f>J43/1024</f>
        <v>56.25</v>
      </c>
      <c r="K44" t="s">
        <v>143</v>
      </c>
    </row>
    <row r="46" spans="1:11" x14ac:dyDescent="0.35">
      <c r="A46" s="1" t="s">
        <v>216</v>
      </c>
    </row>
    <row r="47" spans="1:11" x14ac:dyDescent="0.35">
      <c r="A47" t="s">
        <v>217</v>
      </c>
      <c r="B47" s="5">
        <v>5</v>
      </c>
      <c r="C47" t="s">
        <v>218</v>
      </c>
    </row>
    <row r="48" spans="1:11" ht="29" x14ac:dyDescent="0.35">
      <c r="A48" s="39" t="s">
        <v>219</v>
      </c>
      <c r="B48" s="5">
        <v>2</v>
      </c>
      <c r="C48" t="s">
        <v>7</v>
      </c>
    </row>
    <row r="49" spans="1:3" x14ac:dyDescent="0.35">
      <c r="A49" t="s">
        <v>222</v>
      </c>
      <c r="B49" s="7">
        <f>B29*C29*B47/100</f>
        <v>7680</v>
      </c>
      <c r="C49" t="s">
        <v>220</v>
      </c>
    </row>
    <row r="50" spans="1:3" x14ac:dyDescent="0.35">
      <c r="A50" t="s">
        <v>145</v>
      </c>
      <c r="B50" s="7">
        <f>B49*B48</f>
        <v>15360</v>
      </c>
      <c r="C50" t="s">
        <v>221</v>
      </c>
    </row>
  </sheetData>
  <pageMargins left="0.7" right="0.7" top="0.75" bottom="0.75" header="0.3" footer="0.3"/>
  <pageSetup orientation="portrait" horizontalDpi="150" verticalDpi="15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B65D6-B87B-4A82-B6B7-87F959A5792C}">
  <dimension ref="A1:G22"/>
  <sheetViews>
    <sheetView workbookViewId="0">
      <selection activeCell="E21" sqref="A18:E22"/>
    </sheetView>
  </sheetViews>
  <sheetFormatPr defaultRowHeight="14.5" x14ac:dyDescent="0.35"/>
  <cols>
    <col min="2" max="2" width="21.453125" bestFit="1" customWidth="1"/>
    <col min="3" max="3" width="9.453125" bestFit="1" customWidth="1"/>
  </cols>
  <sheetData>
    <row r="1" spans="1:7" x14ac:dyDescent="0.35">
      <c r="A1" s="8" t="s">
        <v>42</v>
      </c>
    </row>
    <row r="2" spans="1:7" x14ac:dyDescent="0.35">
      <c r="B2" s="8" t="s">
        <v>43</v>
      </c>
      <c r="C2" s="9">
        <v>64</v>
      </c>
      <c r="D2" s="8" t="s">
        <v>44</v>
      </c>
    </row>
    <row r="3" spans="1:7" x14ac:dyDescent="0.35">
      <c r="C3" s="14">
        <f>C2/8</f>
        <v>8</v>
      </c>
      <c r="D3" s="8" t="s">
        <v>45</v>
      </c>
    </row>
    <row r="4" spans="1:7" x14ac:dyDescent="0.35">
      <c r="C4" s="14">
        <f>C3*1024</f>
        <v>8192</v>
      </c>
      <c r="D4" s="8" t="s">
        <v>5</v>
      </c>
      <c r="E4" s="13">
        <f>ROUND(100*SUM(C9:C12)/C4, 2)</f>
        <v>81.11</v>
      </c>
      <c r="F4" s="11" t="s">
        <v>46</v>
      </c>
    </row>
    <row r="5" spans="1:7" x14ac:dyDescent="0.35">
      <c r="B5" s="8" t="s">
        <v>47</v>
      </c>
      <c r="C5" s="9">
        <v>4</v>
      </c>
      <c r="D5" s="8" t="s">
        <v>5</v>
      </c>
    </row>
    <row r="6" spans="1:7" x14ac:dyDescent="0.35">
      <c r="B6" s="8" t="s">
        <v>48</v>
      </c>
      <c r="C6" s="9">
        <f>(C4/C5 * 1024)</f>
        <v>2097152</v>
      </c>
      <c r="D6" s="8" t="s">
        <v>49</v>
      </c>
    </row>
    <row r="8" spans="1:7" x14ac:dyDescent="0.35">
      <c r="A8" s="11" t="s">
        <v>211</v>
      </c>
      <c r="E8" t="s">
        <v>56</v>
      </c>
    </row>
    <row r="9" spans="1:7" x14ac:dyDescent="0.35">
      <c r="B9" s="8" t="s">
        <v>50</v>
      </c>
      <c r="C9" s="9">
        <v>32</v>
      </c>
      <c r="D9" s="8" t="s">
        <v>5</v>
      </c>
      <c r="E9" s="12">
        <f>CEILING(C9/$C$5,1)</f>
        <v>8</v>
      </c>
    </row>
    <row r="10" spans="1:7" x14ac:dyDescent="0.35">
      <c r="B10" s="8" t="s">
        <v>53</v>
      </c>
      <c r="C10" s="9">
        <v>0</v>
      </c>
      <c r="D10" s="8" t="s">
        <v>5</v>
      </c>
      <c r="E10" s="12">
        <f>CEILING(C10/$C$5,1)</f>
        <v>0</v>
      </c>
      <c r="G10" s="8"/>
    </row>
    <row r="11" spans="1:7" x14ac:dyDescent="0.35">
      <c r="B11" s="8" t="s">
        <v>51</v>
      </c>
      <c r="C11" s="14">
        <f>Display!D26</f>
        <v>359.41</v>
      </c>
      <c r="D11" s="8" t="s">
        <v>5</v>
      </c>
      <c r="E11" s="12">
        <f>CEILING(C11/$C$5,1)</f>
        <v>90</v>
      </c>
      <c r="G11" s="8" t="s">
        <v>55</v>
      </c>
    </row>
    <row r="12" spans="1:7" x14ac:dyDescent="0.35">
      <c r="B12" s="8" t="s">
        <v>54</v>
      </c>
      <c r="C12" s="36">
        <f>'Storing Data'!B13</f>
        <v>6253.2421875000018</v>
      </c>
      <c r="D12" s="8" t="s">
        <v>5</v>
      </c>
      <c r="E12" s="12">
        <f>CEILING(C12/$C$5,1)</f>
        <v>1564</v>
      </c>
      <c r="G12" s="8" t="s">
        <v>58</v>
      </c>
    </row>
    <row r="13" spans="1:7" x14ac:dyDescent="0.35">
      <c r="A13" s="11"/>
    </row>
    <row r="15" spans="1:7" x14ac:dyDescent="0.35">
      <c r="A15" s="11" t="s">
        <v>52</v>
      </c>
    </row>
    <row r="16" spans="1:7" x14ac:dyDescent="0.35">
      <c r="B16" t="s">
        <v>57</v>
      </c>
    </row>
    <row r="17" spans="1:5" x14ac:dyDescent="0.35">
      <c r="B17" s="8"/>
    </row>
    <row r="18" spans="1:5" x14ac:dyDescent="0.35">
      <c r="A18" s="1" t="s">
        <v>212</v>
      </c>
    </row>
    <row r="19" spans="1:5" x14ac:dyDescent="0.35">
      <c r="B19" s="8" t="s">
        <v>50</v>
      </c>
      <c r="C19" t="s">
        <v>214</v>
      </c>
    </row>
    <row r="20" spans="1:5" x14ac:dyDescent="0.35">
      <c r="B20" s="8" t="s">
        <v>53</v>
      </c>
      <c r="C20" t="s">
        <v>224</v>
      </c>
    </row>
    <row r="21" spans="1:5" x14ac:dyDescent="0.35">
      <c r="B21" s="8" t="s">
        <v>51</v>
      </c>
      <c r="C21">
        <f>100*(Display!B50/'SPI Timing'!B4)</f>
        <v>0.12287999999999999</v>
      </c>
      <c r="D21" t="s">
        <v>218</v>
      </c>
      <c r="E21" t="s">
        <v>223</v>
      </c>
    </row>
    <row r="22" spans="1:5" x14ac:dyDescent="0.35">
      <c r="B22" s="8" t="s">
        <v>54</v>
      </c>
      <c r="C22" s="34">
        <f>'Storing Data'!B45</f>
        <v>82.204079589843772</v>
      </c>
      <c r="D22" t="s">
        <v>213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744B2-34E5-4368-B669-B682880ACA09}">
  <dimension ref="A1:E11"/>
  <sheetViews>
    <sheetView workbookViewId="0">
      <selection activeCell="C12" sqref="C12"/>
    </sheetView>
  </sheetViews>
  <sheetFormatPr defaultRowHeight="14.5" x14ac:dyDescent="0.35"/>
  <cols>
    <col min="1" max="1" width="19.08984375" customWidth="1"/>
    <col min="3" max="3" width="42.26953125" bestFit="1" customWidth="1"/>
    <col min="4" max="4" width="9.81640625" bestFit="1" customWidth="1"/>
  </cols>
  <sheetData>
    <row r="1" spans="1:5" x14ac:dyDescent="0.35">
      <c r="D1" s="22"/>
      <c r="E1" s="22"/>
    </row>
    <row r="3" spans="1:5" x14ac:dyDescent="0.35">
      <c r="A3" t="s">
        <v>147</v>
      </c>
      <c r="B3" s="5">
        <v>100</v>
      </c>
      <c r="C3" t="s">
        <v>116</v>
      </c>
    </row>
    <row r="4" spans="1:5" x14ac:dyDescent="0.35">
      <c r="A4" t="s">
        <v>206</v>
      </c>
      <c r="B4" s="7">
        <f>B3*10^6/8</f>
        <v>12500000</v>
      </c>
      <c r="C4" t="s">
        <v>88</v>
      </c>
    </row>
    <row r="7" spans="1:5" x14ac:dyDescent="0.35">
      <c r="A7" t="s">
        <v>153</v>
      </c>
      <c r="B7" s="28">
        <f>Walkthrough!B12</f>
        <v>2.8224</v>
      </c>
      <c r="C7" t="s">
        <v>208</v>
      </c>
    </row>
    <row r="8" spans="1:5" x14ac:dyDescent="0.35">
      <c r="A8" t="s">
        <v>207</v>
      </c>
      <c r="B8" s="28">
        <f>Walkthrough!B41</f>
        <v>1.7075520000000006</v>
      </c>
      <c r="C8" t="s">
        <v>208</v>
      </c>
    </row>
    <row r="9" spans="1:5" x14ac:dyDescent="0.35">
      <c r="A9" t="s">
        <v>18</v>
      </c>
      <c r="B9" s="28">
        <f>Walkthrough!B55</f>
        <v>13.824</v>
      </c>
      <c r="C9" t="s">
        <v>208</v>
      </c>
    </row>
    <row r="11" spans="1:5" x14ac:dyDescent="0.35">
      <c r="A11" s="1" t="s">
        <v>209</v>
      </c>
      <c r="B11" s="28">
        <f>SUM(B7:B9)</f>
        <v>18.353952</v>
      </c>
      <c r="C11" t="s">
        <v>210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78D9A-53B5-4DFC-8F31-87B5E095EA4D}">
  <dimension ref="A2:E50"/>
  <sheetViews>
    <sheetView topLeftCell="A10" workbookViewId="0">
      <selection activeCell="B33" sqref="B33"/>
    </sheetView>
  </sheetViews>
  <sheetFormatPr defaultRowHeight="14.5" x14ac:dyDescent="0.35"/>
  <cols>
    <col min="1" max="1" width="23.7265625" customWidth="1"/>
    <col min="2" max="2" width="15.90625" bestFit="1" customWidth="1"/>
    <col min="4" max="4" width="57.54296875" customWidth="1"/>
  </cols>
  <sheetData>
    <row r="2" spans="1:5" x14ac:dyDescent="0.35">
      <c r="A2" s="1" t="s">
        <v>119</v>
      </c>
      <c r="E2" s="8"/>
    </row>
    <row r="3" spans="1:5" x14ac:dyDescent="0.35">
      <c r="E3" s="8"/>
    </row>
    <row r="4" spans="1:5" x14ac:dyDescent="0.35">
      <c r="A4" t="s">
        <v>120</v>
      </c>
      <c r="B4" s="9">
        <v>4</v>
      </c>
      <c r="C4" s="17" t="s">
        <v>67</v>
      </c>
      <c r="E4" s="8"/>
    </row>
    <row r="5" spans="1:5" x14ac:dyDescent="0.35">
      <c r="A5" t="s">
        <v>68</v>
      </c>
      <c r="B5" s="9">
        <v>20</v>
      </c>
      <c r="C5" s="16"/>
      <c r="E5" s="8"/>
    </row>
    <row r="6" spans="1:5" x14ac:dyDescent="0.35">
      <c r="B6" s="8"/>
      <c r="C6" s="11"/>
      <c r="E6" s="8"/>
    </row>
    <row r="7" spans="1:5" x14ac:dyDescent="0.35">
      <c r="B7" s="8" t="s">
        <v>59</v>
      </c>
      <c r="C7" s="17"/>
      <c r="E7" s="18"/>
    </row>
    <row r="8" spans="1:5" x14ac:dyDescent="0.35">
      <c r="A8" s="8" t="s">
        <v>65</v>
      </c>
      <c r="B8" s="15">
        <f>'Collecting Data'!B9</f>
        <v>352800</v>
      </c>
      <c r="C8" s="17" t="s">
        <v>88</v>
      </c>
      <c r="D8" t="s">
        <v>130</v>
      </c>
    </row>
    <row r="9" spans="1:5" x14ac:dyDescent="0.35">
      <c r="A9" s="8" t="s">
        <v>66</v>
      </c>
      <c r="B9" s="15">
        <v>1000</v>
      </c>
      <c r="C9" s="17" t="s">
        <v>88</v>
      </c>
      <c r="D9" t="s">
        <v>131</v>
      </c>
    </row>
    <row r="10" spans="1:5" x14ac:dyDescent="0.35">
      <c r="C10" s="17"/>
    </row>
    <row r="11" spans="1:5" x14ac:dyDescent="0.35">
      <c r="A11" s="8" t="s">
        <v>60</v>
      </c>
      <c r="B11" s="10">
        <f>B9+B8</f>
        <v>353800</v>
      </c>
      <c r="C11" s="17" t="s">
        <v>4</v>
      </c>
    </row>
    <row r="12" spans="1:5" x14ac:dyDescent="0.35">
      <c r="A12" s="8" t="s">
        <v>61</v>
      </c>
      <c r="B12" s="19">
        <v>0.1</v>
      </c>
      <c r="C12" s="8" t="s">
        <v>121</v>
      </c>
    </row>
    <row r="13" spans="1:5" x14ac:dyDescent="0.35">
      <c r="A13" s="8" t="s">
        <v>69</v>
      </c>
      <c r="B13" s="10">
        <f>(1+B12/100) * B11</f>
        <v>354153.8</v>
      </c>
      <c r="C13" s="17" t="s">
        <v>4</v>
      </c>
    </row>
    <row r="14" spans="1:5" x14ac:dyDescent="0.35">
      <c r="C14" s="17"/>
    </row>
    <row r="15" spans="1:5" x14ac:dyDescent="0.35">
      <c r="A15" s="8" t="s">
        <v>70</v>
      </c>
      <c r="B15" s="20">
        <f>B13*B4</f>
        <v>1416615.2</v>
      </c>
      <c r="C15" s="8" t="s">
        <v>62</v>
      </c>
    </row>
    <row r="16" spans="1:5" x14ac:dyDescent="0.35">
      <c r="A16" s="8" t="s">
        <v>71</v>
      </c>
      <c r="B16" s="20">
        <f>B15*B5</f>
        <v>28332304</v>
      </c>
      <c r="C16" s="8" t="s">
        <v>63</v>
      </c>
    </row>
    <row r="17" spans="1:5" x14ac:dyDescent="0.35">
      <c r="A17" s="8"/>
      <c r="B17" s="20">
        <f>B16/1024</f>
        <v>27668.265625</v>
      </c>
      <c r="C17" s="8" t="s">
        <v>64</v>
      </c>
    </row>
    <row r="18" spans="1:5" x14ac:dyDescent="0.35">
      <c r="A18" s="8"/>
      <c r="B18" s="21">
        <f>B17/1024</f>
        <v>27.019790649414063</v>
      </c>
      <c r="C18" s="11" t="s">
        <v>132</v>
      </c>
    </row>
    <row r="19" spans="1:5" x14ac:dyDescent="0.35">
      <c r="A19" s="8"/>
      <c r="B19" s="8"/>
      <c r="C19" s="11"/>
    </row>
    <row r="20" spans="1:5" x14ac:dyDescent="0.35">
      <c r="A20" s="8"/>
      <c r="B20" s="8"/>
      <c r="C20" s="11"/>
    </row>
    <row r="21" spans="1:5" x14ac:dyDescent="0.35">
      <c r="A21" s="1" t="s">
        <v>100</v>
      </c>
      <c r="C21" s="17"/>
      <c r="D21" s="8"/>
    </row>
    <row r="22" spans="1:5" x14ac:dyDescent="0.35">
      <c r="A22" s="8" t="s">
        <v>122</v>
      </c>
      <c r="B22" s="9">
        <v>133</v>
      </c>
      <c r="C22" s="8" t="s">
        <v>72</v>
      </c>
    </row>
    <row r="24" spans="1:5" x14ac:dyDescent="0.35">
      <c r="A24" s="8" t="s">
        <v>133</v>
      </c>
      <c r="B24" s="23">
        <f>B16</f>
        <v>28332304</v>
      </c>
      <c r="C24" s="22" t="s">
        <v>4</v>
      </c>
      <c r="D24" s="8" t="s">
        <v>102</v>
      </c>
    </row>
    <row r="25" spans="1:5" x14ac:dyDescent="0.35">
      <c r="B25" s="23">
        <f>B24/1024</f>
        <v>27668.265625</v>
      </c>
      <c r="C25" s="22" t="s">
        <v>5</v>
      </c>
    </row>
    <row r="26" spans="1:5" x14ac:dyDescent="0.35">
      <c r="B26" s="23">
        <f>B25/1024</f>
        <v>27.019790649414063</v>
      </c>
      <c r="C26" s="22" t="s">
        <v>113</v>
      </c>
    </row>
    <row r="27" spans="1:5" x14ac:dyDescent="0.35">
      <c r="C27" s="22"/>
      <c r="D27" s="22"/>
    </row>
    <row r="28" spans="1:5" x14ac:dyDescent="0.35">
      <c r="A28" s="11" t="s">
        <v>123</v>
      </c>
      <c r="C28" s="22"/>
      <c r="D28" s="22"/>
    </row>
    <row r="29" spans="1:5" x14ac:dyDescent="0.35">
      <c r="A29" s="8" t="s">
        <v>73</v>
      </c>
      <c r="B29" s="24">
        <v>64</v>
      </c>
      <c r="C29" s="22" t="s">
        <v>74</v>
      </c>
      <c r="D29" s="8" t="s">
        <v>104</v>
      </c>
      <c r="E29" s="8"/>
    </row>
    <row r="30" spans="1:5" x14ac:dyDescent="0.35">
      <c r="A30" s="8" t="s">
        <v>75</v>
      </c>
      <c r="B30" s="23">
        <f>CEILING(B25/B29,1)</f>
        <v>433</v>
      </c>
      <c r="C30" s="22" t="s">
        <v>76</v>
      </c>
    </row>
    <row r="31" spans="1:5" x14ac:dyDescent="0.35">
      <c r="B31" s="22"/>
      <c r="C31" s="22"/>
    </row>
    <row r="32" spans="1:5" x14ac:dyDescent="0.35">
      <c r="B32" s="22" t="s">
        <v>77</v>
      </c>
      <c r="C32" s="22" t="s">
        <v>78</v>
      </c>
    </row>
    <row r="33" spans="1:5" x14ac:dyDescent="0.35">
      <c r="A33" s="8" t="s">
        <v>79</v>
      </c>
      <c r="B33" s="24">
        <v>150</v>
      </c>
      <c r="C33" s="24">
        <v>2000</v>
      </c>
    </row>
    <row r="34" spans="1:5" ht="39.5" x14ac:dyDescent="0.35">
      <c r="A34" s="8" t="s">
        <v>80</v>
      </c>
      <c r="B34" s="23">
        <f>B33*B30</f>
        <v>64950</v>
      </c>
      <c r="C34" s="23">
        <f>C33*B30</f>
        <v>866000</v>
      </c>
      <c r="D34" s="27" t="s">
        <v>81</v>
      </c>
      <c r="E34" s="8"/>
    </row>
    <row r="35" spans="1:5" x14ac:dyDescent="0.35">
      <c r="C35" s="22"/>
      <c r="D35" s="22"/>
    </row>
    <row r="36" spans="1:5" x14ac:dyDescent="0.35">
      <c r="A36" s="11" t="s">
        <v>82</v>
      </c>
    </row>
    <row r="37" spans="1:5" x14ac:dyDescent="0.35">
      <c r="A37" s="8" t="s">
        <v>83</v>
      </c>
      <c r="B37" s="24">
        <f>B22</f>
        <v>133</v>
      </c>
      <c r="C37" s="22" t="s">
        <v>84</v>
      </c>
    </row>
    <row r="38" spans="1:5" x14ac:dyDescent="0.35">
      <c r="A38" s="8" t="s">
        <v>85</v>
      </c>
      <c r="B38" s="23">
        <f>1000*B24*8/(B37*10^6)</f>
        <v>1704.1987368421053</v>
      </c>
      <c r="C38" s="22" t="s">
        <v>86</v>
      </c>
      <c r="D38" s="8" t="s">
        <v>124</v>
      </c>
    </row>
    <row r="39" spans="1:5" x14ac:dyDescent="0.35">
      <c r="B39" s="22"/>
      <c r="C39" s="22"/>
    </row>
    <row r="40" spans="1:5" x14ac:dyDescent="0.35">
      <c r="A40" s="8" t="s">
        <v>87</v>
      </c>
      <c r="B40" s="23">
        <f>B11</f>
        <v>353800</v>
      </c>
      <c r="C40" s="22" t="s">
        <v>88</v>
      </c>
      <c r="D40" s="8" t="s">
        <v>102</v>
      </c>
    </row>
    <row r="41" spans="1:5" x14ac:dyDescent="0.35">
      <c r="A41" s="8" t="s">
        <v>87</v>
      </c>
      <c r="B41" s="23">
        <f>B40*8</f>
        <v>2830400</v>
      </c>
      <c r="C41" s="22" t="s">
        <v>89</v>
      </c>
    </row>
    <row r="42" spans="1:5" x14ac:dyDescent="0.35">
      <c r="A42" s="8" t="s">
        <v>90</v>
      </c>
      <c r="B42" s="23">
        <f>100*B41/(B37*10^6)</f>
        <v>2.1281203007518799</v>
      </c>
      <c r="C42" s="22" t="s">
        <v>91</v>
      </c>
      <c r="D42" s="11" t="s">
        <v>92</v>
      </c>
    </row>
    <row r="43" spans="1:5" x14ac:dyDescent="0.35">
      <c r="B43" s="22"/>
      <c r="C43" s="22"/>
    </row>
    <row r="44" spans="1:5" x14ac:dyDescent="0.35">
      <c r="A44" s="8" t="s">
        <v>93</v>
      </c>
      <c r="B44" s="24">
        <v>256</v>
      </c>
      <c r="C44" s="22" t="s">
        <v>4</v>
      </c>
      <c r="D44" s="8" t="s">
        <v>94</v>
      </c>
    </row>
    <row r="45" spans="1:5" x14ac:dyDescent="0.35">
      <c r="A45" s="8" t="s">
        <v>95</v>
      </c>
      <c r="B45" s="23">
        <f>CEILING(B24/B44,1)</f>
        <v>110674</v>
      </c>
      <c r="C45" s="22" t="s">
        <v>96</v>
      </c>
    </row>
    <row r="46" spans="1:5" x14ac:dyDescent="0.35">
      <c r="B46" s="22"/>
      <c r="C46" s="22"/>
    </row>
    <row r="47" spans="1:5" x14ac:dyDescent="0.35">
      <c r="B47" s="22" t="s">
        <v>77</v>
      </c>
      <c r="C47" s="22" t="s">
        <v>78</v>
      </c>
    </row>
    <row r="48" spans="1:5" x14ac:dyDescent="0.35">
      <c r="A48" s="8" t="s">
        <v>97</v>
      </c>
      <c r="B48" s="24">
        <v>0.4</v>
      </c>
      <c r="C48" s="24">
        <v>3</v>
      </c>
    </row>
    <row r="49" spans="1:4" x14ac:dyDescent="0.35">
      <c r="A49" s="8" t="s">
        <v>98</v>
      </c>
      <c r="B49" s="23">
        <f>B48*B45</f>
        <v>44269.600000000006</v>
      </c>
      <c r="C49" s="23">
        <f>C48*B45</f>
        <v>332022</v>
      </c>
      <c r="D49" t="s">
        <v>129</v>
      </c>
    </row>
    <row r="50" spans="1:4" x14ac:dyDescent="0.35">
      <c r="A50" s="8" t="s">
        <v>99</v>
      </c>
      <c r="B50" s="23">
        <f>((100*B49)/1000)/$B$17</f>
        <v>0.16000135534335652</v>
      </c>
      <c r="C50" s="23">
        <f>((100*C49)/1000)/$B$17</f>
        <v>1.2000101650751736</v>
      </c>
      <c r="D50"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Walkthrough</vt:lpstr>
      <vt:lpstr>Collecting Data</vt:lpstr>
      <vt:lpstr>Storing Data</vt:lpstr>
      <vt:lpstr>Display</vt:lpstr>
      <vt:lpstr>Flash Allocation</vt:lpstr>
      <vt:lpstr>SPI Timing</vt:lpstr>
      <vt:lpstr>Storing Data Snippets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Elecia White</dc:creator>
  <cp:lastModifiedBy>Elecia White</cp:lastModifiedBy>
  <dcterms:created xsi:type="dcterms:W3CDTF">2023-05-15T15:19:28Z</dcterms:created>
  <dcterms:modified xsi:type="dcterms:W3CDTF">2023-07-04T17:33:11Z</dcterms:modified>
</cp:coreProperties>
</file>