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ci\work\oreilly\git\Ch6_Peripherals\"/>
    </mc:Choice>
  </mc:AlternateContent>
  <xr:revisionPtr revIDLastSave="0" documentId="13_ncr:1_{9B76F415-3DB8-4E7E-BA3B-D4BF4BE4A687}" xr6:coauthVersionLast="47" xr6:coauthVersionMax="47" xr10:uidLastSave="{00000000-0000-0000-0000-000000000000}"/>
  <bookViews>
    <workbookView xWindow="-110" yWindow="-110" windowWidth="38620" windowHeight="21100" activeTab="4" xr2:uid="{D17E2DFF-10D0-4B8F-A2BE-387E4BD71D7F}"/>
  </bookViews>
  <sheets>
    <sheet name="Instructions" sheetId="2" r:id="rId1"/>
    <sheet name="Flash Allocation" sheetId="3" r:id="rId2"/>
    <sheet name="Display" sheetId="1" r:id="rId3"/>
    <sheet name="Data" sheetId="4" r:id="rId4"/>
    <sheet name="SPI Tim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4" l="1"/>
  <c r="B48" i="4"/>
  <c r="B43" i="4"/>
  <c r="B38" i="4"/>
  <c r="B36" i="4"/>
  <c r="B39" i="4"/>
  <c r="B35" i="4"/>
  <c r="B11" i="4"/>
  <c r="B13" i="4" s="1"/>
  <c r="B15" i="4" s="1"/>
  <c r="B16" i="4" s="1"/>
  <c r="B23" i="4" s="1"/>
  <c r="E13" i="3"/>
  <c r="E10" i="3"/>
  <c r="E9" i="3"/>
  <c r="C3" i="3"/>
  <c r="C4" i="3" s="1"/>
  <c r="I37" i="1"/>
  <c r="I36" i="1"/>
  <c r="I35" i="1"/>
  <c r="I32" i="1"/>
  <c r="G37" i="1"/>
  <c r="H37" i="1" s="1"/>
  <c r="H36" i="1"/>
  <c r="G36" i="1"/>
  <c r="G35" i="1"/>
  <c r="H35" i="1" s="1"/>
  <c r="G34" i="1"/>
  <c r="H34" i="1" s="1"/>
  <c r="I34" i="1" s="1"/>
  <c r="G33" i="1"/>
  <c r="H33" i="1" s="1"/>
  <c r="I33" i="1" s="1"/>
  <c r="G32" i="1"/>
  <c r="H32" i="1" s="1"/>
  <c r="B6" i="1"/>
  <c r="B10" i="1" s="1"/>
  <c r="B11" i="1" s="1"/>
  <c r="B12" i="1" s="1"/>
  <c r="B16" i="1" s="1"/>
  <c r="B17" i="1" s="1"/>
  <c r="B18" i="1" s="1"/>
  <c r="J35" i="1" l="1"/>
  <c r="B40" i="4"/>
  <c r="C47" i="4"/>
  <c r="B47" i="4"/>
  <c r="B24" i="4"/>
  <c r="B28" i="4" s="1"/>
  <c r="C32" i="4" s="1"/>
  <c r="B17" i="4"/>
  <c r="C12" i="3" s="1"/>
  <c r="E12" i="3" s="1"/>
  <c r="C6" i="3"/>
  <c r="J34" i="1"/>
  <c r="J33" i="1"/>
  <c r="J37" i="1"/>
  <c r="J36" i="1"/>
  <c r="J32" i="1"/>
  <c r="B32" i="4" l="1"/>
  <c r="J39" i="1"/>
  <c r="D26" i="1" s="1"/>
  <c r="C11" i="3" s="1"/>
  <c r="E11" i="3" s="1"/>
  <c r="E4" i="3" l="1"/>
</calcChain>
</file>

<file path=xl/sharedStrings.xml><?xml version="1.0" encoding="utf-8"?>
<sst xmlns="http://schemas.openxmlformats.org/spreadsheetml/2006/main" count="142" uniqueCount="120">
  <si>
    <t>pixels</t>
  </si>
  <si>
    <t>total pixels</t>
  </si>
  <si>
    <t>bits</t>
  </si>
  <si>
    <t>bits/screen</t>
  </si>
  <si>
    <t>bytes</t>
  </si>
  <si>
    <t>kbytes</t>
  </si>
  <si>
    <t xml:space="preserve">screen refresh </t>
  </si>
  <si>
    <t>Hz</t>
  </si>
  <si>
    <t>kbytes/s</t>
  </si>
  <si>
    <t>Mbits/s</t>
  </si>
  <si>
    <t>Mbytes/s</t>
  </si>
  <si>
    <t>How fast does my communication need to happen if I want to update my whole screen at a given refresh rate?</t>
  </si>
  <si>
    <t>Display Height</t>
  </si>
  <si>
    <t>Display Width</t>
  </si>
  <si>
    <t>Color: data/pixel</t>
  </si>
  <si>
    <t>Throughput needd</t>
  </si>
  <si>
    <t>Most screens are not completely refreshed on each pass unless there is a RAM buffer to allow tear-free updates.</t>
  </si>
  <si>
    <t>However, the throughput needed provides a likely maximum for the throughput needed for most projects.</t>
  </si>
  <si>
    <t>How much space will my graphics take up?</t>
  </si>
  <si>
    <t>Display</t>
  </si>
  <si>
    <t>width</t>
  </si>
  <si>
    <t>height</t>
  </si>
  <si>
    <t>number glyphs (max)</t>
  </si>
  <si>
    <t>Single element</t>
  </si>
  <si>
    <t>Total pixels</t>
  </si>
  <si>
    <t>Total bits</t>
  </si>
  <si>
    <t>Total bytes</t>
  </si>
  <si>
    <t>Font</t>
  </si>
  <si>
    <t>Icons</t>
  </si>
  <si>
    <t>Small</t>
  </si>
  <si>
    <t>*</t>
  </si>
  <si>
    <t>Large</t>
  </si>
  <si>
    <t>***</t>
  </si>
  <si>
    <t>Total</t>
  </si>
  <si>
    <t>Estimated space needed for assets</t>
  </si>
  <si>
    <t>width in pixels</t>
  </si>
  <si>
    <t>height in pixels</t>
  </si>
  <si>
    <t>bit depth</t>
  </si>
  <si>
    <t>Smallest possible font, good for debugging, bad for display to user...</t>
  </si>
  <si>
    <t>tiny</t>
  </si>
  <si>
    <t>* numbers only</t>
  </si>
  <si>
    <t>Splash Screen</t>
  </si>
  <si>
    <t>Modify green</t>
  </si>
  <si>
    <t>Orange is for calculations</t>
  </si>
  <si>
    <t>SPI Flash is the W25Q64JV, 64Mbit, QSPI @133Mhz</t>
  </si>
  <si>
    <t>Size</t>
  </si>
  <si>
    <t>Mbit</t>
  </si>
  <si>
    <t>Mbyte</t>
  </si>
  <si>
    <t>% full</t>
  </si>
  <si>
    <t>Sector size</t>
  </si>
  <si>
    <t>Number of sectors</t>
  </si>
  <si>
    <t>sectors</t>
  </si>
  <si>
    <t>Planned usage</t>
  </si>
  <si>
    <t>KV Store</t>
  </si>
  <si>
    <t>Display assets</t>
  </si>
  <si>
    <t>BLE bonds</t>
  </si>
  <si>
    <t>Not planned</t>
  </si>
  <si>
    <t>Lifeboat DFU</t>
  </si>
  <si>
    <t>File system</t>
  </si>
  <si>
    <t>Data store</t>
  </si>
  <si>
    <t>Calculated on Display tab</t>
  </si>
  <si>
    <t>Sectors</t>
  </si>
  <si>
    <t>DFU space</t>
  </si>
  <si>
    <t>Calculated on Data tab</t>
  </si>
  <si>
    <t>data rate 
(bytes/s)</t>
  </si>
  <si>
    <t>Subtotal</t>
  </si>
  <si>
    <t xml:space="preserve">Overhead </t>
  </si>
  <si>
    <t>% (Timing, checksum, clear flags)</t>
  </si>
  <si>
    <t>bytes needed for one snippet</t>
  </si>
  <si>
    <t>bytes needed for storage</t>
  </si>
  <si>
    <t>kbytes needed</t>
  </si>
  <si>
    <t>Data1</t>
  </si>
  <si>
    <t>Data2</t>
  </si>
  <si>
    <t>seconds</t>
  </si>
  <si>
    <t>number of snippet</t>
  </si>
  <si>
    <t>If I need to store a few long snippets, how much space will they take up?</t>
  </si>
  <si>
    <t>Total size per second</t>
  </si>
  <si>
    <t>Size for one snippet</t>
  </si>
  <si>
    <t>Size for all snippets</t>
  </si>
  <si>
    <t xml:space="preserve">length snippet </t>
  </si>
  <si>
    <t>SPI rate</t>
  </si>
  <si>
    <t>MHz (133MHz Single, 266MHz Dual SPI, 532MHz QSPI)</t>
  </si>
  <si>
    <t>Size of snippet</t>
  </si>
  <si>
    <t>from Store Audio Tab</t>
  </si>
  <si>
    <t>Erase</t>
  </si>
  <si>
    <t>Erase block size</t>
  </si>
  <si>
    <t>kybtes</t>
  </si>
  <si>
    <t>Blocks to erase</t>
  </si>
  <si>
    <t>blocks</t>
  </si>
  <si>
    <t>Typical (ms)</t>
  </si>
  <si>
    <t>Max (ms)</t>
  </si>
  <si>
    <t>Time to erase block</t>
  </si>
  <si>
    <t>Time to erase snippet</t>
  </si>
  <si>
    <t>This is too long to do as a pre-collection step, 
A buffer needs to be ready when the collection starts
Which indicates this needs to be a ping-pong buffer (at least)</t>
  </si>
  <si>
    <t>Write</t>
  </si>
  <si>
    <t>Equivalent SPI rate</t>
  </si>
  <si>
    <t>MHz (bits/s)</t>
  </si>
  <si>
    <t>Time to transfer data</t>
  </si>
  <si>
    <t>ms</t>
  </si>
  <si>
    <t>Time to transfer the data is much, much less than time to capture it</t>
  </si>
  <si>
    <t>Input data rate</t>
  </si>
  <si>
    <t>bytes/s</t>
  </si>
  <si>
    <t>bits/s</t>
  </si>
  <si>
    <t>% of SPI used</t>
  </si>
  <si>
    <t>% SPI used</t>
  </si>
  <si>
    <t>We are essentially not taxing the SPI at all</t>
  </si>
  <si>
    <t>Page size</t>
  </si>
  <si>
    <t>Memory is programmed in pages</t>
  </si>
  <si>
    <t>Pages per snippet</t>
  </si>
  <si>
    <t>pages</t>
  </si>
  <si>
    <t>Page program time</t>
  </si>
  <si>
    <t>Time to program snippet</t>
  </si>
  <si>
    <t>This happens over 15s so this still fairly insignificant to the flash</t>
  </si>
  <si>
    <t>% flash time used</t>
  </si>
  <si>
    <t>How long will it take to store a snippet?</t>
  </si>
  <si>
    <t>Datasheet information</t>
  </si>
  <si>
    <t>from above</t>
  </si>
  <si>
    <t>% of time flash is used for data related activities</t>
  </si>
  <si>
    <t>32 or 64 kbytes, from the datasheet</t>
  </si>
  <si>
    <t>Add calculations to determine if SPI bus is fully utilized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</si>
</sst>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1"/>
      <color rgb="FF7E3794"/>
      <name val="Inconsolata"/>
    </font>
    <font>
      <sz val="11"/>
      <color rgb="FFF7981D"/>
      <name val="Inconsolata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FCE5CD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FCE5C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1" fillId="0" borderId="0" xfId="0" applyFont="1"/>
    <xf numFmtId="0" fontId="4" fillId="0" borderId="0" xfId="0" applyFont="1"/>
    <xf numFmtId="0" fontId="3" fillId="0" borderId="0" xfId="0" applyFont="1"/>
    <xf numFmtId="0" fontId="3" fillId="2" borderId="0" xfId="0" applyFont="1" applyFill="1"/>
    <xf numFmtId="0" fontId="0" fillId="6" borderId="0" xfId="0" applyFill="1"/>
    <xf numFmtId="0" fontId="3" fillId="7" borderId="0" xfId="0" applyFont="1" applyFill="1"/>
    <xf numFmtId="0" fontId="0" fillId="8" borderId="0" xfId="0" applyFill="1"/>
    <xf numFmtId="0" fontId="7" fillId="0" borderId="0" xfId="0" applyFont="1"/>
    <xf numFmtId="0" fontId="7" fillId="2" borderId="0" xfId="0" applyFont="1" applyFill="1"/>
    <xf numFmtId="0" fontId="7" fillId="3" borderId="0" xfId="0" applyFont="1" applyFill="1"/>
    <xf numFmtId="0" fontId="8" fillId="0" borderId="0" xfId="0" applyFont="1"/>
    <xf numFmtId="0" fontId="5" fillId="4" borderId="0" xfId="0" applyFont="1" applyFill="1"/>
    <xf numFmtId="0" fontId="6" fillId="4" borderId="0" xfId="0" applyFont="1" applyFill="1"/>
    <xf numFmtId="0" fontId="7" fillId="8" borderId="0" xfId="0" applyFont="1" applyFill="1"/>
    <xf numFmtId="0" fontId="8" fillId="7" borderId="0" xfId="0" applyFont="1" applyFill="1"/>
    <xf numFmtId="0" fontId="7" fillId="7" borderId="0" xfId="0" applyFont="1" applyFill="1"/>
    <xf numFmtId="0" fontId="7" fillId="9" borderId="0" xfId="0" applyFont="1" applyFill="1"/>
    <xf numFmtId="164" fontId="8" fillId="0" borderId="0" xfId="0" applyNumberFormat="1" applyFont="1"/>
    <xf numFmtId="164" fontId="7" fillId="0" borderId="0" xfId="0" applyNumberFormat="1" applyFont="1"/>
    <xf numFmtId="0" fontId="9" fillId="0" borderId="0" xfId="0" applyFont="1"/>
    <xf numFmtId="164" fontId="7" fillId="2" borderId="0" xfId="0" applyNumberFormat="1" applyFont="1" applyFill="1"/>
    <xf numFmtId="164" fontId="7" fillId="3" borderId="0" xfId="0" applyNumberFormat="1" applyFont="1" applyFill="1"/>
    <xf numFmtId="164" fontId="8" fillId="3" borderId="0" xfId="0" applyNumberFormat="1" applyFont="1" applyFill="1"/>
    <xf numFmtId="2" fontId="7" fillId="0" borderId="0" xfId="0" applyNumberFormat="1" applyFont="1"/>
    <xf numFmtId="2" fontId="7" fillId="3" borderId="0" xfId="0" applyNumberFormat="1" applyFont="1" applyFill="1"/>
    <xf numFmtId="2" fontId="7" fillId="5" borderId="0" xfId="0" applyNumberFormat="1" applyFont="1" applyFill="1"/>
    <xf numFmtId="2" fontId="0" fillId="5" borderId="0" xfId="0" applyNumberFormat="1" applyFill="1"/>
  </cellXfs>
  <cellStyles count="2">
    <cellStyle name="Normal" xfId="0" builtinId="0"/>
    <cellStyle name="Normal 2" xfId="1" xr:uid="{071F02B2-284F-4D5A-BB2D-2A7227B235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0D6F-E0D2-4183-A42B-B49D3AAC8A36}">
  <dimension ref="A2:A4"/>
  <sheetViews>
    <sheetView workbookViewId="0">
      <selection activeCell="C12" sqref="C12"/>
    </sheetView>
  </sheetViews>
  <sheetFormatPr defaultRowHeight="14.5" x14ac:dyDescent="0.35"/>
  <cols>
    <col min="1" max="1" width="22" bestFit="1" customWidth="1"/>
  </cols>
  <sheetData>
    <row r="2" spans="1:1" x14ac:dyDescent="0.35">
      <c r="A2" s="5" t="s">
        <v>42</v>
      </c>
    </row>
    <row r="3" spans="1:1" x14ac:dyDescent="0.35">
      <c r="A3" s="7" t="s">
        <v>43</v>
      </c>
    </row>
    <row r="4" spans="1:1" x14ac:dyDescent="0.35">
      <c r="A4" s="27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65D6-B87B-4A82-B6B7-87F959A5792C}">
  <dimension ref="A1:G18"/>
  <sheetViews>
    <sheetView workbookViewId="0">
      <selection activeCell="C1" sqref="C1"/>
    </sheetView>
  </sheetViews>
  <sheetFormatPr defaultRowHeight="14.5" x14ac:dyDescent="0.35"/>
  <cols>
    <col min="2" max="2" width="21.453125" bestFit="1" customWidth="1"/>
  </cols>
  <sheetData>
    <row r="1" spans="1:7" x14ac:dyDescent="0.35">
      <c r="A1" s="8" t="s">
        <v>44</v>
      </c>
    </row>
    <row r="2" spans="1:7" x14ac:dyDescent="0.35">
      <c r="B2" s="8" t="s">
        <v>45</v>
      </c>
      <c r="C2" s="9">
        <v>64</v>
      </c>
      <c r="D2" s="8" t="s">
        <v>46</v>
      </c>
    </row>
    <row r="3" spans="1:7" x14ac:dyDescent="0.35">
      <c r="C3" s="16">
        <f>C2/8</f>
        <v>8</v>
      </c>
      <c r="D3" s="8" t="s">
        <v>47</v>
      </c>
    </row>
    <row r="4" spans="1:7" x14ac:dyDescent="0.35">
      <c r="C4" s="16">
        <f>C3*1024</f>
        <v>8192</v>
      </c>
      <c r="D4" s="8" t="s">
        <v>5</v>
      </c>
      <c r="E4" s="15">
        <f>ROUND(100*SUM(C9:C13)/C4, 2)</f>
        <v>78.709999999999994</v>
      </c>
      <c r="F4" s="11" t="s">
        <v>48</v>
      </c>
    </row>
    <row r="5" spans="1:7" x14ac:dyDescent="0.35">
      <c r="B5" s="8" t="s">
        <v>49</v>
      </c>
      <c r="C5" s="9">
        <v>4</v>
      </c>
      <c r="D5" s="8" t="s">
        <v>5</v>
      </c>
    </row>
    <row r="6" spans="1:7" x14ac:dyDescent="0.35">
      <c r="B6" s="8" t="s">
        <v>50</v>
      </c>
      <c r="C6" s="9">
        <f>(C4/C5 * 1024)</f>
        <v>2097152</v>
      </c>
      <c r="D6" s="8" t="s">
        <v>51</v>
      </c>
    </row>
    <row r="8" spans="1:7" x14ac:dyDescent="0.35">
      <c r="A8" s="11" t="s">
        <v>52</v>
      </c>
      <c r="E8" t="s">
        <v>61</v>
      </c>
    </row>
    <row r="9" spans="1:7" x14ac:dyDescent="0.35">
      <c r="B9" s="8" t="s">
        <v>53</v>
      </c>
      <c r="C9" s="9">
        <v>32</v>
      </c>
      <c r="D9" s="8" t="s">
        <v>5</v>
      </c>
      <c r="E9" s="14">
        <f>CEILING(C9/$C$5,1)</f>
        <v>8</v>
      </c>
    </row>
    <row r="10" spans="1:7" x14ac:dyDescent="0.35">
      <c r="B10" s="8" t="s">
        <v>58</v>
      </c>
      <c r="C10" s="9">
        <v>512</v>
      </c>
      <c r="D10" s="8" t="s">
        <v>5</v>
      </c>
      <c r="E10" s="14">
        <f>CEILING(C10/$C$5,1)</f>
        <v>128</v>
      </c>
      <c r="G10" s="8"/>
    </row>
    <row r="11" spans="1:7" x14ac:dyDescent="0.35">
      <c r="B11" s="8" t="s">
        <v>54</v>
      </c>
      <c r="C11" s="16">
        <f>Display!D26</f>
        <v>718.81</v>
      </c>
      <c r="D11" s="8" t="s">
        <v>5</v>
      </c>
      <c r="E11" s="14">
        <f>CEILING(C11/$C$5,1)</f>
        <v>180</v>
      </c>
      <c r="G11" s="8" t="s">
        <v>60</v>
      </c>
    </row>
    <row r="12" spans="1:7" x14ac:dyDescent="0.35">
      <c r="B12" s="8" t="s">
        <v>59</v>
      </c>
      <c r="C12" s="16">
        <f>Data!B17</f>
        <v>5184.8671874999991</v>
      </c>
      <c r="D12" s="8" t="s">
        <v>5</v>
      </c>
      <c r="E12" s="14">
        <f>CEILING(C12/$C$5,1)</f>
        <v>1297</v>
      </c>
      <c r="G12" s="8" t="s">
        <v>63</v>
      </c>
    </row>
    <row r="13" spans="1:7" x14ac:dyDescent="0.35">
      <c r="B13" s="8" t="s">
        <v>55</v>
      </c>
      <c r="C13" s="17">
        <v>0</v>
      </c>
      <c r="D13" s="8" t="s">
        <v>4</v>
      </c>
      <c r="E13" s="14">
        <f>CEILING(C13/$C$5,1)</f>
        <v>0</v>
      </c>
      <c r="G13" s="8"/>
    </row>
    <row r="14" spans="1:7" x14ac:dyDescent="0.35">
      <c r="A14" s="11"/>
    </row>
    <row r="16" spans="1:7" x14ac:dyDescent="0.35">
      <c r="A16" s="11" t="s">
        <v>56</v>
      </c>
    </row>
    <row r="17" spans="2:4" ht="16.5" x14ac:dyDescent="0.55000000000000004">
      <c r="B17" t="s">
        <v>62</v>
      </c>
      <c r="D17" s="12"/>
    </row>
    <row r="18" spans="2:4" ht="16.5" x14ac:dyDescent="0.55000000000000004">
      <c r="B18" s="8" t="s">
        <v>57</v>
      </c>
      <c r="D1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A24C9-8824-4B45-925B-20947CCF35C6}">
  <dimension ref="A1:K39"/>
  <sheetViews>
    <sheetView workbookViewId="0">
      <selection activeCell="J39" sqref="J39"/>
    </sheetView>
  </sheetViews>
  <sheetFormatPr defaultRowHeight="14.5" x14ac:dyDescent="0.35"/>
  <cols>
    <col min="1" max="1" width="21.90625" bestFit="1" customWidth="1"/>
    <col min="7" max="7" width="12" bestFit="1" customWidth="1"/>
    <col min="8" max="8" width="9.54296875" bestFit="1" customWidth="1"/>
    <col min="9" max="9" width="8" bestFit="1" customWidth="1"/>
    <col min="10" max="10" width="9.26953125" bestFit="1" customWidth="1"/>
  </cols>
  <sheetData>
    <row r="1" spans="1:3" x14ac:dyDescent="0.35">
      <c r="A1" s="1" t="s">
        <v>11</v>
      </c>
    </row>
    <row r="3" spans="1:3" x14ac:dyDescent="0.35">
      <c r="A3" t="s">
        <v>12</v>
      </c>
      <c r="B3" s="5">
        <v>320</v>
      </c>
      <c r="C3" t="s">
        <v>0</v>
      </c>
    </row>
    <row r="4" spans="1:3" x14ac:dyDescent="0.35">
      <c r="A4" t="s">
        <v>13</v>
      </c>
      <c r="B4" s="5">
        <v>480</v>
      </c>
      <c r="C4" t="s">
        <v>0</v>
      </c>
    </row>
    <row r="6" spans="1:3" x14ac:dyDescent="0.35">
      <c r="A6" t="s">
        <v>1</v>
      </c>
      <c r="B6" s="7">
        <f>B4*B4</f>
        <v>230400</v>
      </c>
      <c r="C6" t="s">
        <v>0</v>
      </c>
    </row>
    <row r="8" spans="1:3" x14ac:dyDescent="0.35">
      <c r="A8" t="s">
        <v>14</v>
      </c>
      <c r="B8" s="5">
        <v>16</v>
      </c>
      <c r="C8" t="s">
        <v>2</v>
      </c>
    </row>
    <row r="10" spans="1:3" x14ac:dyDescent="0.35">
      <c r="A10" t="s">
        <v>3</v>
      </c>
      <c r="B10" s="7">
        <f>B8*B6</f>
        <v>3686400</v>
      </c>
      <c r="C10" t="s">
        <v>2</v>
      </c>
    </row>
    <row r="11" spans="1:3" x14ac:dyDescent="0.35">
      <c r="B11" s="7">
        <f>B10/8</f>
        <v>460800</v>
      </c>
      <c r="C11" t="s">
        <v>4</v>
      </c>
    </row>
    <row r="12" spans="1:3" x14ac:dyDescent="0.35">
      <c r="B12" s="7">
        <f>B11/1024</f>
        <v>450</v>
      </c>
      <c r="C12" t="s">
        <v>5</v>
      </c>
    </row>
    <row r="14" spans="1:3" x14ac:dyDescent="0.35">
      <c r="A14" t="s">
        <v>6</v>
      </c>
      <c r="B14" s="5">
        <v>30</v>
      </c>
      <c r="C14" t="s">
        <v>7</v>
      </c>
    </row>
    <row r="16" spans="1:3" x14ac:dyDescent="0.35">
      <c r="A16" t="s">
        <v>15</v>
      </c>
      <c r="B16" s="7">
        <f>B14*B12</f>
        <v>13500</v>
      </c>
      <c r="C16" t="s">
        <v>8</v>
      </c>
    </row>
    <row r="17" spans="1:11" x14ac:dyDescent="0.35">
      <c r="B17" s="7">
        <f>B16/1024</f>
        <v>13.18359375</v>
      </c>
      <c r="C17" s="1" t="s">
        <v>10</v>
      </c>
    </row>
    <row r="18" spans="1:11" x14ac:dyDescent="0.35">
      <c r="B18" s="7">
        <f>B17*8</f>
        <v>105.46875</v>
      </c>
      <c r="C18" s="1" t="s">
        <v>9</v>
      </c>
    </row>
    <row r="20" spans="1:11" x14ac:dyDescent="0.35">
      <c r="A20" t="s">
        <v>16</v>
      </c>
    </row>
    <row r="21" spans="1:11" x14ac:dyDescent="0.35">
      <c r="A21" t="s">
        <v>17</v>
      </c>
    </row>
    <row r="24" spans="1:11" x14ac:dyDescent="0.35">
      <c r="A24" s="1" t="s">
        <v>18</v>
      </c>
    </row>
    <row r="26" spans="1:11" x14ac:dyDescent="0.35">
      <c r="A26" s="2" t="s">
        <v>34</v>
      </c>
      <c r="D26" s="6">
        <f>ROUND(J39/1024,2)</f>
        <v>718.81</v>
      </c>
      <c r="E26" s="3" t="s">
        <v>5</v>
      </c>
    </row>
    <row r="28" spans="1:11" x14ac:dyDescent="0.35">
      <c r="B28" s="2" t="s">
        <v>35</v>
      </c>
      <c r="C28" s="2" t="s">
        <v>36</v>
      </c>
      <c r="D28" s="2" t="s">
        <v>37</v>
      </c>
    </row>
    <row r="29" spans="1:11" x14ac:dyDescent="0.35">
      <c r="A29" s="3" t="s">
        <v>19</v>
      </c>
      <c r="B29" s="4">
        <v>320</v>
      </c>
      <c r="C29" s="4">
        <v>480</v>
      </c>
      <c r="D29" s="4">
        <v>16</v>
      </c>
    </row>
    <row r="31" spans="1:11" x14ac:dyDescent="0.35">
      <c r="C31" s="2" t="s">
        <v>20</v>
      </c>
      <c r="D31" s="2" t="s">
        <v>21</v>
      </c>
      <c r="E31" s="2" t="s">
        <v>22</v>
      </c>
      <c r="F31" s="2"/>
      <c r="G31" s="2" t="s">
        <v>23</v>
      </c>
      <c r="H31" s="2" t="s">
        <v>24</v>
      </c>
      <c r="I31" s="2" t="s">
        <v>25</v>
      </c>
      <c r="J31" s="2" t="s">
        <v>26</v>
      </c>
    </row>
    <row r="32" spans="1:11" x14ac:dyDescent="0.35">
      <c r="A32" s="3" t="s">
        <v>27</v>
      </c>
      <c r="B32" s="3" t="s">
        <v>39</v>
      </c>
      <c r="C32" s="4">
        <v>6</v>
      </c>
      <c r="D32" s="4">
        <v>8</v>
      </c>
      <c r="E32" s="4">
        <v>94</v>
      </c>
      <c r="G32" s="6">
        <f t="shared" ref="G32:G37" si="0">C32*D32</f>
        <v>48</v>
      </c>
      <c r="H32" s="6">
        <f t="shared" ref="H32:H37" si="1">G32*E32</f>
        <v>4512</v>
      </c>
      <c r="I32" s="6">
        <f>H32*$D$29</f>
        <v>72192</v>
      </c>
      <c r="J32" s="6">
        <f t="shared" ref="J32:J37" si="2">I32/8</f>
        <v>9024</v>
      </c>
      <c r="K32" s="3" t="s">
        <v>38</v>
      </c>
    </row>
    <row r="33" spans="1:10" x14ac:dyDescent="0.35">
      <c r="A33" s="3" t="s">
        <v>28</v>
      </c>
      <c r="B33" s="3" t="s">
        <v>29</v>
      </c>
      <c r="C33" s="4">
        <v>30</v>
      </c>
      <c r="D33" s="4">
        <v>40</v>
      </c>
      <c r="E33" s="4">
        <v>94</v>
      </c>
      <c r="F33" s="3"/>
      <c r="G33" s="6">
        <f t="shared" si="0"/>
        <v>1200</v>
      </c>
      <c r="H33" s="6">
        <f t="shared" si="1"/>
        <v>112800</v>
      </c>
      <c r="I33" s="6">
        <f t="shared" ref="I33:I37" si="3">H33*$D$29</f>
        <v>1804800</v>
      </c>
      <c r="J33" s="6">
        <f t="shared" si="2"/>
        <v>225600</v>
      </c>
    </row>
    <row r="34" spans="1:10" x14ac:dyDescent="0.35">
      <c r="B34" s="3" t="s">
        <v>31</v>
      </c>
      <c r="C34" s="4">
        <v>80</v>
      </c>
      <c r="D34" s="4">
        <v>80</v>
      </c>
      <c r="E34" s="4">
        <v>10</v>
      </c>
      <c r="F34" s="3" t="s">
        <v>30</v>
      </c>
      <c r="G34" s="6">
        <f t="shared" si="0"/>
        <v>6400</v>
      </c>
      <c r="H34" s="6">
        <f t="shared" si="1"/>
        <v>64000</v>
      </c>
      <c r="I34" s="6">
        <f t="shared" si="3"/>
        <v>1024000</v>
      </c>
      <c r="J34" s="6">
        <f t="shared" si="2"/>
        <v>128000</v>
      </c>
    </row>
    <row r="35" spans="1:10" x14ac:dyDescent="0.35">
      <c r="A35" s="3" t="s">
        <v>28</v>
      </c>
      <c r="B35" s="3" t="s">
        <v>29</v>
      </c>
      <c r="C35" s="4">
        <v>12</v>
      </c>
      <c r="D35" s="4">
        <v>16</v>
      </c>
      <c r="E35" s="4">
        <v>10</v>
      </c>
      <c r="G35" s="6">
        <f t="shared" si="0"/>
        <v>192</v>
      </c>
      <c r="H35" s="6">
        <f t="shared" si="1"/>
        <v>1920</v>
      </c>
      <c r="I35" s="6">
        <f t="shared" si="3"/>
        <v>30720</v>
      </c>
      <c r="J35" s="6">
        <f t="shared" si="2"/>
        <v>3840</v>
      </c>
    </row>
    <row r="36" spans="1:10" x14ac:dyDescent="0.35">
      <c r="B36" s="3" t="s">
        <v>31</v>
      </c>
      <c r="C36" s="4">
        <v>30</v>
      </c>
      <c r="D36" s="4">
        <v>40</v>
      </c>
      <c r="E36" s="4">
        <v>10</v>
      </c>
      <c r="G36" s="6">
        <f t="shared" si="0"/>
        <v>1200</v>
      </c>
      <c r="H36" s="6">
        <f t="shared" si="1"/>
        <v>12000</v>
      </c>
      <c r="I36" s="6">
        <f t="shared" si="3"/>
        <v>192000</v>
      </c>
      <c r="J36" s="6">
        <f t="shared" si="2"/>
        <v>24000</v>
      </c>
    </row>
    <row r="37" spans="1:10" x14ac:dyDescent="0.35">
      <c r="A37" s="3" t="s">
        <v>41</v>
      </c>
      <c r="C37" s="4">
        <v>240</v>
      </c>
      <c r="D37" s="4">
        <v>240</v>
      </c>
      <c r="E37" s="4">
        <v>3</v>
      </c>
      <c r="F37" s="3" t="s">
        <v>32</v>
      </c>
      <c r="G37" s="6">
        <f t="shared" si="0"/>
        <v>57600</v>
      </c>
      <c r="H37" s="6">
        <f t="shared" si="1"/>
        <v>172800</v>
      </c>
      <c r="I37" s="6">
        <f t="shared" si="3"/>
        <v>2764800</v>
      </c>
      <c r="J37" s="6">
        <f t="shared" si="2"/>
        <v>345600</v>
      </c>
    </row>
    <row r="39" spans="1:10" x14ac:dyDescent="0.35">
      <c r="F39" t="s">
        <v>40</v>
      </c>
      <c r="I39" s="2" t="s">
        <v>33</v>
      </c>
      <c r="J39" s="6">
        <f>SUM(J32:J37)</f>
        <v>736064</v>
      </c>
    </row>
  </sheetData>
  <pageMargins left="0.7" right="0.7" top="0.75" bottom="0.75" header="0.3" footer="0.3"/>
  <pageSetup orientation="portrait" horizontalDpi="150" verticalDpi="15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8D9A-53B5-4DFC-8F31-87B5E095EA4D}">
  <dimension ref="A2:E48"/>
  <sheetViews>
    <sheetView workbookViewId="0">
      <selection activeCell="D47" sqref="D47"/>
    </sheetView>
  </sheetViews>
  <sheetFormatPr defaultRowHeight="14.5" x14ac:dyDescent="0.35"/>
  <cols>
    <col min="1" max="1" width="21.6328125" bestFit="1" customWidth="1"/>
    <col min="2" max="2" width="9.453125" bestFit="1" customWidth="1"/>
  </cols>
  <sheetData>
    <row r="2" spans="1:5" x14ac:dyDescent="0.35">
      <c r="A2" s="1" t="s">
        <v>75</v>
      </c>
      <c r="E2" s="8"/>
    </row>
    <row r="3" spans="1:5" x14ac:dyDescent="0.35">
      <c r="E3" s="8"/>
    </row>
    <row r="4" spans="1:5" x14ac:dyDescent="0.35">
      <c r="A4" s="8" t="s">
        <v>79</v>
      </c>
      <c r="B4" s="9">
        <v>12</v>
      </c>
      <c r="C4" s="19" t="s">
        <v>73</v>
      </c>
      <c r="E4" s="8"/>
    </row>
    <row r="5" spans="1:5" x14ac:dyDescent="0.35">
      <c r="A5" t="s">
        <v>74</v>
      </c>
      <c r="B5" s="9">
        <v>20</v>
      </c>
      <c r="C5" s="18"/>
      <c r="E5" s="8"/>
    </row>
    <row r="6" spans="1:5" x14ac:dyDescent="0.35">
      <c r="B6" s="8"/>
      <c r="C6" s="11"/>
      <c r="E6" s="8"/>
    </row>
    <row r="7" spans="1:5" x14ac:dyDescent="0.35">
      <c r="B7" s="8" t="s">
        <v>64</v>
      </c>
      <c r="C7" s="19"/>
      <c r="E7" s="20"/>
    </row>
    <row r="8" spans="1:5" x14ac:dyDescent="0.35">
      <c r="A8" s="8" t="s">
        <v>71</v>
      </c>
      <c r="B8" s="17">
        <v>22000</v>
      </c>
      <c r="C8" s="19"/>
    </row>
    <row r="9" spans="1:5" x14ac:dyDescent="0.35">
      <c r="A9" s="8" t="s">
        <v>72</v>
      </c>
      <c r="B9" s="17">
        <v>100</v>
      </c>
      <c r="C9" s="19"/>
    </row>
    <row r="10" spans="1:5" x14ac:dyDescent="0.35">
      <c r="C10" s="19"/>
    </row>
    <row r="11" spans="1:5" x14ac:dyDescent="0.35">
      <c r="A11" s="8" t="s">
        <v>65</v>
      </c>
      <c r="B11" s="10">
        <f>B9+B8</f>
        <v>22100</v>
      </c>
      <c r="C11" s="19" t="s">
        <v>4</v>
      </c>
    </row>
    <row r="12" spans="1:5" x14ac:dyDescent="0.35">
      <c r="A12" s="8" t="s">
        <v>66</v>
      </c>
      <c r="B12" s="21">
        <v>0.1</v>
      </c>
      <c r="C12" s="8" t="s">
        <v>67</v>
      </c>
    </row>
    <row r="13" spans="1:5" x14ac:dyDescent="0.35">
      <c r="A13" s="8" t="s">
        <v>76</v>
      </c>
      <c r="B13" s="10">
        <f>(1+B12/100) * B11</f>
        <v>22122.1</v>
      </c>
      <c r="C13" s="19" t="s">
        <v>4</v>
      </c>
    </row>
    <row r="14" spans="1:5" x14ac:dyDescent="0.35">
      <c r="C14" s="19"/>
    </row>
    <row r="15" spans="1:5" x14ac:dyDescent="0.35">
      <c r="A15" s="8" t="s">
        <v>77</v>
      </c>
      <c r="B15" s="22">
        <f>B13*B4</f>
        <v>265465.19999999995</v>
      </c>
      <c r="C15" s="8" t="s">
        <v>68</v>
      </c>
    </row>
    <row r="16" spans="1:5" x14ac:dyDescent="0.35">
      <c r="A16" s="8" t="s">
        <v>78</v>
      </c>
      <c r="B16" s="22">
        <f>B15*B5</f>
        <v>5309303.9999999991</v>
      </c>
      <c r="C16" s="8" t="s">
        <v>69</v>
      </c>
    </row>
    <row r="17" spans="1:5" x14ac:dyDescent="0.35">
      <c r="A17" s="8"/>
      <c r="B17" s="23">
        <f>B16/1024</f>
        <v>5184.8671874999991</v>
      </c>
      <c r="C17" s="11" t="s">
        <v>70</v>
      </c>
    </row>
    <row r="18" spans="1:5" x14ac:dyDescent="0.35">
      <c r="A18" s="8"/>
      <c r="B18" s="8"/>
      <c r="C18" s="11"/>
    </row>
    <row r="19" spans="1:5" x14ac:dyDescent="0.35">
      <c r="A19" s="8"/>
      <c r="B19" s="8"/>
      <c r="C19" s="11"/>
    </row>
    <row r="20" spans="1:5" x14ac:dyDescent="0.35">
      <c r="A20" s="1" t="s">
        <v>114</v>
      </c>
      <c r="C20" s="19"/>
      <c r="D20" s="8"/>
    </row>
    <row r="21" spans="1:5" x14ac:dyDescent="0.35">
      <c r="A21" s="8" t="s">
        <v>80</v>
      </c>
      <c r="B21" s="9">
        <v>133</v>
      </c>
      <c r="C21" s="8" t="s">
        <v>81</v>
      </c>
    </row>
    <row r="23" spans="1:5" x14ac:dyDescent="0.35">
      <c r="A23" s="8" t="s">
        <v>82</v>
      </c>
      <c r="B23" s="25">
        <f>B16</f>
        <v>5309303.9999999991</v>
      </c>
      <c r="C23" s="24" t="s">
        <v>4</v>
      </c>
      <c r="D23" s="8" t="s">
        <v>116</v>
      </c>
    </row>
    <row r="24" spans="1:5" x14ac:dyDescent="0.35">
      <c r="B24" s="25">
        <f>B23/1024</f>
        <v>5184.8671874999991</v>
      </c>
      <c r="C24" s="24" t="s">
        <v>5</v>
      </c>
    </row>
    <row r="25" spans="1:5" x14ac:dyDescent="0.35">
      <c r="C25" s="24"/>
      <c r="D25" s="24"/>
    </row>
    <row r="26" spans="1:5" x14ac:dyDescent="0.35">
      <c r="A26" s="11" t="s">
        <v>84</v>
      </c>
      <c r="C26" s="24"/>
      <c r="D26" s="24"/>
    </row>
    <row r="27" spans="1:5" x14ac:dyDescent="0.35">
      <c r="A27" s="8" t="s">
        <v>85</v>
      </c>
      <c r="B27" s="26">
        <v>64</v>
      </c>
      <c r="C27" s="24" t="s">
        <v>86</v>
      </c>
      <c r="D27" s="8" t="s">
        <v>118</v>
      </c>
      <c r="E27" s="8"/>
    </row>
    <row r="28" spans="1:5" x14ac:dyDescent="0.35">
      <c r="A28" s="8" t="s">
        <v>87</v>
      </c>
      <c r="B28" s="25">
        <f>CEILING(B24/B27,1)</f>
        <v>82</v>
      </c>
      <c r="C28" s="24" t="s">
        <v>88</v>
      </c>
    </row>
    <row r="29" spans="1:5" x14ac:dyDescent="0.35">
      <c r="B29" s="24"/>
      <c r="C29" s="24"/>
    </row>
    <row r="30" spans="1:5" x14ac:dyDescent="0.35">
      <c r="B30" s="24" t="s">
        <v>89</v>
      </c>
      <c r="C30" s="24" t="s">
        <v>90</v>
      </c>
    </row>
    <row r="31" spans="1:5" x14ac:dyDescent="0.35">
      <c r="A31" s="8" t="s">
        <v>91</v>
      </c>
      <c r="B31" s="26">
        <v>150</v>
      </c>
      <c r="C31" s="26">
        <v>2000</v>
      </c>
    </row>
    <row r="32" spans="1:5" x14ac:dyDescent="0.35">
      <c r="A32" s="8" t="s">
        <v>92</v>
      </c>
      <c r="B32" s="25">
        <f>B31*B28</f>
        <v>12300</v>
      </c>
      <c r="C32" s="25">
        <f>C31*B28</f>
        <v>164000</v>
      </c>
      <c r="D32" s="8" t="s">
        <v>93</v>
      </c>
      <c r="E32" s="8"/>
    </row>
    <row r="33" spans="1:4" x14ac:dyDescent="0.35">
      <c r="C33" s="24"/>
      <c r="D33" s="24"/>
    </row>
    <row r="34" spans="1:4" x14ac:dyDescent="0.35">
      <c r="A34" s="11" t="s">
        <v>94</v>
      </c>
    </row>
    <row r="35" spans="1:4" x14ac:dyDescent="0.35">
      <c r="A35" s="8" t="s">
        <v>95</v>
      </c>
      <c r="B35" s="26">
        <f>B21</f>
        <v>133</v>
      </c>
      <c r="C35" s="24" t="s">
        <v>96</v>
      </c>
    </row>
    <row r="36" spans="1:4" x14ac:dyDescent="0.35">
      <c r="A36" s="8" t="s">
        <v>97</v>
      </c>
      <c r="B36" s="25">
        <f>1000*B23*8/(B35*10^6)</f>
        <v>319.35663157894732</v>
      </c>
      <c r="C36" s="24" t="s">
        <v>98</v>
      </c>
      <c r="D36" s="8" t="s">
        <v>99</v>
      </c>
    </row>
    <row r="37" spans="1:4" x14ac:dyDescent="0.35">
      <c r="B37" s="24"/>
      <c r="C37" s="24"/>
    </row>
    <row r="38" spans="1:4" x14ac:dyDescent="0.35">
      <c r="A38" s="8" t="s">
        <v>100</v>
      </c>
      <c r="B38" s="25">
        <f>B11</f>
        <v>22100</v>
      </c>
      <c r="C38" s="24" t="s">
        <v>101</v>
      </c>
      <c r="D38" s="8" t="s">
        <v>83</v>
      </c>
    </row>
    <row r="39" spans="1:4" x14ac:dyDescent="0.35">
      <c r="A39" s="8" t="s">
        <v>100</v>
      </c>
      <c r="B39" s="25">
        <f>B38*8</f>
        <v>176800</v>
      </c>
      <c r="C39" s="24" t="s">
        <v>102</v>
      </c>
    </row>
    <row r="40" spans="1:4" x14ac:dyDescent="0.35">
      <c r="A40" s="8" t="s">
        <v>103</v>
      </c>
      <c r="B40" s="25">
        <f>100*B39/(B35*10^6)</f>
        <v>0.13293233082706768</v>
      </c>
      <c r="C40" s="24" t="s">
        <v>104</v>
      </c>
      <c r="D40" s="11" t="s">
        <v>105</v>
      </c>
    </row>
    <row r="41" spans="1:4" x14ac:dyDescent="0.35">
      <c r="B41" s="24"/>
      <c r="C41" s="24"/>
    </row>
    <row r="42" spans="1:4" x14ac:dyDescent="0.35">
      <c r="A42" s="8" t="s">
        <v>106</v>
      </c>
      <c r="B42" s="26">
        <v>256</v>
      </c>
      <c r="C42" s="24" t="s">
        <v>4</v>
      </c>
      <c r="D42" s="8" t="s">
        <v>107</v>
      </c>
    </row>
    <row r="43" spans="1:4" x14ac:dyDescent="0.35">
      <c r="A43" s="8" t="s">
        <v>108</v>
      </c>
      <c r="B43" s="25">
        <f>CEILING(B23/B42,1)</f>
        <v>20740</v>
      </c>
      <c r="C43" s="24" t="s">
        <v>109</v>
      </c>
    </row>
    <row r="44" spans="1:4" x14ac:dyDescent="0.35">
      <c r="B44" s="24"/>
      <c r="C44" s="24"/>
    </row>
    <row r="45" spans="1:4" x14ac:dyDescent="0.35">
      <c r="B45" s="24" t="s">
        <v>89</v>
      </c>
      <c r="C45" s="24" t="s">
        <v>90</v>
      </c>
    </row>
    <row r="46" spans="1:4" x14ac:dyDescent="0.35">
      <c r="A46" s="8" t="s">
        <v>110</v>
      </c>
      <c r="B46" s="26">
        <v>0.4</v>
      </c>
      <c r="C46" s="26">
        <v>3</v>
      </c>
    </row>
    <row r="47" spans="1:4" x14ac:dyDescent="0.35">
      <c r="A47" s="8" t="s">
        <v>111</v>
      </c>
      <c r="B47" s="25">
        <f>B46*B43</f>
        <v>8296</v>
      </c>
      <c r="C47" s="25">
        <f>C46*B43</f>
        <v>62220</v>
      </c>
      <c r="D47" t="s">
        <v>112</v>
      </c>
    </row>
    <row r="48" spans="1:4" x14ac:dyDescent="0.35">
      <c r="A48" s="8" t="s">
        <v>113</v>
      </c>
      <c r="B48" s="25">
        <f>((100*B47)/1000)/$B$17</f>
        <v>0.16000409846563696</v>
      </c>
      <c r="C48" s="25">
        <f>((100*C47)/1000)/$B$17</f>
        <v>1.2000307384922773</v>
      </c>
      <c r="D48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44B2-34E5-4368-B669-B682880ACA09}">
  <dimension ref="A1:E1"/>
  <sheetViews>
    <sheetView tabSelected="1" workbookViewId="0"/>
  </sheetViews>
  <sheetFormatPr defaultRowHeight="14.5" x14ac:dyDescent="0.35"/>
  <cols>
    <col min="3" max="3" width="42.26953125" bestFit="1" customWidth="1"/>
    <col min="4" max="4" width="9.81640625" bestFit="1" customWidth="1"/>
  </cols>
  <sheetData>
    <row r="1" spans="1:5" x14ac:dyDescent="0.35">
      <c r="A1" t="s">
        <v>119</v>
      </c>
      <c r="D1" s="24"/>
      <c r="E1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Flash Allocation</vt:lpstr>
      <vt:lpstr>Display</vt:lpstr>
      <vt:lpstr>Data</vt:lpstr>
      <vt:lpstr>SPI 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Elecia White</dc:creator>
  <cp:lastModifiedBy>Elecia White</cp:lastModifiedBy>
  <dcterms:created xsi:type="dcterms:W3CDTF">2023-05-15T15:19:28Z</dcterms:created>
  <dcterms:modified xsi:type="dcterms:W3CDTF">2023-05-25T15:22:30Z</dcterms:modified>
</cp:coreProperties>
</file>